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6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8AB79FCF-75A4-45C0-A5BE-504756FBD1E2}" xr6:coauthVersionLast="47" xr6:coauthVersionMax="47" xr10:uidLastSave="{00000000-0000-0000-0000-000000000000}"/>
  <bookViews>
    <workbookView xWindow="-108" yWindow="-108" windowWidth="41496" windowHeight="16896" tabRatio="968" firstSheet="16" activeTab="23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DB" sheetId="28" r:id="rId21"/>
    <sheet name="Масса исп." sheetId="1" r:id="rId22"/>
    <sheet name="Масса ОВ" sheetId="24" r:id="rId23"/>
    <sheet name="Расчет" sheetId="40" r:id="rId24"/>
    <sheet name="Сценарии" sheetId="2" r:id="rId25"/>
    <sheet name="Частоты аварий" sheetId="38" r:id="rId26"/>
    <sheet name="Статистика аварий" sheetId="35" r:id="rId27"/>
    <sheet name="Погода 2023 (Казань)" sheetId="36" r:id="rId28"/>
    <sheet name="FN_FG" sheetId="25" r:id="rId29"/>
    <sheet name="дБR, ppm" sheetId="8" r:id="rId30"/>
    <sheet name="НАИЛЬ УСО" sheetId="39" r:id="rId31"/>
    <sheet name="КУСТ" sheetId="46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52" i="40" l="1"/>
  <c r="I656" i="40" s="1"/>
  <c r="I642" i="40"/>
  <c r="J642" i="40"/>
  <c r="AS657" i="40"/>
  <c r="AN657" i="40"/>
  <c r="AM657" i="40"/>
  <c r="AL657" i="40"/>
  <c r="O657" i="40"/>
  <c r="M657" i="40"/>
  <c r="F657" i="40"/>
  <c r="B657" i="40"/>
  <c r="N657" i="40" s="1"/>
  <c r="AS656" i="40"/>
  <c r="AN656" i="40"/>
  <c r="AM656" i="40"/>
  <c r="AL656" i="40"/>
  <c r="O656" i="40"/>
  <c r="M656" i="40"/>
  <c r="F656" i="40"/>
  <c r="B656" i="40"/>
  <c r="N656" i="40" s="1"/>
  <c r="AS655" i="40"/>
  <c r="AN655" i="40"/>
  <c r="AM655" i="40"/>
  <c r="AL655" i="40"/>
  <c r="O655" i="40"/>
  <c r="N655" i="40"/>
  <c r="M655" i="40"/>
  <c r="F655" i="40"/>
  <c r="B655" i="40"/>
  <c r="AS654" i="40"/>
  <c r="AN654" i="40"/>
  <c r="AM654" i="40"/>
  <c r="AL654" i="40"/>
  <c r="O654" i="40"/>
  <c r="M654" i="40"/>
  <c r="F654" i="40"/>
  <c r="H654" i="40" s="1"/>
  <c r="E654" i="40"/>
  <c r="E656" i="40" s="1"/>
  <c r="H656" i="40" s="1"/>
  <c r="B654" i="40"/>
  <c r="N654" i="40" s="1"/>
  <c r="AS653" i="40"/>
  <c r="AN653" i="40"/>
  <c r="AM653" i="40"/>
  <c r="AL653" i="40"/>
  <c r="O653" i="40"/>
  <c r="M653" i="40"/>
  <c r="F653" i="40"/>
  <c r="E653" i="40"/>
  <c r="E655" i="40" s="1"/>
  <c r="B653" i="40"/>
  <c r="N653" i="40" s="1"/>
  <c r="AS652" i="40"/>
  <c r="O652" i="40"/>
  <c r="N652" i="40"/>
  <c r="M652" i="40"/>
  <c r="H652" i="40"/>
  <c r="AS647" i="40"/>
  <c r="AN647" i="40"/>
  <c r="AM647" i="40"/>
  <c r="AL647" i="40"/>
  <c r="O647" i="40"/>
  <c r="M647" i="40"/>
  <c r="F647" i="40"/>
  <c r="B647" i="40"/>
  <c r="N647" i="40" s="1"/>
  <c r="AS646" i="40"/>
  <c r="AN646" i="40"/>
  <c r="AM646" i="40"/>
  <c r="AL646" i="40"/>
  <c r="O646" i="40"/>
  <c r="M646" i="40"/>
  <c r="F646" i="40"/>
  <c r="B646" i="40"/>
  <c r="N646" i="40" s="1"/>
  <c r="AS645" i="40"/>
  <c r="AN645" i="40"/>
  <c r="AM645" i="40"/>
  <c r="AL645" i="40"/>
  <c r="O645" i="40"/>
  <c r="N645" i="40"/>
  <c r="M645" i="40"/>
  <c r="F645" i="40"/>
  <c r="B645" i="40"/>
  <c r="AS644" i="40"/>
  <c r="AN644" i="40"/>
  <c r="AM644" i="40"/>
  <c r="AL644" i="40"/>
  <c r="O644" i="40"/>
  <c r="M644" i="40"/>
  <c r="H644" i="40"/>
  <c r="F644" i="40"/>
  <c r="E644" i="40"/>
  <c r="E646" i="40" s="1"/>
  <c r="H646" i="40" s="1"/>
  <c r="B644" i="40"/>
  <c r="N644" i="40" s="1"/>
  <c r="AS643" i="40"/>
  <c r="AN643" i="40"/>
  <c r="AM643" i="40"/>
  <c r="AL643" i="40"/>
  <c r="O643" i="40"/>
  <c r="M643" i="40"/>
  <c r="J643" i="40"/>
  <c r="AU643" i="40" s="1"/>
  <c r="F643" i="40"/>
  <c r="E643" i="40"/>
  <c r="E645" i="40" s="1"/>
  <c r="B643" i="40"/>
  <c r="N643" i="40" s="1"/>
  <c r="AS642" i="40"/>
  <c r="O642" i="40"/>
  <c r="N642" i="40"/>
  <c r="M642" i="40"/>
  <c r="H642" i="40"/>
  <c r="AS637" i="40"/>
  <c r="AN637" i="40"/>
  <c r="AM637" i="40"/>
  <c r="AQ637" i="40" s="1"/>
  <c r="AL637" i="40"/>
  <c r="O637" i="40"/>
  <c r="M637" i="40"/>
  <c r="I637" i="40"/>
  <c r="F637" i="40"/>
  <c r="E637" i="40"/>
  <c r="H637" i="40" s="1"/>
  <c r="B637" i="40"/>
  <c r="N637" i="40" s="1"/>
  <c r="AS636" i="40"/>
  <c r="AN636" i="40"/>
  <c r="AM636" i="40"/>
  <c r="AL636" i="40"/>
  <c r="O636" i="40"/>
  <c r="M636" i="40"/>
  <c r="I636" i="40"/>
  <c r="F636" i="40"/>
  <c r="E636" i="40"/>
  <c r="H636" i="40" s="1"/>
  <c r="B636" i="40"/>
  <c r="N636" i="40" s="1"/>
  <c r="AS635" i="40"/>
  <c r="AN635" i="40"/>
  <c r="AM635" i="40"/>
  <c r="AQ635" i="40" s="1"/>
  <c r="AL635" i="40"/>
  <c r="O635" i="40"/>
  <c r="M635" i="40"/>
  <c r="I635" i="40"/>
  <c r="J635" i="40" s="1"/>
  <c r="AU635" i="40" s="1"/>
  <c r="F635" i="40"/>
  <c r="H635" i="40" s="1"/>
  <c r="B635" i="40"/>
  <c r="N635" i="40" s="1"/>
  <c r="AU634" i="40"/>
  <c r="AS634" i="40"/>
  <c r="AN634" i="40"/>
  <c r="AM634" i="40"/>
  <c r="AL634" i="40"/>
  <c r="O634" i="40"/>
  <c r="M634" i="40"/>
  <c r="I634" i="40"/>
  <c r="F634" i="40"/>
  <c r="H634" i="40" s="1"/>
  <c r="E634" i="40"/>
  <c r="B634" i="40"/>
  <c r="N634" i="40" s="1"/>
  <c r="AS633" i="40"/>
  <c r="AN633" i="40"/>
  <c r="AM633" i="40"/>
  <c r="AL633" i="40"/>
  <c r="O633" i="40"/>
  <c r="M633" i="40"/>
  <c r="J633" i="40"/>
  <c r="AU633" i="40" s="1"/>
  <c r="I633" i="40"/>
  <c r="AQ633" i="40" s="1"/>
  <c r="F633" i="40"/>
  <c r="H633" i="40" s="1"/>
  <c r="E633" i="40"/>
  <c r="B633" i="40"/>
  <c r="N633" i="40" s="1"/>
  <c r="AS632" i="40"/>
  <c r="AQ632" i="40"/>
  <c r="AR632" i="40" s="1"/>
  <c r="AT632" i="40" s="1"/>
  <c r="O632" i="40"/>
  <c r="N632" i="40"/>
  <c r="M632" i="40"/>
  <c r="J632" i="40"/>
  <c r="AU632" i="40" s="1"/>
  <c r="AV632" i="40" s="1"/>
  <c r="AY632" i="40" s="1"/>
  <c r="H632" i="40"/>
  <c r="AX632" i="40" s="1"/>
  <c r="AS627" i="40"/>
  <c r="AN627" i="40"/>
  <c r="AM627" i="40"/>
  <c r="AL627" i="40"/>
  <c r="O627" i="40"/>
  <c r="M627" i="40"/>
  <c r="I627" i="40"/>
  <c r="F627" i="40"/>
  <c r="E627" i="40"/>
  <c r="H627" i="40" s="1"/>
  <c r="B627" i="40"/>
  <c r="N627" i="40" s="1"/>
  <c r="AS626" i="40"/>
  <c r="AN626" i="40"/>
  <c r="AM626" i="40"/>
  <c r="AL626" i="40"/>
  <c r="O626" i="40"/>
  <c r="M626" i="40"/>
  <c r="I626" i="40"/>
  <c r="F626" i="40"/>
  <c r="E626" i="40"/>
  <c r="H626" i="40" s="1"/>
  <c r="B626" i="40"/>
  <c r="N626" i="40" s="1"/>
  <c r="AS625" i="40"/>
  <c r="AN625" i="40"/>
  <c r="AM625" i="40"/>
  <c r="AL625" i="40"/>
  <c r="O625" i="40"/>
  <c r="M625" i="40"/>
  <c r="I625" i="40"/>
  <c r="J625" i="40" s="1"/>
  <c r="AU625" i="40" s="1"/>
  <c r="F625" i="40"/>
  <c r="H625" i="40" s="1"/>
  <c r="B625" i="40"/>
  <c r="N625" i="40" s="1"/>
  <c r="AS624" i="40"/>
  <c r="AN624" i="40"/>
  <c r="AM624" i="40"/>
  <c r="AL624" i="40"/>
  <c r="O624" i="40"/>
  <c r="M624" i="40"/>
  <c r="I624" i="40"/>
  <c r="AQ624" i="40" s="1"/>
  <c r="AR624" i="40" s="1"/>
  <c r="F624" i="40"/>
  <c r="E624" i="40"/>
  <c r="H624" i="40" s="1"/>
  <c r="B624" i="40"/>
  <c r="N624" i="40" s="1"/>
  <c r="AS623" i="40"/>
  <c r="AN623" i="40"/>
  <c r="AM623" i="40"/>
  <c r="AL623" i="40"/>
  <c r="O623" i="40"/>
  <c r="M623" i="40"/>
  <c r="J623" i="40"/>
  <c r="AU624" i="40" s="1"/>
  <c r="I623" i="40"/>
  <c r="H623" i="40"/>
  <c r="AX623" i="40" s="1"/>
  <c r="F623" i="40"/>
  <c r="E623" i="40"/>
  <c r="B623" i="40"/>
  <c r="N623" i="40" s="1"/>
  <c r="AU622" i="40"/>
  <c r="AS622" i="40"/>
  <c r="AQ622" i="40"/>
  <c r="AR622" i="40" s="1"/>
  <c r="AT622" i="40" s="1"/>
  <c r="AV622" i="40" s="1"/>
  <c r="O622" i="40"/>
  <c r="N622" i="40"/>
  <c r="M622" i="40"/>
  <c r="J622" i="40"/>
  <c r="L622" i="40" s="1"/>
  <c r="H622" i="40"/>
  <c r="AS617" i="40"/>
  <c r="AN617" i="40"/>
  <c r="AM617" i="40"/>
  <c r="AQ617" i="40" s="1"/>
  <c r="AL617" i="40"/>
  <c r="O617" i="40"/>
  <c r="M617" i="40"/>
  <c r="I617" i="40"/>
  <c r="F617" i="40"/>
  <c r="E617" i="40"/>
  <c r="H617" i="40" s="1"/>
  <c r="B617" i="40"/>
  <c r="N617" i="40" s="1"/>
  <c r="AS616" i="40"/>
  <c r="AN616" i="40"/>
  <c r="AM616" i="40"/>
  <c r="AL616" i="40"/>
  <c r="O616" i="40"/>
  <c r="M616" i="40"/>
  <c r="I616" i="40"/>
  <c r="F616" i="40"/>
  <c r="H616" i="40" s="1"/>
  <c r="E616" i="40"/>
  <c r="B616" i="40"/>
  <c r="N616" i="40" s="1"/>
  <c r="AS615" i="40"/>
  <c r="AN615" i="40"/>
  <c r="AM615" i="40"/>
  <c r="AL615" i="40"/>
  <c r="O615" i="40"/>
  <c r="M615" i="40"/>
  <c r="I615" i="40"/>
  <c r="J615" i="40" s="1"/>
  <c r="AU615" i="40" s="1"/>
  <c r="F615" i="40"/>
  <c r="H615" i="40" s="1"/>
  <c r="B615" i="40"/>
  <c r="N615" i="40" s="1"/>
  <c r="AS614" i="40"/>
  <c r="AN614" i="40"/>
  <c r="AM614" i="40"/>
  <c r="AL614" i="40"/>
  <c r="O614" i="40"/>
  <c r="M614" i="40"/>
  <c r="I614" i="40"/>
  <c r="H614" i="40"/>
  <c r="F614" i="40"/>
  <c r="E614" i="40"/>
  <c r="B614" i="40"/>
  <c r="N614" i="40" s="1"/>
  <c r="AX613" i="40"/>
  <c r="AW613" i="40"/>
  <c r="AS613" i="40"/>
  <c r="AN613" i="40"/>
  <c r="AM613" i="40"/>
  <c r="AL613" i="40"/>
  <c r="O613" i="40"/>
  <c r="M613" i="40"/>
  <c r="J613" i="40"/>
  <c r="AU613" i="40" s="1"/>
  <c r="I613" i="40"/>
  <c r="AQ613" i="40" s="1"/>
  <c r="H613" i="40"/>
  <c r="F613" i="40"/>
  <c r="E613" i="40"/>
  <c r="B613" i="40"/>
  <c r="N613" i="40" s="1"/>
  <c r="AS612" i="40"/>
  <c r="AQ612" i="40"/>
  <c r="AR612" i="40" s="1"/>
  <c r="AT612" i="40" s="1"/>
  <c r="O612" i="40"/>
  <c r="N612" i="40"/>
  <c r="M612" i="40"/>
  <c r="J612" i="40"/>
  <c r="AU612" i="40" s="1"/>
  <c r="H612" i="40"/>
  <c r="AS607" i="40"/>
  <c r="AN607" i="40"/>
  <c r="AM607" i="40"/>
  <c r="AQ607" i="40" s="1"/>
  <c r="AL607" i="40"/>
  <c r="O607" i="40"/>
  <c r="M607" i="40"/>
  <c r="I607" i="40"/>
  <c r="F607" i="40"/>
  <c r="E607" i="40"/>
  <c r="B607" i="40"/>
  <c r="N607" i="40" s="1"/>
  <c r="AS606" i="40"/>
  <c r="AN606" i="40"/>
  <c r="AM606" i="40"/>
  <c r="AQ606" i="40" s="1"/>
  <c r="AL606" i="40"/>
  <c r="O606" i="40"/>
  <c r="M606" i="40"/>
  <c r="I606" i="40"/>
  <c r="F606" i="40"/>
  <c r="H606" i="40" s="1"/>
  <c r="E606" i="40"/>
  <c r="B606" i="40"/>
  <c r="N606" i="40" s="1"/>
  <c r="AS605" i="40"/>
  <c r="AN605" i="40"/>
  <c r="AM605" i="40"/>
  <c r="AL605" i="40"/>
  <c r="O605" i="40"/>
  <c r="M605" i="40"/>
  <c r="I605" i="40"/>
  <c r="AQ605" i="40" s="1"/>
  <c r="F605" i="40"/>
  <c r="H605" i="40" s="1"/>
  <c r="B605" i="40"/>
  <c r="N605" i="40" s="1"/>
  <c r="AS604" i="40"/>
  <c r="AN604" i="40"/>
  <c r="AM604" i="40"/>
  <c r="AL604" i="40"/>
  <c r="O604" i="40"/>
  <c r="M604" i="40"/>
  <c r="I604" i="40"/>
  <c r="F604" i="40"/>
  <c r="H604" i="40" s="1"/>
  <c r="E604" i="40"/>
  <c r="B604" i="40"/>
  <c r="N604" i="40" s="1"/>
  <c r="AS603" i="40"/>
  <c r="AN603" i="40"/>
  <c r="AM603" i="40"/>
  <c r="AL603" i="40"/>
  <c r="O603" i="40"/>
  <c r="M603" i="40"/>
  <c r="J603" i="40"/>
  <c r="AU603" i="40" s="1"/>
  <c r="I603" i="40"/>
  <c r="AQ603" i="40" s="1"/>
  <c r="H603" i="40"/>
  <c r="AX603" i="40" s="1"/>
  <c r="F603" i="40"/>
  <c r="E603" i="40"/>
  <c r="B603" i="40"/>
  <c r="N603" i="40" s="1"/>
  <c r="AS602" i="40"/>
  <c r="AQ602" i="40"/>
  <c r="AR602" i="40" s="1"/>
  <c r="AT602" i="40" s="1"/>
  <c r="O602" i="40"/>
  <c r="N602" i="40"/>
  <c r="M602" i="40"/>
  <c r="J602" i="40"/>
  <c r="L602" i="40" s="1"/>
  <c r="H602" i="40"/>
  <c r="AX602" i="40" s="1"/>
  <c r="AS597" i="40"/>
  <c r="AN597" i="40"/>
  <c r="AM597" i="40"/>
  <c r="AL597" i="40"/>
  <c r="O597" i="40"/>
  <c r="M597" i="40"/>
  <c r="I597" i="40"/>
  <c r="F597" i="40"/>
  <c r="H597" i="40" s="1"/>
  <c r="E597" i="40"/>
  <c r="B597" i="40"/>
  <c r="N597" i="40" s="1"/>
  <c r="AS596" i="40"/>
  <c r="AN596" i="40"/>
  <c r="AM596" i="40"/>
  <c r="AL596" i="40"/>
  <c r="AQ596" i="40" s="1"/>
  <c r="O596" i="40"/>
  <c r="M596" i="40"/>
  <c r="I596" i="40"/>
  <c r="F596" i="40"/>
  <c r="E596" i="40"/>
  <c r="H596" i="40" s="1"/>
  <c r="B596" i="40"/>
  <c r="N596" i="40" s="1"/>
  <c r="AS595" i="40"/>
  <c r="AN595" i="40"/>
  <c r="AM595" i="40"/>
  <c r="AQ595" i="40" s="1"/>
  <c r="AL595" i="40"/>
  <c r="O595" i="40"/>
  <c r="M595" i="40"/>
  <c r="I595" i="40"/>
  <c r="J595" i="40" s="1"/>
  <c r="AU595" i="40" s="1"/>
  <c r="F595" i="40"/>
  <c r="H595" i="40" s="1"/>
  <c r="B595" i="40"/>
  <c r="N595" i="40" s="1"/>
  <c r="AU594" i="40"/>
  <c r="AS594" i="40"/>
  <c r="AQ594" i="40"/>
  <c r="AN594" i="40"/>
  <c r="AM594" i="40"/>
  <c r="AL594" i="40"/>
  <c r="O594" i="40"/>
  <c r="M594" i="40"/>
  <c r="I594" i="40"/>
  <c r="F594" i="40"/>
  <c r="E594" i="40"/>
  <c r="H594" i="40" s="1"/>
  <c r="B594" i="40"/>
  <c r="N594" i="40" s="1"/>
  <c r="AU593" i="40"/>
  <c r="AS593" i="40"/>
  <c r="AN593" i="40"/>
  <c r="AM593" i="40"/>
  <c r="AQ593" i="40" s="1"/>
  <c r="AL593" i="40"/>
  <c r="O593" i="40"/>
  <c r="M593" i="40"/>
  <c r="J593" i="40"/>
  <c r="I593" i="40"/>
  <c r="F593" i="40"/>
  <c r="E593" i="40"/>
  <c r="H593" i="40" s="1"/>
  <c r="B593" i="40"/>
  <c r="N593" i="40" s="1"/>
  <c r="AS592" i="40"/>
  <c r="AQ592" i="40"/>
  <c r="O592" i="40"/>
  <c r="N592" i="40"/>
  <c r="M592" i="40"/>
  <c r="J592" i="40"/>
  <c r="AU592" i="40" s="1"/>
  <c r="H592" i="40"/>
  <c r="L582" i="40"/>
  <c r="AS587" i="40"/>
  <c r="AN587" i="40"/>
  <c r="AM587" i="40"/>
  <c r="O587" i="40"/>
  <c r="M587" i="40"/>
  <c r="I587" i="40"/>
  <c r="F587" i="40"/>
  <c r="E587" i="40"/>
  <c r="B587" i="40"/>
  <c r="N587" i="40" s="1"/>
  <c r="AS586" i="40"/>
  <c r="AN586" i="40"/>
  <c r="AM586" i="40"/>
  <c r="O586" i="40"/>
  <c r="M586" i="40"/>
  <c r="I586" i="40"/>
  <c r="F586" i="40"/>
  <c r="H586" i="40" s="1"/>
  <c r="E586" i="40"/>
  <c r="B586" i="40"/>
  <c r="N586" i="40" s="1"/>
  <c r="AS585" i="40"/>
  <c r="AN585" i="40"/>
  <c r="AM585" i="40"/>
  <c r="O585" i="40"/>
  <c r="M585" i="40"/>
  <c r="J585" i="40"/>
  <c r="AU585" i="40" s="1"/>
  <c r="I585" i="40"/>
  <c r="F585" i="40"/>
  <c r="H585" i="40" s="1"/>
  <c r="B585" i="40"/>
  <c r="N585" i="40" s="1"/>
  <c r="AS584" i="40"/>
  <c r="AN584" i="40"/>
  <c r="AM584" i="40"/>
  <c r="O584" i="40"/>
  <c r="N584" i="40"/>
  <c r="M584" i="40"/>
  <c r="I584" i="40"/>
  <c r="F584" i="40"/>
  <c r="E584" i="40"/>
  <c r="H584" i="40" s="1"/>
  <c r="B584" i="40"/>
  <c r="AS583" i="40"/>
  <c r="AN583" i="40"/>
  <c r="AM583" i="40"/>
  <c r="O583" i="40"/>
  <c r="M583" i="40"/>
  <c r="I583" i="40"/>
  <c r="F583" i="40"/>
  <c r="E583" i="40"/>
  <c r="B583" i="40"/>
  <c r="N583" i="40" s="1"/>
  <c r="AX582" i="40"/>
  <c r="AW582" i="40"/>
  <c r="AS582" i="40"/>
  <c r="AL582" i="40"/>
  <c r="AQ582" i="40" s="1"/>
  <c r="AR582" i="40" s="1"/>
  <c r="AT582" i="40" s="1"/>
  <c r="O582" i="40"/>
  <c r="N582" i="40"/>
  <c r="M582" i="40"/>
  <c r="J583" i="40"/>
  <c r="J582" i="40"/>
  <c r="AU582" i="40" s="1"/>
  <c r="H582" i="40"/>
  <c r="AS577" i="40"/>
  <c r="AN577" i="40"/>
  <c r="AM577" i="40"/>
  <c r="AQ577" i="40" s="1"/>
  <c r="AL577" i="40"/>
  <c r="O577" i="40"/>
  <c r="M577" i="40"/>
  <c r="I577" i="40"/>
  <c r="F577" i="40"/>
  <c r="E577" i="40"/>
  <c r="H577" i="40" s="1"/>
  <c r="B577" i="40"/>
  <c r="N577" i="40" s="1"/>
  <c r="AS576" i="40"/>
  <c r="AN576" i="40"/>
  <c r="AM576" i="40"/>
  <c r="AQ576" i="40" s="1"/>
  <c r="AL576" i="40"/>
  <c r="O576" i="40"/>
  <c r="M576" i="40"/>
  <c r="I576" i="40"/>
  <c r="F576" i="40"/>
  <c r="E576" i="40"/>
  <c r="H576" i="40" s="1"/>
  <c r="B576" i="40"/>
  <c r="N576" i="40" s="1"/>
  <c r="AS575" i="40"/>
  <c r="AN575" i="40"/>
  <c r="AM575" i="40"/>
  <c r="AQ575" i="40" s="1"/>
  <c r="AL575" i="40"/>
  <c r="O575" i="40"/>
  <c r="N575" i="40"/>
  <c r="M575" i="40"/>
  <c r="I575" i="40"/>
  <c r="J575" i="40" s="1"/>
  <c r="AU575" i="40" s="1"/>
  <c r="F575" i="40"/>
  <c r="H575" i="40" s="1"/>
  <c r="B575" i="40"/>
  <c r="AS574" i="40"/>
  <c r="AN574" i="40"/>
  <c r="AM574" i="40"/>
  <c r="AL574" i="40"/>
  <c r="O574" i="40"/>
  <c r="M574" i="40"/>
  <c r="I574" i="40"/>
  <c r="F574" i="40"/>
  <c r="H574" i="40" s="1"/>
  <c r="E574" i="40"/>
  <c r="B574" i="40"/>
  <c r="N574" i="40" s="1"/>
  <c r="AX573" i="40"/>
  <c r="AW573" i="40"/>
  <c r="AS573" i="40"/>
  <c r="AQ573" i="40"/>
  <c r="AN573" i="40"/>
  <c r="AM573" i="40"/>
  <c r="AL573" i="40"/>
  <c r="O573" i="40"/>
  <c r="M573" i="40"/>
  <c r="J573" i="40"/>
  <c r="AU573" i="40" s="1"/>
  <c r="I573" i="40"/>
  <c r="H573" i="40"/>
  <c r="F573" i="40"/>
  <c r="E573" i="40"/>
  <c r="B573" i="40"/>
  <c r="N573" i="40" s="1"/>
  <c r="AW572" i="40"/>
  <c r="AS572" i="40"/>
  <c r="AQ572" i="40"/>
  <c r="AR572" i="40" s="1"/>
  <c r="AT572" i="40" s="1"/>
  <c r="O572" i="40"/>
  <c r="N572" i="40"/>
  <c r="M572" i="40"/>
  <c r="J572" i="40"/>
  <c r="AU572" i="40" s="1"/>
  <c r="AV572" i="40" s="1"/>
  <c r="AY572" i="40" s="1"/>
  <c r="H572" i="40"/>
  <c r="AX572" i="40" s="1"/>
  <c r="AS567" i="40"/>
  <c r="AN567" i="40"/>
  <c r="AM567" i="40"/>
  <c r="AL567" i="40"/>
  <c r="O567" i="40"/>
  <c r="M567" i="40"/>
  <c r="I567" i="40"/>
  <c r="F567" i="40"/>
  <c r="E567" i="40"/>
  <c r="H567" i="40" s="1"/>
  <c r="B567" i="40"/>
  <c r="N567" i="40" s="1"/>
  <c r="AS566" i="40"/>
  <c r="AN566" i="40"/>
  <c r="AM566" i="40"/>
  <c r="AL566" i="40"/>
  <c r="O566" i="40"/>
  <c r="M566" i="40"/>
  <c r="I566" i="40"/>
  <c r="F566" i="40"/>
  <c r="E566" i="40"/>
  <c r="H566" i="40" s="1"/>
  <c r="B566" i="40"/>
  <c r="N566" i="40" s="1"/>
  <c r="AS565" i="40"/>
  <c r="AN565" i="40"/>
  <c r="AM565" i="40"/>
  <c r="AQ565" i="40" s="1"/>
  <c r="AL565" i="40"/>
  <c r="O565" i="40"/>
  <c r="M565" i="40"/>
  <c r="I565" i="40"/>
  <c r="J565" i="40" s="1"/>
  <c r="AU565" i="40" s="1"/>
  <c r="F565" i="40"/>
  <c r="H565" i="40" s="1"/>
  <c r="B565" i="40"/>
  <c r="N565" i="40" s="1"/>
  <c r="AU564" i="40"/>
  <c r="AS564" i="40"/>
  <c r="AN564" i="40"/>
  <c r="AM564" i="40"/>
  <c r="AQ564" i="40" s="1"/>
  <c r="AL564" i="40"/>
  <c r="O564" i="40"/>
  <c r="M564" i="40"/>
  <c r="I564" i="40"/>
  <c r="F564" i="40"/>
  <c r="H564" i="40" s="1"/>
  <c r="E564" i="40"/>
  <c r="B564" i="40"/>
  <c r="N564" i="40" s="1"/>
  <c r="AS563" i="40"/>
  <c r="AN563" i="40"/>
  <c r="AM563" i="40"/>
  <c r="AL563" i="40"/>
  <c r="O563" i="40"/>
  <c r="M563" i="40"/>
  <c r="J563" i="40"/>
  <c r="AU563" i="40" s="1"/>
  <c r="I563" i="40"/>
  <c r="AQ563" i="40" s="1"/>
  <c r="F563" i="40"/>
  <c r="H563" i="40" s="1"/>
  <c r="E563" i="40"/>
  <c r="B563" i="40"/>
  <c r="N563" i="40" s="1"/>
  <c r="AS562" i="40"/>
  <c r="AQ562" i="40"/>
  <c r="AR562" i="40" s="1"/>
  <c r="AT562" i="40" s="1"/>
  <c r="O562" i="40"/>
  <c r="N562" i="40"/>
  <c r="M562" i="40"/>
  <c r="J562" i="40"/>
  <c r="L562" i="40" s="1"/>
  <c r="H562" i="40"/>
  <c r="L332" i="40"/>
  <c r="I333" i="40"/>
  <c r="J333" i="40" s="1"/>
  <c r="AU333" i="40" s="1"/>
  <c r="J332" i="40"/>
  <c r="J553" i="40"/>
  <c r="I553" i="40"/>
  <c r="O554" i="40"/>
  <c r="N554" i="40"/>
  <c r="AX553" i="40"/>
  <c r="AW553" i="40"/>
  <c r="AS553" i="40"/>
  <c r="AN553" i="40"/>
  <c r="AM553" i="40"/>
  <c r="AL553" i="40"/>
  <c r="AI553" i="40"/>
  <c r="O553" i="40"/>
  <c r="N553" i="40"/>
  <c r="M553" i="40"/>
  <c r="AU553" i="40"/>
  <c r="H553" i="40"/>
  <c r="F553" i="40"/>
  <c r="E553" i="40"/>
  <c r="B553" i="40"/>
  <c r="AW552" i="40"/>
  <c r="AT552" i="40"/>
  <c r="AS552" i="40"/>
  <c r="AR552" i="40"/>
  <c r="AQ552" i="40"/>
  <c r="AI552" i="40"/>
  <c r="O552" i="40"/>
  <c r="N552" i="40"/>
  <c r="M552" i="40"/>
  <c r="J552" i="40"/>
  <c r="AU552" i="40" s="1"/>
  <c r="AV552" i="40" s="1"/>
  <c r="H552" i="40"/>
  <c r="AS547" i="40"/>
  <c r="AN547" i="40"/>
  <c r="AM547" i="40"/>
  <c r="AL547" i="40"/>
  <c r="O547" i="40"/>
  <c r="M547" i="40"/>
  <c r="F547" i="40"/>
  <c r="B547" i="40"/>
  <c r="N547" i="40" s="1"/>
  <c r="AS546" i="40"/>
  <c r="AN546" i="40"/>
  <c r="AM546" i="40"/>
  <c r="AL546" i="40"/>
  <c r="O546" i="40"/>
  <c r="M546" i="40"/>
  <c r="F546" i="40"/>
  <c r="B546" i="40"/>
  <c r="N546" i="40" s="1"/>
  <c r="AS545" i="40"/>
  <c r="AN545" i="40"/>
  <c r="AM545" i="40"/>
  <c r="AQ545" i="40" s="1"/>
  <c r="AL545" i="40"/>
  <c r="O545" i="40"/>
  <c r="M545" i="40"/>
  <c r="I545" i="40"/>
  <c r="J545" i="40" s="1"/>
  <c r="AU545" i="40" s="1"/>
  <c r="F545" i="40"/>
  <c r="B545" i="40"/>
  <c r="N545" i="40" s="1"/>
  <c r="AS544" i="40"/>
  <c r="AN544" i="40"/>
  <c r="AM544" i="40"/>
  <c r="AL544" i="40"/>
  <c r="O544" i="40"/>
  <c r="M544" i="40"/>
  <c r="H544" i="40"/>
  <c r="F544" i="40"/>
  <c r="E544" i="40"/>
  <c r="E546" i="40" s="1"/>
  <c r="H546" i="40" s="1"/>
  <c r="B544" i="40"/>
  <c r="N544" i="40" s="1"/>
  <c r="AS543" i="40"/>
  <c r="AN543" i="40"/>
  <c r="AM543" i="40"/>
  <c r="AL543" i="40"/>
  <c r="O543" i="40"/>
  <c r="M543" i="40"/>
  <c r="F543" i="40"/>
  <c r="E543" i="40"/>
  <c r="E545" i="40" s="1"/>
  <c r="B543" i="40"/>
  <c r="N543" i="40" s="1"/>
  <c r="AW542" i="40"/>
  <c r="AS542" i="40"/>
  <c r="O542" i="40"/>
  <c r="N542" i="40"/>
  <c r="M542" i="40"/>
  <c r="I542" i="40"/>
  <c r="I546" i="40" s="1"/>
  <c r="H542" i="40"/>
  <c r="AS537" i="40"/>
  <c r="AN537" i="40"/>
  <c r="AM537" i="40"/>
  <c r="AL537" i="40"/>
  <c r="O537" i="40"/>
  <c r="M537" i="40"/>
  <c r="I537" i="40"/>
  <c r="F537" i="40"/>
  <c r="E537" i="40"/>
  <c r="B537" i="40"/>
  <c r="N537" i="40" s="1"/>
  <c r="AS536" i="40"/>
  <c r="AN536" i="40"/>
  <c r="AM536" i="40"/>
  <c r="AL536" i="40"/>
  <c r="O536" i="40"/>
  <c r="M536" i="40"/>
  <c r="J536" i="40"/>
  <c r="AU536" i="40" s="1"/>
  <c r="I536" i="40"/>
  <c r="F536" i="40"/>
  <c r="E536" i="40"/>
  <c r="H536" i="40" s="1"/>
  <c r="B536" i="40"/>
  <c r="N536" i="40" s="1"/>
  <c r="AS535" i="40"/>
  <c r="AN535" i="40"/>
  <c r="AM535" i="40"/>
  <c r="AQ535" i="40" s="1"/>
  <c r="AL535" i="40"/>
  <c r="O535" i="40"/>
  <c r="M535" i="40"/>
  <c r="I535" i="40"/>
  <c r="J535" i="40" s="1"/>
  <c r="AU535" i="40" s="1"/>
  <c r="F535" i="40"/>
  <c r="H535" i="40" s="1"/>
  <c r="B535" i="40"/>
  <c r="N535" i="40" s="1"/>
  <c r="AS534" i="40"/>
  <c r="AN534" i="40"/>
  <c r="AM534" i="40"/>
  <c r="AQ534" i="40" s="1"/>
  <c r="AL534" i="40"/>
  <c r="O534" i="40"/>
  <c r="M534" i="40"/>
  <c r="I534" i="40"/>
  <c r="F534" i="40"/>
  <c r="H534" i="40" s="1"/>
  <c r="E534" i="40"/>
  <c r="B534" i="40"/>
  <c r="N534" i="40" s="1"/>
  <c r="AS533" i="40"/>
  <c r="AN533" i="40"/>
  <c r="AM533" i="40"/>
  <c r="AL533" i="40"/>
  <c r="O533" i="40"/>
  <c r="N533" i="40"/>
  <c r="M533" i="40"/>
  <c r="J533" i="40"/>
  <c r="AU533" i="40" s="1"/>
  <c r="I533" i="40"/>
  <c r="AQ533" i="40" s="1"/>
  <c r="F533" i="40"/>
  <c r="E533" i="40"/>
  <c r="B533" i="40"/>
  <c r="AU532" i="40"/>
  <c r="AS532" i="40"/>
  <c r="AQ532" i="40"/>
  <c r="O532" i="40"/>
  <c r="N532" i="40"/>
  <c r="M532" i="40"/>
  <c r="J532" i="40"/>
  <c r="L532" i="40" s="1"/>
  <c r="H532" i="40"/>
  <c r="AW532" i="40" s="1"/>
  <c r="L522" i="40"/>
  <c r="AS527" i="40"/>
  <c r="AN527" i="40"/>
  <c r="AM527" i="40"/>
  <c r="AQ527" i="40" s="1"/>
  <c r="AL527" i="40"/>
  <c r="O527" i="40"/>
  <c r="M527" i="40"/>
  <c r="I527" i="40"/>
  <c r="F527" i="40"/>
  <c r="E527" i="40"/>
  <c r="B527" i="40"/>
  <c r="N527" i="40" s="1"/>
  <c r="AS526" i="40"/>
  <c r="AN526" i="40"/>
  <c r="AM526" i="40"/>
  <c r="AL526" i="40"/>
  <c r="O526" i="40"/>
  <c r="M526" i="40"/>
  <c r="I526" i="40"/>
  <c r="F526" i="40"/>
  <c r="H526" i="40" s="1"/>
  <c r="E526" i="40"/>
  <c r="B526" i="40"/>
  <c r="N526" i="40" s="1"/>
  <c r="AS525" i="40"/>
  <c r="AN525" i="40"/>
  <c r="AM525" i="40"/>
  <c r="AL525" i="40"/>
  <c r="O525" i="40"/>
  <c r="M525" i="40"/>
  <c r="I525" i="40"/>
  <c r="AQ525" i="40" s="1"/>
  <c r="F525" i="40"/>
  <c r="H525" i="40" s="1"/>
  <c r="B525" i="40"/>
  <c r="N525" i="40" s="1"/>
  <c r="AU524" i="40"/>
  <c r="AS524" i="40"/>
  <c r="AN524" i="40"/>
  <c r="AM524" i="40"/>
  <c r="AL524" i="40"/>
  <c r="O524" i="40"/>
  <c r="M524" i="40"/>
  <c r="I524" i="40"/>
  <c r="F524" i="40"/>
  <c r="H524" i="40" s="1"/>
  <c r="E524" i="40"/>
  <c r="B524" i="40"/>
  <c r="N524" i="40" s="1"/>
  <c r="AU523" i="40"/>
  <c r="AS523" i="40"/>
  <c r="AN523" i="40"/>
  <c r="AM523" i="40"/>
  <c r="AL523" i="40"/>
  <c r="O523" i="40"/>
  <c r="M523" i="40"/>
  <c r="J523" i="40"/>
  <c r="I523" i="40"/>
  <c r="AQ523" i="40" s="1"/>
  <c r="F523" i="40"/>
  <c r="H523" i="40" s="1"/>
  <c r="E523" i="40"/>
  <c r="B523" i="40"/>
  <c r="N523" i="40" s="1"/>
  <c r="AS522" i="40"/>
  <c r="AQ522" i="40"/>
  <c r="AR522" i="40" s="1"/>
  <c r="AT522" i="40" s="1"/>
  <c r="O522" i="40"/>
  <c r="N522" i="40"/>
  <c r="M522" i="40"/>
  <c r="J522" i="40"/>
  <c r="AU522" i="40" s="1"/>
  <c r="H522" i="40"/>
  <c r="AX522" i="40" s="1"/>
  <c r="AS517" i="40"/>
  <c r="AQ517" i="40"/>
  <c r="AN517" i="40"/>
  <c r="AM517" i="40"/>
  <c r="AL517" i="40"/>
  <c r="O517" i="40"/>
  <c r="M517" i="40"/>
  <c r="I517" i="40"/>
  <c r="F517" i="40"/>
  <c r="H517" i="40" s="1"/>
  <c r="E517" i="40"/>
  <c r="B517" i="40"/>
  <c r="N517" i="40" s="1"/>
  <c r="AS516" i="40"/>
  <c r="AN516" i="40"/>
  <c r="AM516" i="40"/>
  <c r="AL516" i="40"/>
  <c r="O516" i="40"/>
  <c r="M516" i="40"/>
  <c r="I516" i="40"/>
  <c r="AQ516" i="40" s="1"/>
  <c r="AR516" i="40" s="1"/>
  <c r="AT516" i="40" s="1"/>
  <c r="F516" i="40"/>
  <c r="H516" i="40" s="1"/>
  <c r="E516" i="40"/>
  <c r="B516" i="40"/>
  <c r="N516" i="40" s="1"/>
  <c r="AS515" i="40"/>
  <c r="AN515" i="40"/>
  <c r="AM515" i="40"/>
  <c r="AL515" i="40"/>
  <c r="O515" i="40"/>
  <c r="M515" i="40"/>
  <c r="I515" i="40"/>
  <c r="J516" i="40" s="1"/>
  <c r="F515" i="40"/>
  <c r="H515" i="40" s="1"/>
  <c r="B515" i="40"/>
  <c r="N515" i="40" s="1"/>
  <c r="AX514" i="40"/>
  <c r="AU514" i="40"/>
  <c r="AS514" i="40"/>
  <c r="AQ514" i="40"/>
  <c r="AN514" i="40"/>
  <c r="AM514" i="40"/>
  <c r="AL514" i="40"/>
  <c r="O514" i="40"/>
  <c r="M514" i="40"/>
  <c r="I514" i="40"/>
  <c r="H514" i="40"/>
  <c r="AW514" i="40" s="1"/>
  <c r="F514" i="40"/>
  <c r="E514" i="40"/>
  <c r="B514" i="40"/>
  <c r="N514" i="40" s="1"/>
  <c r="AU513" i="40"/>
  <c r="AS513" i="40"/>
  <c r="AN513" i="40"/>
  <c r="AM513" i="40"/>
  <c r="AL513" i="40"/>
  <c r="O513" i="40"/>
  <c r="M513" i="40"/>
  <c r="J513" i="40"/>
  <c r="I513" i="40"/>
  <c r="AQ513" i="40" s="1"/>
  <c r="H513" i="40"/>
  <c r="F513" i="40"/>
  <c r="E513" i="40"/>
  <c r="B513" i="40"/>
  <c r="N513" i="40" s="1"/>
  <c r="AW512" i="40"/>
  <c r="AS512" i="40"/>
  <c r="AQ512" i="40"/>
  <c r="O512" i="40"/>
  <c r="N512" i="40"/>
  <c r="M512" i="40"/>
  <c r="J512" i="40"/>
  <c r="AU512" i="40" s="1"/>
  <c r="H512" i="40"/>
  <c r="I502" i="40"/>
  <c r="AS507" i="40"/>
  <c r="AN507" i="40"/>
  <c r="AM507" i="40"/>
  <c r="AL507" i="40"/>
  <c r="O507" i="40"/>
  <c r="M507" i="40"/>
  <c r="F507" i="40"/>
  <c r="B507" i="40"/>
  <c r="N507" i="40" s="1"/>
  <c r="AS506" i="40"/>
  <c r="AN506" i="40"/>
  <c r="AM506" i="40"/>
  <c r="AL506" i="40"/>
  <c r="O506" i="40"/>
  <c r="M506" i="40"/>
  <c r="F506" i="40"/>
  <c r="B506" i="40"/>
  <c r="N506" i="40" s="1"/>
  <c r="AS505" i="40"/>
  <c r="AN505" i="40"/>
  <c r="AM505" i="40"/>
  <c r="AL505" i="40"/>
  <c r="O505" i="40"/>
  <c r="M505" i="40"/>
  <c r="F505" i="40"/>
  <c r="B505" i="40"/>
  <c r="N505" i="40" s="1"/>
  <c r="AS504" i="40"/>
  <c r="AN504" i="40"/>
  <c r="AM504" i="40"/>
  <c r="AL504" i="40"/>
  <c r="O504" i="40"/>
  <c r="M504" i="40"/>
  <c r="F504" i="40"/>
  <c r="E504" i="40"/>
  <c r="E506" i="40" s="1"/>
  <c r="H506" i="40" s="1"/>
  <c r="B504" i="40"/>
  <c r="N504" i="40" s="1"/>
  <c r="AS503" i="40"/>
  <c r="AN503" i="40"/>
  <c r="AM503" i="40"/>
  <c r="AL503" i="40"/>
  <c r="O503" i="40"/>
  <c r="M503" i="40"/>
  <c r="F503" i="40"/>
  <c r="E503" i="40"/>
  <c r="E505" i="40" s="1"/>
  <c r="B503" i="40"/>
  <c r="N503" i="40" s="1"/>
  <c r="AW502" i="40"/>
  <c r="AS502" i="40"/>
  <c r="O502" i="40"/>
  <c r="N502" i="40"/>
  <c r="M502" i="40"/>
  <c r="I506" i="40"/>
  <c r="AQ506" i="40" s="1"/>
  <c r="H502" i="40"/>
  <c r="AS497" i="40"/>
  <c r="AN497" i="40"/>
  <c r="AM497" i="40"/>
  <c r="AQ497" i="40" s="1"/>
  <c r="AL497" i="40"/>
  <c r="O497" i="40"/>
  <c r="M497" i="40"/>
  <c r="I497" i="40"/>
  <c r="F497" i="40"/>
  <c r="E497" i="40"/>
  <c r="H497" i="40" s="1"/>
  <c r="B497" i="40"/>
  <c r="N497" i="40" s="1"/>
  <c r="AS496" i="40"/>
  <c r="AN496" i="40"/>
  <c r="AM496" i="40"/>
  <c r="AQ496" i="40" s="1"/>
  <c r="AL496" i="40"/>
  <c r="O496" i="40"/>
  <c r="M496" i="40"/>
  <c r="I496" i="40"/>
  <c r="F496" i="40"/>
  <c r="H496" i="40" s="1"/>
  <c r="E496" i="40"/>
  <c r="B496" i="40"/>
  <c r="N496" i="40" s="1"/>
  <c r="AS495" i="40"/>
  <c r="AN495" i="40"/>
  <c r="AM495" i="40"/>
  <c r="AL495" i="40"/>
  <c r="O495" i="40"/>
  <c r="M495" i="40"/>
  <c r="I495" i="40"/>
  <c r="J495" i="40" s="1"/>
  <c r="AU495" i="40" s="1"/>
  <c r="F495" i="40"/>
  <c r="H495" i="40" s="1"/>
  <c r="B495" i="40"/>
  <c r="N495" i="40" s="1"/>
  <c r="AS494" i="40"/>
  <c r="AN494" i="40"/>
  <c r="AM494" i="40"/>
  <c r="AQ494" i="40" s="1"/>
  <c r="AL494" i="40"/>
  <c r="O494" i="40"/>
  <c r="M494" i="40"/>
  <c r="I494" i="40"/>
  <c r="F494" i="40"/>
  <c r="E494" i="40"/>
  <c r="H494" i="40" s="1"/>
  <c r="B494" i="40"/>
  <c r="N494" i="40" s="1"/>
  <c r="AX493" i="40"/>
  <c r="AW493" i="40"/>
  <c r="AS493" i="40"/>
  <c r="AN493" i="40"/>
  <c r="AM493" i="40"/>
  <c r="AL493" i="40"/>
  <c r="O493" i="40"/>
  <c r="M493" i="40"/>
  <c r="J493" i="40"/>
  <c r="AU493" i="40" s="1"/>
  <c r="I493" i="40"/>
  <c r="H493" i="40"/>
  <c r="F493" i="40"/>
  <c r="E493" i="40"/>
  <c r="B493" i="40"/>
  <c r="N493" i="40" s="1"/>
  <c r="AS492" i="40"/>
  <c r="AQ492" i="40"/>
  <c r="AR492" i="40" s="1"/>
  <c r="AT492" i="40" s="1"/>
  <c r="O492" i="40"/>
  <c r="N492" i="40"/>
  <c r="M492" i="40"/>
  <c r="J492" i="40"/>
  <c r="L492" i="40" s="1"/>
  <c r="H492" i="40"/>
  <c r="AS487" i="40"/>
  <c r="AN487" i="40"/>
  <c r="AM487" i="40"/>
  <c r="AQ487" i="40" s="1"/>
  <c r="AL487" i="40"/>
  <c r="O487" i="40"/>
  <c r="M487" i="40"/>
  <c r="I487" i="40"/>
  <c r="F487" i="40"/>
  <c r="E487" i="40"/>
  <c r="H487" i="40" s="1"/>
  <c r="B487" i="40"/>
  <c r="N487" i="40" s="1"/>
  <c r="AS486" i="40"/>
  <c r="AN486" i="40"/>
  <c r="AM486" i="40"/>
  <c r="AL486" i="40"/>
  <c r="O486" i="40"/>
  <c r="N486" i="40"/>
  <c r="M486" i="40"/>
  <c r="I486" i="40"/>
  <c r="F486" i="40"/>
  <c r="E486" i="40"/>
  <c r="H486" i="40" s="1"/>
  <c r="B486" i="40"/>
  <c r="AS485" i="40"/>
  <c r="AN485" i="40"/>
  <c r="AM485" i="40"/>
  <c r="AQ485" i="40" s="1"/>
  <c r="AL485" i="40"/>
  <c r="O485" i="40"/>
  <c r="N485" i="40"/>
  <c r="M485" i="40"/>
  <c r="I485" i="40"/>
  <c r="J485" i="40" s="1"/>
  <c r="AU485" i="40" s="1"/>
  <c r="F485" i="40"/>
  <c r="H485" i="40" s="1"/>
  <c r="B485" i="40"/>
  <c r="AU484" i="40"/>
  <c r="AS484" i="40"/>
  <c r="AN484" i="40"/>
  <c r="AM484" i="40"/>
  <c r="AL484" i="40"/>
  <c r="O484" i="40"/>
  <c r="N484" i="40"/>
  <c r="M484" i="40"/>
  <c r="I484" i="40"/>
  <c r="F484" i="40"/>
  <c r="H484" i="40" s="1"/>
  <c r="E484" i="40"/>
  <c r="B484" i="40"/>
  <c r="AW483" i="40"/>
  <c r="AU483" i="40"/>
  <c r="AS483" i="40"/>
  <c r="AQ483" i="40"/>
  <c r="AR483" i="40" s="1"/>
  <c r="AT483" i="40" s="1"/>
  <c r="AN483" i="40"/>
  <c r="AM483" i="40"/>
  <c r="AL483" i="40"/>
  <c r="O483" i="40"/>
  <c r="M483" i="40"/>
  <c r="J483" i="40"/>
  <c r="I483" i="40"/>
  <c r="H483" i="40"/>
  <c r="AX483" i="40" s="1"/>
  <c r="F483" i="40"/>
  <c r="E483" i="40"/>
  <c r="B483" i="40"/>
  <c r="N483" i="40" s="1"/>
  <c r="AS482" i="40"/>
  <c r="AQ482" i="40"/>
  <c r="AR482" i="40" s="1"/>
  <c r="AT482" i="40" s="1"/>
  <c r="O482" i="40"/>
  <c r="N482" i="40"/>
  <c r="M482" i="40"/>
  <c r="J482" i="40"/>
  <c r="AU482" i="40" s="1"/>
  <c r="AV482" i="40" s="1"/>
  <c r="AY482" i="40" s="1"/>
  <c r="H482" i="40"/>
  <c r="AX482" i="40" s="1"/>
  <c r="AS477" i="40"/>
  <c r="AN477" i="40"/>
  <c r="AM477" i="40"/>
  <c r="AL477" i="40"/>
  <c r="AQ477" i="40" s="1"/>
  <c r="O477" i="40"/>
  <c r="M477" i="40"/>
  <c r="I477" i="40"/>
  <c r="F477" i="40"/>
  <c r="E477" i="40"/>
  <c r="H477" i="40" s="1"/>
  <c r="B477" i="40"/>
  <c r="N477" i="40" s="1"/>
  <c r="AS476" i="40"/>
  <c r="AN476" i="40"/>
  <c r="AM476" i="40"/>
  <c r="AL476" i="40"/>
  <c r="O476" i="40"/>
  <c r="M476" i="40"/>
  <c r="I476" i="40"/>
  <c r="F476" i="40"/>
  <c r="E476" i="40"/>
  <c r="H476" i="40" s="1"/>
  <c r="B476" i="40"/>
  <c r="N476" i="40" s="1"/>
  <c r="AS475" i="40"/>
  <c r="AN475" i="40"/>
  <c r="AM475" i="40"/>
  <c r="AQ475" i="40" s="1"/>
  <c r="AL475" i="40"/>
  <c r="O475" i="40"/>
  <c r="M475" i="40"/>
  <c r="J475" i="40"/>
  <c r="AU475" i="40" s="1"/>
  <c r="I475" i="40"/>
  <c r="J476" i="40" s="1"/>
  <c r="AU476" i="40" s="1"/>
  <c r="F475" i="40"/>
  <c r="H475" i="40" s="1"/>
  <c r="B475" i="40"/>
  <c r="N475" i="40" s="1"/>
  <c r="AS474" i="40"/>
  <c r="AN474" i="40"/>
  <c r="AM474" i="40"/>
  <c r="AQ474" i="40" s="1"/>
  <c r="AL474" i="40"/>
  <c r="O474" i="40"/>
  <c r="M474" i="40"/>
  <c r="I474" i="40"/>
  <c r="F474" i="40"/>
  <c r="H474" i="40" s="1"/>
  <c r="E474" i="40"/>
  <c r="B474" i="40"/>
  <c r="N474" i="40" s="1"/>
  <c r="AS473" i="40"/>
  <c r="AN473" i="40"/>
  <c r="AM473" i="40"/>
  <c r="AL473" i="40"/>
  <c r="O473" i="40"/>
  <c r="M473" i="40"/>
  <c r="J473" i="40"/>
  <c r="AU473" i="40" s="1"/>
  <c r="I473" i="40"/>
  <c r="AQ473" i="40" s="1"/>
  <c r="F473" i="40"/>
  <c r="E473" i="40"/>
  <c r="H473" i="40" s="1"/>
  <c r="B473" i="40"/>
  <c r="N473" i="40" s="1"/>
  <c r="AW472" i="40"/>
  <c r="AS472" i="40"/>
  <c r="AR472" i="40"/>
  <c r="AT472" i="40" s="1"/>
  <c r="AQ472" i="40"/>
  <c r="O472" i="40"/>
  <c r="N472" i="40"/>
  <c r="M472" i="40"/>
  <c r="J472" i="40"/>
  <c r="AU472" i="40" s="1"/>
  <c r="H472" i="40"/>
  <c r="AX472" i="40" s="1"/>
  <c r="AS467" i="40"/>
  <c r="AN467" i="40"/>
  <c r="AM467" i="40"/>
  <c r="AQ467" i="40" s="1"/>
  <c r="AL467" i="40"/>
  <c r="O467" i="40"/>
  <c r="M467" i="40"/>
  <c r="I467" i="40"/>
  <c r="F467" i="40"/>
  <c r="E467" i="40"/>
  <c r="H467" i="40" s="1"/>
  <c r="B467" i="40"/>
  <c r="N467" i="40" s="1"/>
  <c r="AS466" i="40"/>
  <c r="AN466" i="40"/>
  <c r="AM466" i="40"/>
  <c r="AL466" i="40"/>
  <c r="O466" i="40"/>
  <c r="M466" i="40"/>
  <c r="I466" i="40"/>
  <c r="F466" i="40"/>
  <c r="E466" i="40"/>
  <c r="B466" i="40"/>
  <c r="N466" i="40" s="1"/>
  <c r="AS465" i="40"/>
  <c r="AN465" i="40"/>
  <c r="AM465" i="40"/>
  <c r="AL465" i="40"/>
  <c r="O465" i="40"/>
  <c r="M465" i="40"/>
  <c r="I465" i="40"/>
  <c r="J465" i="40" s="1"/>
  <c r="AU465" i="40" s="1"/>
  <c r="H465" i="40"/>
  <c r="F465" i="40"/>
  <c r="B465" i="40"/>
  <c r="N465" i="40" s="1"/>
  <c r="AS464" i="40"/>
  <c r="AN464" i="40"/>
  <c r="AM464" i="40"/>
  <c r="AL464" i="40"/>
  <c r="O464" i="40"/>
  <c r="M464" i="40"/>
  <c r="I464" i="40"/>
  <c r="AQ464" i="40" s="1"/>
  <c r="F464" i="40"/>
  <c r="H464" i="40" s="1"/>
  <c r="AW464" i="40" s="1"/>
  <c r="E464" i="40"/>
  <c r="B464" i="40"/>
  <c r="N464" i="40" s="1"/>
  <c r="AS463" i="40"/>
  <c r="AN463" i="40"/>
  <c r="AM463" i="40"/>
  <c r="AL463" i="40"/>
  <c r="O463" i="40"/>
  <c r="M463" i="40"/>
  <c r="J463" i="40"/>
  <c r="AU463" i="40" s="1"/>
  <c r="I463" i="40"/>
  <c r="AQ463" i="40" s="1"/>
  <c r="AR463" i="40" s="1"/>
  <c r="F463" i="40"/>
  <c r="E463" i="40"/>
  <c r="B463" i="40"/>
  <c r="N463" i="40" s="1"/>
  <c r="AS462" i="40"/>
  <c r="AQ462" i="40"/>
  <c r="O462" i="40"/>
  <c r="N462" i="40"/>
  <c r="M462" i="40"/>
  <c r="J462" i="40"/>
  <c r="L462" i="40" s="1"/>
  <c r="H462" i="40"/>
  <c r="AU447" i="40"/>
  <c r="AS447" i="40"/>
  <c r="AN447" i="40"/>
  <c r="AM447" i="40"/>
  <c r="AL447" i="40"/>
  <c r="O447" i="40"/>
  <c r="M447" i="40"/>
  <c r="F447" i="40"/>
  <c r="B447" i="40"/>
  <c r="N447" i="40" s="1"/>
  <c r="AU446" i="40"/>
  <c r="AS446" i="40"/>
  <c r="AN446" i="40"/>
  <c r="AM446" i="40"/>
  <c r="AQ446" i="40" s="1"/>
  <c r="AL446" i="40"/>
  <c r="O446" i="40"/>
  <c r="M446" i="40"/>
  <c r="I446" i="40"/>
  <c r="F446" i="40"/>
  <c r="B446" i="40"/>
  <c r="N446" i="40" s="1"/>
  <c r="AS445" i="40"/>
  <c r="AN445" i="40"/>
  <c r="AM445" i="40"/>
  <c r="AL445" i="40"/>
  <c r="O445" i="40"/>
  <c r="N445" i="40"/>
  <c r="M445" i="40"/>
  <c r="F445" i="40"/>
  <c r="E445" i="40"/>
  <c r="E447" i="40" s="1"/>
  <c r="H447" i="40" s="1"/>
  <c r="B445" i="40"/>
  <c r="AS444" i="40"/>
  <c r="AN444" i="40"/>
  <c r="AM444" i="40"/>
  <c r="AL444" i="40"/>
  <c r="O444" i="40"/>
  <c r="M444" i="40"/>
  <c r="F444" i="40"/>
  <c r="E444" i="40"/>
  <c r="E446" i="40" s="1"/>
  <c r="H446" i="40" s="1"/>
  <c r="B444" i="40"/>
  <c r="N444" i="40" s="1"/>
  <c r="AS443" i="40"/>
  <c r="AN443" i="40"/>
  <c r="AM443" i="40"/>
  <c r="AL443" i="40"/>
  <c r="O443" i="40"/>
  <c r="M443" i="40"/>
  <c r="F443" i="40"/>
  <c r="E443" i="40"/>
  <c r="H443" i="40" s="1"/>
  <c r="B443" i="40"/>
  <c r="N443" i="40" s="1"/>
  <c r="AS442" i="40"/>
  <c r="O442" i="40"/>
  <c r="N442" i="40"/>
  <c r="M442" i="40"/>
  <c r="I442" i="40"/>
  <c r="I443" i="40" s="1"/>
  <c r="H442" i="40"/>
  <c r="AX442" i="40" s="1"/>
  <c r="AS457" i="40"/>
  <c r="AN457" i="40"/>
  <c r="AM457" i="40"/>
  <c r="AL457" i="40"/>
  <c r="O457" i="40"/>
  <c r="M457" i="40"/>
  <c r="I457" i="40"/>
  <c r="F457" i="40"/>
  <c r="E457" i="40"/>
  <c r="H457" i="40" s="1"/>
  <c r="B457" i="40"/>
  <c r="N457" i="40" s="1"/>
  <c r="AS456" i="40"/>
  <c r="AN456" i="40"/>
  <c r="AM456" i="40"/>
  <c r="AL456" i="40"/>
  <c r="O456" i="40"/>
  <c r="M456" i="40"/>
  <c r="I456" i="40"/>
  <c r="F456" i="40"/>
  <c r="E456" i="40"/>
  <c r="B456" i="40"/>
  <c r="N456" i="40" s="1"/>
  <c r="AS455" i="40"/>
  <c r="AN455" i="40"/>
  <c r="AM455" i="40"/>
  <c r="AL455" i="40"/>
  <c r="O455" i="40"/>
  <c r="N455" i="40"/>
  <c r="M455" i="40"/>
  <c r="I455" i="40"/>
  <c r="J456" i="40" s="1"/>
  <c r="AU456" i="40" s="1"/>
  <c r="F455" i="40"/>
  <c r="H455" i="40" s="1"/>
  <c r="B455" i="40"/>
  <c r="AS454" i="40"/>
  <c r="AN454" i="40"/>
  <c r="AM454" i="40"/>
  <c r="AL454" i="40"/>
  <c r="O454" i="40"/>
  <c r="M454" i="40"/>
  <c r="I454" i="40"/>
  <c r="F454" i="40"/>
  <c r="E454" i="40"/>
  <c r="B454" i="40"/>
  <c r="N454" i="40" s="1"/>
  <c r="AS453" i="40"/>
  <c r="AN453" i="40"/>
  <c r="AM453" i="40"/>
  <c r="AL453" i="40"/>
  <c r="O453" i="40"/>
  <c r="M453" i="40"/>
  <c r="J453" i="40"/>
  <c r="AU453" i="40" s="1"/>
  <c r="I453" i="40"/>
  <c r="F453" i="40"/>
  <c r="E453" i="40"/>
  <c r="H453" i="40" s="1"/>
  <c r="B453" i="40"/>
  <c r="N453" i="40" s="1"/>
  <c r="AX452" i="40"/>
  <c r="AS452" i="40"/>
  <c r="AQ452" i="40"/>
  <c r="AR452" i="40" s="1"/>
  <c r="AT452" i="40" s="1"/>
  <c r="O452" i="40"/>
  <c r="N452" i="40"/>
  <c r="M452" i="40"/>
  <c r="J452" i="40"/>
  <c r="L452" i="40" s="1"/>
  <c r="H452" i="40"/>
  <c r="AW452" i="40" s="1"/>
  <c r="AS437" i="40"/>
  <c r="AN437" i="40"/>
  <c r="AM437" i="40"/>
  <c r="AQ437" i="40" s="1"/>
  <c r="AL437" i="40"/>
  <c r="O437" i="40"/>
  <c r="M437" i="40"/>
  <c r="I437" i="40"/>
  <c r="F437" i="40"/>
  <c r="E437" i="40"/>
  <c r="H437" i="40" s="1"/>
  <c r="B437" i="40"/>
  <c r="N437" i="40" s="1"/>
  <c r="AS436" i="40"/>
  <c r="AN436" i="40"/>
  <c r="AM436" i="40"/>
  <c r="AL436" i="40"/>
  <c r="O436" i="40"/>
  <c r="M436" i="40"/>
  <c r="I436" i="40"/>
  <c r="F436" i="40"/>
  <c r="E436" i="40"/>
  <c r="H436" i="40" s="1"/>
  <c r="B436" i="40"/>
  <c r="N436" i="40" s="1"/>
  <c r="AS435" i="40"/>
  <c r="AN435" i="40"/>
  <c r="AM435" i="40"/>
  <c r="AQ435" i="40" s="1"/>
  <c r="AL435" i="40"/>
  <c r="O435" i="40"/>
  <c r="N435" i="40"/>
  <c r="M435" i="40"/>
  <c r="I435" i="40"/>
  <c r="J435" i="40" s="1"/>
  <c r="AU435" i="40" s="1"/>
  <c r="F435" i="40"/>
  <c r="H435" i="40" s="1"/>
  <c r="B435" i="40"/>
  <c r="AS434" i="40"/>
  <c r="AN434" i="40"/>
  <c r="AM434" i="40"/>
  <c r="AQ434" i="40" s="1"/>
  <c r="AL434" i="40"/>
  <c r="O434" i="40"/>
  <c r="M434" i="40"/>
  <c r="I434" i="40"/>
  <c r="F434" i="40"/>
  <c r="H434" i="40" s="1"/>
  <c r="E434" i="40"/>
  <c r="B434" i="40"/>
  <c r="N434" i="40" s="1"/>
  <c r="AS433" i="40"/>
  <c r="AN433" i="40"/>
  <c r="AM433" i="40"/>
  <c r="AL433" i="40"/>
  <c r="O433" i="40"/>
  <c r="M433" i="40"/>
  <c r="J433" i="40"/>
  <c r="AU433" i="40" s="1"/>
  <c r="I433" i="40"/>
  <c r="AQ433" i="40" s="1"/>
  <c r="F433" i="40"/>
  <c r="E433" i="40"/>
  <c r="H433" i="40" s="1"/>
  <c r="B433" i="40"/>
  <c r="N433" i="40" s="1"/>
  <c r="AU432" i="40"/>
  <c r="AS432" i="40"/>
  <c r="AQ432" i="40"/>
  <c r="AR432" i="40" s="1"/>
  <c r="AT432" i="40" s="1"/>
  <c r="O432" i="40"/>
  <c r="N432" i="40"/>
  <c r="M432" i="40"/>
  <c r="J432" i="40"/>
  <c r="H432" i="40"/>
  <c r="AX432" i="40" s="1"/>
  <c r="I422" i="40"/>
  <c r="AU427" i="40"/>
  <c r="AS427" i="40"/>
  <c r="AN427" i="40"/>
  <c r="AM427" i="40"/>
  <c r="AL427" i="40"/>
  <c r="O427" i="40"/>
  <c r="M427" i="40"/>
  <c r="F427" i="40"/>
  <c r="B427" i="40"/>
  <c r="N427" i="40" s="1"/>
  <c r="AU426" i="40"/>
  <c r="AS426" i="40"/>
  <c r="AN426" i="40"/>
  <c r="AM426" i="40"/>
  <c r="AL426" i="40"/>
  <c r="O426" i="40"/>
  <c r="N426" i="40"/>
  <c r="M426" i="40"/>
  <c r="I426" i="40"/>
  <c r="AQ426" i="40" s="1"/>
  <c r="F426" i="40"/>
  <c r="B426" i="40"/>
  <c r="AS425" i="40"/>
  <c r="AN425" i="40"/>
  <c r="AM425" i="40"/>
  <c r="AL425" i="40"/>
  <c r="O425" i="40"/>
  <c r="M425" i="40"/>
  <c r="F425" i="40"/>
  <c r="E425" i="40"/>
  <c r="E427" i="40" s="1"/>
  <c r="H427" i="40" s="1"/>
  <c r="B425" i="40"/>
  <c r="N425" i="40" s="1"/>
  <c r="AS424" i="40"/>
  <c r="AN424" i="40"/>
  <c r="AM424" i="40"/>
  <c r="AQ424" i="40" s="1"/>
  <c r="AL424" i="40"/>
  <c r="O424" i="40"/>
  <c r="M424" i="40"/>
  <c r="I424" i="40"/>
  <c r="F424" i="40"/>
  <c r="E424" i="40"/>
  <c r="E426" i="40" s="1"/>
  <c r="H426" i="40" s="1"/>
  <c r="B424" i="40"/>
  <c r="N424" i="40" s="1"/>
  <c r="AS423" i="40"/>
  <c r="AN423" i="40"/>
  <c r="AM423" i="40"/>
  <c r="AL423" i="40"/>
  <c r="O423" i="40"/>
  <c r="M423" i="40"/>
  <c r="F423" i="40"/>
  <c r="E423" i="40"/>
  <c r="H423" i="40" s="1"/>
  <c r="B423" i="40"/>
  <c r="N423" i="40" s="1"/>
  <c r="AS422" i="40"/>
  <c r="O422" i="40"/>
  <c r="N422" i="40"/>
  <c r="M422" i="40"/>
  <c r="J422" i="40"/>
  <c r="AU422" i="40" s="1"/>
  <c r="I423" i="40"/>
  <c r="H422" i="40"/>
  <c r="AS417" i="40"/>
  <c r="AN417" i="40"/>
  <c r="AM417" i="40"/>
  <c r="AQ417" i="40" s="1"/>
  <c r="AL417" i="40"/>
  <c r="O417" i="40"/>
  <c r="M417" i="40"/>
  <c r="I417" i="40"/>
  <c r="F417" i="40"/>
  <c r="E417" i="40"/>
  <c r="H417" i="40" s="1"/>
  <c r="B417" i="40"/>
  <c r="N417" i="40" s="1"/>
  <c r="AS416" i="40"/>
  <c r="AN416" i="40"/>
  <c r="AM416" i="40"/>
  <c r="AQ416" i="40" s="1"/>
  <c r="AL416" i="40"/>
  <c r="O416" i="40"/>
  <c r="M416" i="40"/>
  <c r="I416" i="40"/>
  <c r="F416" i="40"/>
  <c r="E416" i="40"/>
  <c r="H416" i="40" s="1"/>
  <c r="B416" i="40"/>
  <c r="N416" i="40" s="1"/>
  <c r="AS415" i="40"/>
  <c r="AN415" i="40"/>
  <c r="AM415" i="40"/>
  <c r="AQ415" i="40" s="1"/>
  <c r="AL415" i="40"/>
  <c r="O415" i="40"/>
  <c r="M415" i="40"/>
  <c r="I415" i="40"/>
  <c r="J415" i="40" s="1"/>
  <c r="AU415" i="40" s="1"/>
  <c r="F415" i="40"/>
  <c r="H415" i="40" s="1"/>
  <c r="B415" i="40"/>
  <c r="N415" i="40" s="1"/>
  <c r="AU414" i="40"/>
  <c r="AS414" i="40"/>
  <c r="AN414" i="40"/>
  <c r="AM414" i="40"/>
  <c r="AQ414" i="40" s="1"/>
  <c r="AL414" i="40"/>
  <c r="O414" i="40"/>
  <c r="M414" i="40"/>
  <c r="I414" i="40"/>
  <c r="H414" i="40"/>
  <c r="F414" i="40"/>
  <c r="E414" i="40"/>
  <c r="B414" i="40"/>
  <c r="N414" i="40" s="1"/>
  <c r="AX413" i="40"/>
  <c r="AW413" i="40"/>
  <c r="AS413" i="40"/>
  <c r="AQ413" i="40"/>
  <c r="AN413" i="40"/>
  <c r="AM413" i="40"/>
  <c r="AL413" i="40"/>
  <c r="O413" i="40"/>
  <c r="M413" i="40"/>
  <c r="J413" i="40"/>
  <c r="AU413" i="40" s="1"/>
  <c r="I413" i="40"/>
  <c r="H413" i="40"/>
  <c r="F413" i="40"/>
  <c r="E413" i="40"/>
  <c r="B413" i="40"/>
  <c r="N413" i="40" s="1"/>
  <c r="AU412" i="40"/>
  <c r="AS412" i="40"/>
  <c r="AQ412" i="40"/>
  <c r="AR412" i="40" s="1"/>
  <c r="AT412" i="40" s="1"/>
  <c r="O412" i="40"/>
  <c r="N412" i="40"/>
  <c r="M412" i="40"/>
  <c r="J412" i="40"/>
  <c r="H412" i="40"/>
  <c r="I402" i="40"/>
  <c r="I406" i="40" s="1"/>
  <c r="AQ406" i="40" s="1"/>
  <c r="AU407" i="40"/>
  <c r="AS407" i="40"/>
  <c r="AN407" i="40"/>
  <c r="AM407" i="40"/>
  <c r="AL407" i="40"/>
  <c r="O407" i="40"/>
  <c r="M407" i="40"/>
  <c r="F407" i="40"/>
  <c r="B407" i="40"/>
  <c r="N407" i="40" s="1"/>
  <c r="AW406" i="40"/>
  <c r="AU406" i="40"/>
  <c r="AS406" i="40"/>
  <c r="AN406" i="40"/>
  <c r="AM406" i="40"/>
  <c r="AL406" i="40"/>
  <c r="O406" i="40"/>
  <c r="M406" i="40"/>
  <c r="H406" i="40"/>
  <c r="F406" i="40"/>
  <c r="E406" i="40"/>
  <c r="B406" i="40"/>
  <c r="N406" i="40" s="1"/>
  <c r="AS405" i="40"/>
  <c r="AN405" i="40"/>
  <c r="AM405" i="40"/>
  <c r="AL405" i="40"/>
  <c r="O405" i="40"/>
  <c r="M405" i="40"/>
  <c r="F405" i="40"/>
  <c r="E405" i="40"/>
  <c r="E407" i="40" s="1"/>
  <c r="H407" i="40" s="1"/>
  <c r="B405" i="40"/>
  <c r="N405" i="40" s="1"/>
  <c r="AS404" i="40"/>
  <c r="AN404" i="40"/>
  <c r="AM404" i="40"/>
  <c r="AL404" i="40"/>
  <c r="O404" i="40"/>
  <c r="M404" i="40"/>
  <c r="I404" i="40"/>
  <c r="H404" i="40"/>
  <c r="F404" i="40"/>
  <c r="E404" i="40"/>
  <c r="B404" i="40"/>
  <c r="N404" i="40" s="1"/>
  <c r="AS403" i="40"/>
  <c r="AN403" i="40"/>
  <c r="AM403" i="40"/>
  <c r="AL403" i="40"/>
  <c r="O403" i="40"/>
  <c r="M403" i="40"/>
  <c r="I403" i="40"/>
  <c r="AQ403" i="40" s="1"/>
  <c r="F403" i="40"/>
  <c r="E403" i="40"/>
  <c r="H403" i="40" s="1"/>
  <c r="B403" i="40"/>
  <c r="N403" i="40" s="1"/>
  <c r="AW402" i="40"/>
  <c r="AS402" i="40"/>
  <c r="AQ402" i="40"/>
  <c r="AR402" i="40" s="1"/>
  <c r="AT402" i="40" s="1"/>
  <c r="O402" i="40"/>
  <c r="N402" i="40"/>
  <c r="M402" i="40"/>
  <c r="I407" i="40"/>
  <c r="H402" i="40"/>
  <c r="AX402" i="40" s="1"/>
  <c r="AS397" i="40"/>
  <c r="AN397" i="40"/>
  <c r="AM397" i="40"/>
  <c r="AQ397" i="40" s="1"/>
  <c r="AL397" i="40"/>
  <c r="O397" i="40"/>
  <c r="M397" i="40"/>
  <c r="I397" i="40"/>
  <c r="F397" i="40"/>
  <c r="E397" i="40"/>
  <c r="H397" i="40" s="1"/>
  <c r="B397" i="40"/>
  <c r="N397" i="40" s="1"/>
  <c r="AS396" i="40"/>
  <c r="AN396" i="40"/>
  <c r="AM396" i="40"/>
  <c r="AL396" i="40"/>
  <c r="O396" i="40"/>
  <c r="M396" i="40"/>
  <c r="I396" i="40"/>
  <c r="F396" i="40"/>
  <c r="E396" i="40"/>
  <c r="H396" i="40" s="1"/>
  <c r="B396" i="40"/>
  <c r="N396" i="40" s="1"/>
  <c r="AS395" i="40"/>
  <c r="AN395" i="40"/>
  <c r="AM395" i="40"/>
  <c r="AQ395" i="40" s="1"/>
  <c r="AL395" i="40"/>
  <c r="O395" i="40"/>
  <c r="M395" i="40"/>
  <c r="J395" i="40"/>
  <c r="AU395" i="40" s="1"/>
  <c r="I395" i="40"/>
  <c r="F395" i="40"/>
  <c r="H395" i="40" s="1"/>
  <c r="B395" i="40"/>
  <c r="N395" i="40" s="1"/>
  <c r="AS394" i="40"/>
  <c r="AN394" i="40"/>
  <c r="AM394" i="40"/>
  <c r="AQ394" i="40" s="1"/>
  <c r="AL394" i="40"/>
  <c r="O394" i="40"/>
  <c r="M394" i="40"/>
  <c r="I394" i="40"/>
  <c r="F394" i="40"/>
  <c r="H394" i="40" s="1"/>
  <c r="E394" i="40"/>
  <c r="B394" i="40"/>
  <c r="N394" i="40" s="1"/>
  <c r="AS393" i="40"/>
  <c r="AN393" i="40"/>
  <c r="AM393" i="40"/>
  <c r="AL393" i="40"/>
  <c r="O393" i="40"/>
  <c r="M393" i="40"/>
  <c r="J393" i="40"/>
  <c r="AU393" i="40" s="1"/>
  <c r="I393" i="40"/>
  <c r="AQ393" i="40" s="1"/>
  <c r="F393" i="40"/>
  <c r="E393" i="40"/>
  <c r="H393" i="40" s="1"/>
  <c r="B393" i="40"/>
  <c r="N393" i="40" s="1"/>
  <c r="AW392" i="40"/>
  <c r="AS392" i="40"/>
  <c r="AQ392" i="40"/>
  <c r="O392" i="40"/>
  <c r="N392" i="40"/>
  <c r="M392" i="40"/>
  <c r="J392" i="40"/>
  <c r="AU392" i="40" s="1"/>
  <c r="H392" i="40"/>
  <c r="AX392" i="40" s="1"/>
  <c r="AS387" i="40"/>
  <c r="AN387" i="40"/>
  <c r="AM387" i="40"/>
  <c r="AQ387" i="40" s="1"/>
  <c r="AL387" i="40"/>
  <c r="O387" i="40"/>
  <c r="M387" i="40"/>
  <c r="I387" i="40"/>
  <c r="F387" i="40"/>
  <c r="E387" i="40"/>
  <c r="H387" i="40" s="1"/>
  <c r="B387" i="40"/>
  <c r="N387" i="40" s="1"/>
  <c r="AS386" i="40"/>
  <c r="AN386" i="40"/>
  <c r="AM386" i="40"/>
  <c r="AQ386" i="40" s="1"/>
  <c r="AL386" i="40"/>
  <c r="O386" i="40"/>
  <c r="M386" i="40"/>
  <c r="I386" i="40"/>
  <c r="F386" i="40"/>
  <c r="E386" i="40"/>
  <c r="H386" i="40" s="1"/>
  <c r="B386" i="40"/>
  <c r="N386" i="40" s="1"/>
  <c r="AS385" i="40"/>
  <c r="AN385" i="40"/>
  <c r="AM385" i="40"/>
  <c r="AQ385" i="40" s="1"/>
  <c r="AL385" i="40"/>
  <c r="O385" i="40"/>
  <c r="M385" i="40"/>
  <c r="I385" i="40"/>
  <c r="J385" i="40" s="1"/>
  <c r="AU385" i="40" s="1"/>
  <c r="F385" i="40"/>
  <c r="H385" i="40" s="1"/>
  <c r="B385" i="40"/>
  <c r="N385" i="40" s="1"/>
  <c r="AS384" i="40"/>
  <c r="AN384" i="40"/>
  <c r="AM384" i="40"/>
  <c r="AL384" i="40"/>
  <c r="O384" i="40"/>
  <c r="M384" i="40"/>
  <c r="I384" i="40"/>
  <c r="F384" i="40"/>
  <c r="H384" i="40" s="1"/>
  <c r="E384" i="40"/>
  <c r="B384" i="40"/>
  <c r="N384" i="40" s="1"/>
  <c r="AS383" i="40"/>
  <c r="AN383" i="40"/>
  <c r="AM383" i="40"/>
  <c r="AL383" i="40"/>
  <c r="AQ383" i="40" s="1"/>
  <c r="O383" i="40"/>
  <c r="M383" i="40"/>
  <c r="J383" i="40"/>
  <c r="AU383" i="40" s="1"/>
  <c r="I383" i="40"/>
  <c r="F383" i="40"/>
  <c r="H383" i="40" s="1"/>
  <c r="E383" i="40"/>
  <c r="B383" i="40"/>
  <c r="N383" i="40" s="1"/>
  <c r="AS382" i="40"/>
  <c r="AQ382" i="40"/>
  <c r="AR382" i="40" s="1"/>
  <c r="AT382" i="40" s="1"/>
  <c r="O382" i="40"/>
  <c r="N382" i="40"/>
  <c r="M382" i="40"/>
  <c r="L382" i="40"/>
  <c r="J382" i="40"/>
  <c r="AU382" i="40" s="1"/>
  <c r="AV382" i="40" s="1"/>
  <c r="AY382" i="40" s="1"/>
  <c r="H382" i="40"/>
  <c r="AX382" i="40" s="1"/>
  <c r="AS377" i="40"/>
  <c r="AN377" i="40"/>
  <c r="AM377" i="40"/>
  <c r="AQ377" i="40" s="1"/>
  <c r="AL377" i="40"/>
  <c r="O377" i="40"/>
  <c r="M377" i="40"/>
  <c r="I377" i="40"/>
  <c r="F377" i="40"/>
  <c r="E377" i="40"/>
  <c r="H377" i="40" s="1"/>
  <c r="B377" i="40"/>
  <c r="N377" i="40" s="1"/>
  <c r="AS376" i="40"/>
  <c r="AN376" i="40"/>
  <c r="AM376" i="40"/>
  <c r="AQ376" i="40" s="1"/>
  <c r="AL376" i="40"/>
  <c r="O376" i="40"/>
  <c r="M376" i="40"/>
  <c r="I376" i="40"/>
  <c r="F376" i="40"/>
  <c r="E376" i="40"/>
  <c r="H376" i="40" s="1"/>
  <c r="B376" i="40"/>
  <c r="N376" i="40" s="1"/>
  <c r="AS375" i="40"/>
  <c r="AN375" i="40"/>
  <c r="AM375" i="40"/>
  <c r="AQ375" i="40" s="1"/>
  <c r="AL375" i="40"/>
  <c r="O375" i="40"/>
  <c r="M375" i="40"/>
  <c r="J375" i="40"/>
  <c r="AU375" i="40" s="1"/>
  <c r="I375" i="40"/>
  <c r="F375" i="40"/>
  <c r="H375" i="40" s="1"/>
  <c r="B375" i="40"/>
  <c r="N375" i="40" s="1"/>
  <c r="AS374" i="40"/>
  <c r="AN374" i="40"/>
  <c r="AM374" i="40"/>
  <c r="AQ374" i="40" s="1"/>
  <c r="AL374" i="40"/>
  <c r="O374" i="40"/>
  <c r="M374" i="40"/>
  <c r="I374" i="40"/>
  <c r="H374" i="40"/>
  <c r="F374" i="40"/>
  <c r="E374" i="40"/>
  <c r="B374" i="40"/>
  <c r="N374" i="40" s="1"/>
  <c r="AX373" i="40"/>
  <c r="AW373" i="40"/>
  <c r="AS373" i="40"/>
  <c r="AN373" i="40"/>
  <c r="AM373" i="40"/>
  <c r="AL373" i="40"/>
  <c r="AQ373" i="40" s="1"/>
  <c r="O373" i="40"/>
  <c r="M373" i="40"/>
  <c r="J373" i="40"/>
  <c r="AU373" i="40" s="1"/>
  <c r="I373" i="40"/>
  <c r="H373" i="40"/>
  <c r="F373" i="40"/>
  <c r="E373" i="40"/>
  <c r="B373" i="40"/>
  <c r="N373" i="40" s="1"/>
  <c r="AW372" i="40"/>
  <c r="AU372" i="40"/>
  <c r="AS372" i="40"/>
  <c r="AQ372" i="40"/>
  <c r="AR372" i="40" s="1"/>
  <c r="AT372" i="40" s="1"/>
  <c r="O372" i="40"/>
  <c r="N372" i="40"/>
  <c r="M372" i="40"/>
  <c r="J372" i="40"/>
  <c r="H372" i="40"/>
  <c r="AX372" i="40" s="1"/>
  <c r="AS367" i="40"/>
  <c r="AN367" i="40"/>
  <c r="AM367" i="40"/>
  <c r="AL367" i="40"/>
  <c r="AQ367" i="40" s="1"/>
  <c r="O367" i="40"/>
  <c r="M367" i="40"/>
  <c r="I367" i="40"/>
  <c r="F367" i="40"/>
  <c r="H367" i="40" s="1"/>
  <c r="E367" i="40"/>
  <c r="B367" i="40"/>
  <c r="N367" i="40" s="1"/>
  <c r="AX366" i="40"/>
  <c r="AW366" i="40"/>
  <c r="AS366" i="40"/>
  <c r="AN366" i="40"/>
  <c r="AM366" i="40"/>
  <c r="AL366" i="40"/>
  <c r="AQ366" i="40" s="1"/>
  <c r="O366" i="40"/>
  <c r="M366" i="40"/>
  <c r="J366" i="40"/>
  <c r="AU366" i="40" s="1"/>
  <c r="I366" i="40"/>
  <c r="H366" i="40"/>
  <c r="F366" i="40"/>
  <c r="E366" i="40"/>
  <c r="B366" i="40"/>
  <c r="N366" i="40" s="1"/>
  <c r="AS365" i="40"/>
  <c r="AN365" i="40"/>
  <c r="AM365" i="40"/>
  <c r="AL365" i="40"/>
  <c r="O365" i="40"/>
  <c r="M365" i="40"/>
  <c r="I365" i="40"/>
  <c r="AQ365" i="40" s="1"/>
  <c r="F365" i="40"/>
  <c r="H365" i="40" s="1"/>
  <c r="B365" i="40"/>
  <c r="N365" i="40" s="1"/>
  <c r="AU364" i="40"/>
  <c r="AS364" i="40"/>
  <c r="AN364" i="40"/>
  <c r="AM364" i="40"/>
  <c r="AQ364" i="40" s="1"/>
  <c r="AL364" i="40"/>
  <c r="O364" i="40"/>
  <c r="M364" i="40"/>
  <c r="I364" i="40"/>
  <c r="H364" i="40"/>
  <c r="F364" i="40"/>
  <c r="E364" i="40"/>
  <c r="B364" i="40"/>
  <c r="N364" i="40" s="1"/>
  <c r="AS363" i="40"/>
  <c r="AN363" i="40"/>
  <c r="AM363" i="40"/>
  <c r="AL363" i="40"/>
  <c r="O363" i="40"/>
  <c r="M363" i="40"/>
  <c r="J363" i="40"/>
  <c r="AU363" i="40" s="1"/>
  <c r="I363" i="40"/>
  <c r="AQ363" i="40" s="1"/>
  <c r="F363" i="40"/>
  <c r="E363" i="40"/>
  <c r="H363" i="40" s="1"/>
  <c r="B363" i="40"/>
  <c r="N363" i="40" s="1"/>
  <c r="AW362" i="40"/>
  <c r="AU362" i="40"/>
  <c r="AS362" i="40"/>
  <c r="AQ362" i="40"/>
  <c r="AR362" i="40" s="1"/>
  <c r="AT362" i="40" s="1"/>
  <c r="O362" i="40"/>
  <c r="N362" i="40"/>
  <c r="M362" i="40"/>
  <c r="J362" i="40"/>
  <c r="H362" i="40"/>
  <c r="AS357" i="40"/>
  <c r="AN357" i="40"/>
  <c r="AM357" i="40"/>
  <c r="AQ357" i="40" s="1"/>
  <c r="AL357" i="40"/>
  <c r="O357" i="40"/>
  <c r="M357" i="40"/>
  <c r="I357" i="40"/>
  <c r="F357" i="40"/>
  <c r="E357" i="40"/>
  <c r="H357" i="40" s="1"/>
  <c r="B357" i="40"/>
  <c r="N357" i="40" s="1"/>
  <c r="AW356" i="40"/>
  <c r="AS356" i="40"/>
  <c r="AN356" i="40"/>
  <c r="AM356" i="40"/>
  <c r="AL356" i="40"/>
  <c r="O356" i="40"/>
  <c r="N356" i="40"/>
  <c r="M356" i="40"/>
  <c r="I356" i="40"/>
  <c r="H356" i="40"/>
  <c r="F356" i="40"/>
  <c r="E356" i="40"/>
  <c r="B356" i="40"/>
  <c r="AS355" i="40"/>
  <c r="AN355" i="40"/>
  <c r="AM355" i="40"/>
  <c r="AL355" i="40"/>
  <c r="O355" i="40"/>
  <c r="M355" i="40"/>
  <c r="I355" i="40"/>
  <c r="AQ355" i="40" s="1"/>
  <c r="F355" i="40"/>
  <c r="H355" i="40" s="1"/>
  <c r="B355" i="40"/>
  <c r="N355" i="40" s="1"/>
  <c r="AS354" i="40"/>
  <c r="AN354" i="40"/>
  <c r="AM354" i="40"/>
  <c r="AL354" i="40"/>
  <c r="O354" i="40"/>
  <c r="M354" i="40"/>
  <c r="I354" i="40"/>
  <c r="H354" i="40"/>
  <c r="F354" i="40"/>
  <c r="E354" i="40"/>
  <c r="B354" i="40"/>
  <c r="N354" i="40" s="1"/>
  <c r="AS353" i="40"/>
  <c r="AN353" i="40"/>
  <c r="AM353" i="40"/>
  <c r="AL353" i="40"/>
  <c r="O353" i="40"/>
  <c r="M353" i="40"/>
  <c r="J353" i="40"/>
  <c r="AU353" i="40" s="1"/>
  <c r="I353" i="40"/>
  <c r="AQ353" i="40" s="1"/>
  <c r="F353" i="40"/>
  <c r="E353" i="40"/>
  <c r="H353" i="40" s="1"/>
  <c r="B353" i="40"/>
  <c r="N353" i="40" s="1"/>
  <c r="AW352" i="40"/>
  <c r="AU352" i="40"/>
  <c r="AS352" i="40"/>
  <c r="AQ352" i="40"/>
  <c r="AR352" i="40" s="1"/>
  <c r="AT352" i="40" s="1"/>
  <c r="O352" i="40"/>
  <c r="N352" i="40"/>
  <c r="M352" i="40"/>
  <c r="J352" i="40"/>
  <c r="H352" i="40"/>
  <c r="AX352" i="40" s="1"/>
  <c r="AS347" i="40"/>
  <c r="AN347" i="40"/>
  <c r="AM347" i="40"/>
  <c r="AL347" i="40"/>
  <c r="O347" i="40"/>
  <c r="M347" i="40"/>
  <c r="I347" i="40"/>
  <c r="H347" i="40"/>
  <c r="F347" i="40"/>
  <c r="E347" i="40"/>
  <c r="B347" i="40"/>
  <c r="N347" i="40" s="1"/>
  <c r="AS346" i="40"/>
  <c r="AN346" i="40"/>
  <c r="AM346" i="40"/>
  <c r="AL346" i="40"/>
  <c r="O346" i="40"/>
  <c r="M346" i="40"/>
  <c r="J346" i="40"/>
  <c r="AU346" i="40" s="1"/>
  <c r="I346" i="40"/>
  <c r="AQ346" i="40" s="1"/>
  <c r="F346" i="40"/>
  <c r="E346" i="40"/>
  <c r="H346" i="40" s="1"/>
  <c r="B346" i="40"/>
  <c r="N346" i="40" s="1"/>
  <c r="AS345" i="40"/>
  <c r="AN345" i="40"/>
  <c r="AM345" i="40"/>
  <c r="AQ345" i="40" s="1"/>
  <c r="AL345" i="40"/>
  <c r="O345" i="40"/>
  <c r="M345" i="40"/>
  <c r="I345" i="40"/>
  <c r="J345" i="40" s="1"/>
  <c r="AU345" i="40" s="1"/>
  <c r="F345" i="40"/>
  <c r="H345" i="40" s="1"/>
  <c r="B345" i="40"/>
  <c r="N345" i="40" s="1"/>
  <c r="AX344" i="40"/>
  <c r="AU344" i="40"/>
  <c r="AS344" i="40"/>
  <c r="AN344" i="40"/>
  <c r="AM344" i="40"/>
  <c r="AQ344" i="40" s="1"/>
  <c r="AL344" i="40"/>
  <c r="O344" i="40"/>
  <c r="M344" i="40"/>
  <c r="I344" i="40"/>
  <c r="H344" i="40"/>
  <c r="F344" i="40"/>
  <c r="E344" i="40"/>
  <c r="B344" i="40"/>
  <c r="N344" i="40" s="1"/>
  <c r="AW343" i="40"/>
  <c r="AS343" i="40"/>
  <c r="AN343" i="40"/>
  <c r="AM343" i="40"/>
  <c r="AL343" i="40"/>
  <c r="O343" i="40"/>
  <c r="M343" i="40"/>
  <c r="J343" i="40"/>
  <c r="AU343" i="40" s="1"/>
  <c r="I343" i="40"/>
  <c r="AQ343" i="40" s="1"/>
  <c r="H343" i="40"/>
  <c r="F343" i="40"/>
  <c r="E343" i="40"/>
  <c r="B343" i="40"/>
  <c r="N343" i="40" s="1"/>
  <c r="AW342" i="40"/>
  <c r="AS342" i="40"/>
  <c r="AQ342" i="40"/>
  <c r="AR342" i="40" s="1"/>
  <c r="AT342" i="40" s="1"/>
  <c r="O342" i="40"/>
  <c r="N342" i="40"/>
  <c r="M342" i="40"/>
  <c r="J342" i="40"/>
  <c r="AU342" i="40" s="1"/>
  <c r="H342" i="40"/>
  <c r="AX342" i="40" s="1"/>
  <c r="AI333" i="40"/>
  <c r="AI332" i="40"/>
  <c r="E333" i="40"/>
  <c r="H333" i="40" s="1"/>
  <c r="O334" i="40"/>
  <c r="N334" i="40"/>
  <c r="AS333" i="40"/>
  <c r="AN333" i="40"/>
  <c r="AM333" i="40"/>
  <c r="AL333" i="40"/>
  <c r="O333" i="40"/>
  <c r="M333" i="40"/>
  <c r="AQ333" i="40"/>
  <c r="F333" i="40"/>
  <c r="B333" i="40"/>
  <c r="N333" i="40" s="1"/>
  <c r="AS332" i="40"/>
  <c r="AQ332" i="40"/>
  <c r="AR332" i="40" s="1"/>
  <c r="O332" i="40"/>
  <c r="N332" i="40"/>
  <c r="M332" i="40"/>
  <c r="AU332" i="40"/>
  <c r="H332" i="40"/>
  <c r="AX332" i="40" s="1"/>
  <c r="I312" i="40"/>
  <c r="AS327" i="40"/>
  <c r="AN327" i="40"/>
  <c r="AM327" i="40"/>
  <c r="AQ327" i="40" s="1"/>
  <c r="AL327" i="40"/>
  <c r="O327" i="40"/>
  <c r="M327" i="40"/>
  <c r="I327" i="40"/>
  <c r="F327" i="40"/>
  <c r="E327" i="40"/>
  <c r="B327" i="40"/>
  <c r="N327" i="40" s="1"/>
  <c r="AS326" i="40"/>
  <c r="AN326" i="40"/>
  <c r="AM326" i="40"/>
  <c r="AQ326" i="40" s="1"/>
  <c r="AL326" i="40"/>
  <c r="O326" i="40"/>
  <c r="M326" i="40"/>
  <c r="J326" i="40"/>
  <c r="AU326" i="40" s="1"/>
  <c r="I326" i="40"/>
  <c r="F326" i="40"/>
  <c r="H326" i="40" s="1"/>
  <c r="E326" i="40"/>
  <c r="B326" i="40"/>
  <c r="N326" i="40" s="1"/>
  <c r="AS325" i="40"/>
  <c r="AN325" i="40"/>
  <c r="AM325" i="40"/>
  <c r="AL325" i="40"/>
  <c r="O325" i="40"/>
  <c r="M325" i="40"/>
  <c r="I325" i="40"/>
  <c r="AQ325" i="40" s="1"/>
  <c r="F325" i="40"/>
  <c r="H325" i="40" s="1"/>
  <c r="B325" i="40"/>
  <c r="N325" i="40" s="1"/>
  <c r="AU324" i="40"/>
  <c r="AS324" i="40"/>
  <c r="AN324" i="40"/>
  <c r="AM324" i="40"/>
  <c r="AL324" i="40"/>
  <c r="O324" i="40"/>
  <c r="M324" i="40"/>
  <c r="I324" i="40"/>
  <c r="H324" i="40"/>
  <c r="F324" i="40"/>
  <c r="E324" i="40"/>
  <c r="B324" i="40"/>
  <c r="N324" i="40" s="1"/>
  <c r="AS323" i="40"/>
  <c r="AN323" i="40"/>
  <c r="AM323" i="40"/>
  <c r="AL323" i="40"/>
  <c r="O323" i="40"/>
  <c r="M323" i="40"/>
  <c r="J323" i="40"/>
  <c r="AU323" i="40" s="1"/>
  <c r="I323" i="40"/>
  <c r="AQ323" i="40" s="1"/>
  <c r="F323" i="40"/>
  <c r="H323" i="40" s="1"/>
  <c r="E323" i="40"/>
  <c r="B323" i="40"/>
  <c r="N323" i="40" s="1"/>
  <c r="AX322" i="40"/>
  <c r="AS322" i="40"/>
  <c r="AQ322" i="40"/>
  <c r="AR322" i="40" s="1"/>
  <c r="AT322" i="40" s="1"/>
  <c r="O322" i="40"/>
  <c r="N322" i="40"/>
  <c r="M322" i="40"/>
  <c r="L322" i="40"/>
  <c r="J322" i="40"/>
  <c r="AU322" i="40" s="1"/>
  <c r="H322" i="40"/>
  <c r="AW322" i="40" s="1"/>
  <c r="AS317" i="40"/>
  <c r="AN317" i="40"/>
  <c r="AM317" i="40"/>
  <c r="AL317" i="40"/>
  <c r="O317" i="40"/>
  <c r="M317" i="40"/>
  <c r="F317" i="40"/>
  <c r="B317" i="40"/>
  <c r="N317" i="40" s="1"/>
  <c r="AS316" i="40"/>
  <c r="AN316" i="40"/>
  <c r="AM316" i="40"/>
  <c r="AL316" i="40"/>
  <c r="O316" i="40"/>
  <c r="M316" i="40"/>
  <c r="F316" i="40"/>
  <c r="B316" i="40"/>
  <c r="N316" i="40" s="1"/>
  <c r="AS315" i="40"/>
  <c r="AN315" i="40"/>
  <c r="AM315" i="40"/>
  <c r="AL315" i="40"/>
  <c r="O315" i="40"/>
  <c r="M315" i="40"/>
  <c r="F315" i="40"/>
  <c r="B315" i="40"/>
  <c r="N315" i="40" s="1"/>
  <c r="AS314" i="40"/>
  <c r="AN314" i="40"/>
  <c r="AM314" i="40"/>
  <c r="AL314" i="40"/>
  <c r="O314" i="40"/>
  <c r="M314" i="40"/>
  <c r="F314" i="40"/>
  <c r="E314" i="40"/>
  <c r="E316" i="40" s="1"/>
  <c r="H316" i="40" s="1"/>
  <c r="B314" i="40"/>
  <c r="N314" i="40" s="1"/>
  <c r="AU313" i="40"/>
  <c r="AS313" i="40"/>
  <c r="AN313" i="40"/>
  <c r="AM313" i="40"/>
  <c r="AQ313" i="40" s="1"/>
  <c r="AL313" i="40"/>
  <c r="O313" i="40"/>
  <c r="M313" i="40"/>
  <c r="J313" i="40"/>
  <c r="AU314" i="40" s="1"/>
  <c r="I313" i="40"/>
  <c r="F313" i="40"/>
  <c r="E313" i="40"/>
  <c r="H313" i="40" s="1"/>
  <c r="B313" i="40"/>
  <c r="N313" i="40" s="1"/>
  <c r="AX312" i="40"/>
  <c r="AW312" i="40"/>
  <c r="AS312" i="40"/>
  <c r="O312" i="40"/>
  <c r="N312" i="40"/>
  <c r="M312" i="40"/>
  <c r="I317" i="40"/>
  <c r="AQ317" i="40" s="1"/>
  <c r="H312" i="40"/>
  <c r="AS307" i="40"/>
  <c r="AN307" i="40"/>
  <c r="AM307" i="40"/>
  <c r="AL307" i="40"/>
  <c r="O307" i="40"/>
  <c r="M307" i="40"/>
  <c r="I307" i="40"/>
  <c r="F307" i="40"/>
  <c r="E307" i="40"/>
  <c r="H307" i="40" s="1"/>
  <c r="B307" i="40"/>
  <c r="N307" i="40" s="1"/>
  <c r="AS306" i="40"/>
  <c r="AN306" i="40"/>
  <c r="AM306" i="40"/>
  <c r="AL306" i="40"/>
  <c r="O306" i="40"/>
  <c r="M306" i="40"/>
  <c r="I306" i="40"/>
  <c r="F306" i="40"/>
  <c r="H306" i="40" s="1"/>
  <c r="E306" i="40"/>
  <c r="B306" i="40"/>
  <c r="N306" i="40" s="1"/>
  <c r="AW305" i="40"/>
  <c r="AS305" i="40"/>
  <c r="AN305" i="40"/>
  <c r="AM305" i="40"/>
  <c r="AL305" i="40"/>
  <c r="O305" i="40"/>
  <c r="M305" i="40"/>
  <c r="I305" i="40"/>
  <c r="AQ305" i="40" s="1"/>
  <c r="H305" i="40"/>
  <c r="F305" i="40"/>
  <c r="B305" i="40"/>
  <c r="N305" i="40" s="1"/>
  <c r="AU304" i="40"/>
  <c r="AS304" i="40"/>
  <c r="AN304" i="40"/>
  <c r="AM304" i="40"/>
  <c r="AL304" i="40"/>
  <c r="O304" i="40"/>
  <c r="M304" i="40"/>
  <c r="I304" i="40"/>
  <c r="AQ304" i="40" s="1"/>
  <c r="F304" i="40"/>
  <c r="E304" i="40"/>
  <c r="H304" i="40" s="1"/>
  <c r="B304" i="40"/>
  <c r="N304" i="40" s="1"/>
  <c r="AU303" i="40"/>
  <c r="AS303" i="40"/>
  <c r="AN303" i="40"/>
  <c r="AM303" i="40"/>
  <c r="AL303" i="40"/>
  <c r="O303" i="40"/>
  <c r="M303" i="40"/>
  <c r="J303" i="40"/>
  <c r="I303" i="40"/>
  <c r="H303" i="40"/>
  <c r="AX303" i="40" s="1"/>
  <c r="F303" i="40"/>
  <c r="E303" i="40"/>
  <c r="B303" i="40"/>
  <c r="N303" i="40" s="1"/>
  <c r="AS302" i="40"/>
  <c r="AQ302" i="40"/>
  <c r="AR302" i="40" s="1"/>
  <c r="O302" i="40"/>
  <c r="N302" i="40"/>
  <c r="M302" i="40"/>
  <c r="J302" i="40"/>
  <c r="AU302" i="40" s="1"/>
  <c r="H302" i="40"/>
  <c r="AS297" i="40"/>
  <c r="AN297" i="40"/>
  <c r="AM297" i="40"/>
  <c r="AQ297" i="40" s="1"/>
  <c r="AL297" i="40"/>
  <c r="O297" i="40"/>
  <c r="M297" i="40"/>
  <c r="I297" i="40"/>
  <c r="F297" i="40"/>
  <c r="E297" i="40"/>
  <c r="B297" i="40"/>
  <c r="N297" i="40" s="1"/>
  <c r="AS296" i="40"/>
  <c r="AN296" i="40"/>
  <c r="AM296" i="40"/>
  <c r="AQ296" i="40" s="1"/>
  <c r="AL296" i="40"/>
  <c r="O296" i="40"/>
  <c r="M296" i="40"/>
  <c r="I296" i="40"/>
  <c r="F296" i="40"/>
  <c r="H296" i="40" s="1"/>
  <c r="E296" i="40"/>
  <c r="B296" i="40"/>
  <c r="N296" i="40" s="1"/>
  <c r="AS295" i="40"/>
  <c r="AN295" i="40"/>
  <c r="AM295" i="40"/>
  <c r="AL295" i="40"/>
  <c r="O295" i="40"/>
  <c r="M295" i="40"/>
  <c r="J295" i="40"/>
  <c r="AU295" i="40" s="1"/>
  <c r="I295" i="40"/>
  <c r="AQ295" i="40" s="1"/>
  <c r="F295" i="40"/>
  <c r="H295" i="40" s="1"/>
  <c r="B295" i="40"/>
  <c r="N295" i="40" s="1"/>
  <c r="AS294" i="40"/>
  <c r="AN294" i="40"/>
  <c r="AM294" i="40"/>
  <c r="AL294" i="40"/>
  <c r="O294" i="40"/>
  <c r="M294" i="40"/>
  <c r="I294" i="40"/>
  <c r="F294" i="40"/>
  <c r="E294" i="40"/>
  <c r="B294" i="40"/>
  <c r="N294" i="40" s="1"/>
  <c r="AS293" i="40"/>
  <c r="AN293" i="40"/>
  <c r="AM293" i="40"/>
  <c r="AL293" i="40"/>
  <c r="O293" i="40"/>
  <c r="M293" i="40"/>
  <c r="J293" i="40"/>
  <c r="AU293" i="40" s="1"/>
  <c r="I293" i="40"/>
  <c r="F293" i="40"/>
  <c r="H293" i="40" s="1"/>
  <c r="AW293" i="40" s="1"/>
  <c r="E293" i="40"/>
  <c r="B293" i="40"/>
  <c r="N293" i="40" s="1"/>
  <c r="AX292" i="40"/>
  <c r="AS292" i="40"/>
  <c r="AQ292" i="40"/>
  <c r="AR292" i="40" s="1"/>
  <c r="AT292" i="40" s="1"/>
  <c r="O292" i="40"/>
  <c r="N292" i="40"/>
  <c r="M292" i="40"/>
  <c r="J292" i="40"/>
  <c r="L292" i="40" s="1"/>
  <c r="H292" i="40"/>
  <c r="AW292" i="40" s="1"/>
  <c r="I282" i="40"/>
  <c r="J282" i="40" s="1"/>
  <c r="AS287" i="40"/>
  <c r="AN287" i="40"/>
  <c r="AM287" i="40"/>
  <c r="AL287" i="40"/>
  <c r="O287" i="40"/>
  <c r="M287" i="40"/>
  <c r="F287" i="40"/>
  <c r="B287" i="40"/>
  <c r="N287" i="40" s="1"/>
  <c r="AS286" i="40"/>
  <c r="AN286" i="40"/>
  <c r="AM286" i="40"/>
  <c r="AL286" i="40"/>
  <c r="O286" i="40"/>
  <c r="M286" i="40"/>
  <c r="F286" i="40"/>
  <c r="B286" i="40"/>
  <c r="N286" i="40" s="1"/>
  <c r="AS285" i="40"/>
  <c r="AN285" i="40"/>
  <c r="AM285" i="40"/>
  <c r="AL285" i="40"/>
  <c r="O285" i="40"/>
  <c r="N285" i="40"/>
  <c r="M285" i="40"/>
  <c r="F285" i="40"/>
  <c r="B285" i="40"/>
  <c r="AS284" i="40"/>
  <c r="AN284" i="40"/>
  <c r="AM284" i="40"/>
  <c r="AL284" i="40"/>
  <c r="O284" i="40"/>
  <c r="M284" i="40"/>
  <c r="F284" i="40"/>
  <c r="E284" i="40"/>
  <c r="E286" i="40" s="1"/>
  <c r="H286" i="40" s="1"/>
  <c r="B284" i="40"/>
  <c r="N284" i="40" s="1"/>
  <c r="AS283" i="40"/>
  <c r="AN283" i="40"/>
  <c r="AM283" i="40"/>
  <c r="AL283" i="40"/>
  <c r="O283" i="40"/>
  <c r="M283" i="40"/>
  <c r="F283" i="40"/>
  <c r="E283" i="40"/>
  <c r="E285" i="40" s="1"/>
  <c r="B283" i="40"/>
  <c r="N283" i="40" s="1"/>
  <c r="AS282" i="40"/>
  <c r="O282" i="40"/>
  <c r="N282" i="40"/>
  <c r="M282" i="40"/>
  <c r="I286" i="40"/>
  <c r="H282" i="40"/>
  <c r="AS277" i="40"/>
  <c r="AN277" i="40"/>
  <c r="AM277" i="40"/>
  <c r="AQ277" i="40" s="1"/>
  <c r="AL277" i="40"/>
  <c r="O277" i="40"/>
  <c r="M277" i="40"/>
  <c r="I277" i="40"/>
  <c r="F277" i="40"/>
  <c r="E277" i="40"/>
  <c r="H277" i="40" s="1"/>
  <c r="B277" i="40"/>
  <c r="N277" i="40" s="1"/>
  <c r="AS276" i="40"/>
  <c r="AN276" i="40"/>
  <c r="AM276" i="40"/>
  <c r="AL276" i="40"/>
  <c r="O276" i="40"/>
  <c r="M276" i="40"/>
  <c r="I276" i="40"/>
  <c r="F276" i="40"/>
  <c r="E276" i="40"/>
  <c r="H276" i="40" s="1"/>
  <c r="B276" i="40"/>
  <c r="N276" i="40" s="1"/>
  <c r="AS275" i="40"/>
  <c r="AN275" i="40"/>
  <c r="AM275" i="40"/>
  <c r="AL275" i="40"/>
  <c r="O275" i="40"/>
  <c r="M275" i="40"/>
  <c r="I275" i="40"/>
  <c r="J275" i="40" s="1"/>
  <c r="AU275" i="40" s="1"/>
  <c r="F275" i="40"/>
  <c r="H275" i="40" s="1"/>
  <c r="B275" i="40"/>
  <c r="N275" i="40" s="1"/>
  <c r="AW274" i="40"/>
  <c r="AU274" i="40"/>
  <c r="AS274" i="40"/>
  <c r="AN274" i="40"/>
  <c r="AM274" i="40"/>
  <c r="AL274" i="40"/>
  <c r="O274" i="40"/>
  <c r="M274" i="40"/>
  <c r="I274" i="40"/>
  <c r="AQ274" i="40" s="1"/>
  <c r="H274" i="40"/>
  <c r="F274" i="40"/>
  <c r="E274" i="40"/>
  <c r="B274" i="40"/>
  <c r="N274" i="40" s="1"/>
  <c r="AU273" i="40"/>
  <c r="AS273" i="40"/>
  <c r="AN273" i="40"/>
  <c r="AM273" i="40"/>
  <c r="AL273" i="40"/>
  <c r="O273" i="40"/>
  <c r="M273" i="40"/>
  <c r="J273" i="40"/>
  <c r="J276" i="40" s="1"/>
  <c r="AU276" i="40" s="1"/>
  <c r="I273" i="40"/>
  <c r="AQ273" i="40" s="1"/>
  <c r="F273" i="40"/>
  <c r="E273" i="40"/>
  <c r="H273" i="40" s="1"/>
  <c r="B273" i="40"/>
  <c r="N273" i="40" s="1"/>
  <c r="AS272" i="40"/>
  <c r="AQ272" i="40"/>
  <c r="AR272" i="40" s="1"/>
  <c r="AT272" i="40" s="1"/>
  <c r="O272" i="40"/>
  <c r="N272" i="40"/>
  <c r="M272" i="40"/>
  <c r="J272" i="40"/>
  <c r="AU272" i="40" s="1"/>
  <c r="H272" i="40"/>
  <c r="AX272" i="40" s="1"/>
  <c r="I262" i="40"/>
  <c r="AS267" i="40"/>
  <c r="AN267" i="40"/>
  <c r="AM267" i="40"/>
  <c r="AL267" i="40"/>
  <c r="O267" i="40"/>
  <c r="M267" i="40"/>
  <c r="F267" i="40"/>
  <c r="B267" i="40"/>
  <c r="N267" i="40" s="1"/>
  <c r="AS266" i="40"/>
  <c r="AN266" i="40"/>
  <c r="AM266" i="40"/>
  <c r="AL266" i="40"/>
  <c r="O266" i="40"/>
  <c r="N266" i="40"/>
  <c r="M266" i="40"/>
  <c r="F266" i="40"/>
  <c r="B266" i="40"/>
  <c r="AS265" i="40"/>
  <c r="AN265" i="40"/>
  <c r="AM265" i="40"/>
  <c r="AL265" i="40"/>
  <c r="O265" i="40"/>
  <c r="M265" i="40"/>
  <c r="I265" i="40"/>
  <c r="J266" i="40" s="1"/>
  <c r="F265" i="40"/>
  <c r="B265" i="40"/>
  <c r="N265" i="40" s="1"/>
  <c r="AS264" i="40"/>
  <c r="AN264" i="40"/>
  <c r="AM264" i="40"/>
  <c r="AL264" i="40"/>
  <c r="O264" i="40"/>
  <c r="M264" i="40"/>
  <c r="F264" i="40"/>
  <c r="E264" i="40"/>
  <c r="E266" i="40" s="1"/>
  <c r="H266" i="40" s="1"/>
  <c r="B264" i="40"/>
  <c r="N264" i="40" s="1"/>
  <c r="AS263" i="40"/>
  <c r="AN263" i="40"/>
  <c r="AM263" i="40"/>
  <c r="AL263" i="40"/>
  <c r="O263" i="40"/>
  <c r="M263" i="40"/>
  <c r="F263" i="40"/>
  <c r="E263" i="40"/>
  <c r="E265" i="40" s="1"/>
  <c r="B263" i="40"/>
  <c r="N263" i="40" s="1"/>
  <c r="AS262" i="40"/>
  <c r="O262" i="40"/>
  <c r="N262" i="40"/>
  <c r="M262" i="40"/>
  <c r="I266" i="40"/>
  <c r="AQ266" i="40" s="1"/>
  <c r="H262" i="40"/>
  <c r="AS257" i="40"/>
  <c r="AN257" i="40"/>
  <c r="AM257" i="40"/>
  <c r="AL257" i="40"/>
  <c r="O257" i="40"/>
  <c r="M257" i="40"/>
  <c r="I257" i="40"/>
  <c r="AQ257" i="40" s="1"/>
  <c r="AR257" i="40" s="1"/>
  <c r="AT257" i="40" s="1"/>
  <c r="F257" i="40"/>
  <c r="H257" i="40" s="1"/>
  <c r="E257" i="40"/>
  <c r="B257" i="40"/>
  <c r="N257" i="40" s="1"/>
  <c r="AS256" i="40"/>
  <c r="AN256" i="40"/>
  <c r="AM256" i="40"/>
  <c r="AL256" i="40"/>
  <c r="O256" i="40"/>
  <c r="M256" i="40"/>
  <c r="I256" i="40"/>
  <c r="AQ256" i="40" s="1"/>
  <c r="F256" i="40"/>
  <c r="E256" i="40"/>
  <c r="H256" i="40" s="1"/>
  <c r="B256" i="40"/>
  <c r="N256" i="40" s="1"/>
  <c r="AS255" i="40"/>
  <c r="AN255" i="40"/>
  <c r="AM255" i="40"/>
  <c r="AL255" i="40"/>
  <c r="O255" i="40"/>
  <c r="M255" i="40"/>
  <c r="I255" i="40"/>
  <c r="J255" i="40" s="1"/>
  <c r="AU255" i="40" s="1"/>
  <c r="F255" i="40"/>
  <c r="H255" i="40" s="1"/>
  <c r="B255" i="40"/>
  <c r="N255" i="40" s="1"/>
  <c r="AU254" i="40"/>
  <c r="AS254" i="40"/>
  <c r="AN254" i="40"/>
  <c r="AM254" i="40"/>
  <c r="AL254" i="40"/>
  <c r="O254" i="40"/>
  <c r="M254" i="40"/>
  <c r="I254" i="40"/>
  <c r="H254" i="40"/>
  <c r="F254" i="40"/>
  <c r="E254" i="40"/>
  <c r="B254" i="40"/>
  <c r="N254" i="40" s="1"/>
  <c r="AU253" i="40"/>
  <c r="AS253" i="40"/>
  <c r="AN253" i="40"/>
  <c r="AM253" i="40"/>
  <c r="AL253" i="40"/>
  <c r="O253" i="40"/>
  <c r="M253" i="40"/>
  <c r="J253" i="40"/>
  <c r="I253" i="40"/>
  <c r="AQ253" i="40" s="1"/>
  <c r="F253" i="40"/>
  <c r="E253" i="40"/>
  <c r="H253" i="40" s="1"/>
  <c r="B253" i="40"/>
  <c r="N253" i="40" s="1"/>
  <c r="AW252" i="40"/>
  <c r="AS252" i="40"/>
  <c r="AQ252" i="40"/>
  <c r="AR252" i="40" s="1"/>
  <c r="AT252" i="40" s="1"/>
  <c r="O252" i="40"/>
  <c r="N252" i="40"/>
  <c r="M252" i="40"/>
  <c r="J252" i="40"/>
  <c r="AU252" i="40" s="1"/>
  <c r="AV252" i="40" s="1"/>
  <c r="H252" i="40"/>
  <c r="I242" i="40"/>
  <c r="I246" i="40" s="1"/>
  <c r="AS247" i="40"/>
  <c r="AN247" i="40"/>
  <c r="AM247" i="40"/>
  <c r="AL247" i="40"/>
  <c r="O247" i="40"/>
  <c r="M247" i="40"/>
  <c r="F247" i="40"/>
  <c r="B247" i="40"/>
  <c r="N247" i="40" s="1"/>
  <c r="AS246" i="40"/>
  <c r="AN246" i="40"/>
  <c r="AM246" i="40"/>
  <c r="AL246" i="40"/>
  <c r="O246" i="40"/>
  <c r="M246" i="40"/>
  <c r="F246" i="40"/>
  <c r="B246" i="40"/>
  <c r="N246" i="40" s="1"/>
  <c r="AS245" i="40"/>
  <c r="AN245" i="40"/>
  <c r="AM245" i="40"/>
  <c r="AL245" i="40"/>
  <c r="O245" i="40"/>
  <c r="M245" i="40"/>
  <c r="F245" i="40"/>
  <c r="B245" i="40"/>
  <c r="N245" i="40" s="1"/>
  <c r="AS244" i="40"/>
  <c r="AN244" i="40"/>
  <c r="AM244" i="40"/>
  <c r="AL244" i="40"/>
  <c r="O244" i="40"/>
  <c r="M244" i="40"/>
  <c r="I244" i="40"/>
  <c r="AQ244" i="40" s="1"/>
  <c r="F244" i="40"/>
  <c r="E244" i="40"/>
  <c r="E246" i="40" s="1"/>
  <c r="H246" i="40" s="1"/>
  <c r="B244" i="40"/>
  <c r="N244" i="40" s="1"/>
  <c r="AS243" i="40"/>
  <c r="AN243" i="40"/>
  <c r="AM243" i="40"/>
  <c r="AL243" i="40"/>
  <c r="O243" i="40"/>
  <c r="M243" i="40"/>
  <c r="F243" i="40"/>
  <c r="E243" i="40"/>
  <c r="E245" i="40" s="1"/>
  <c r="B243" i="40"/>
  <c r="N243" i="40" s="1"/>
  <c r="AX242" i="40"/>
  <c r="AW242" i="40"/>
  <c r="AS242" i="40"/>
  <c r="O242" i="40"/>
  <c r="N242" i="40"/>
  <c r="M242" i="40"/>
  <c r="J242" i="40"/>
  <c r="L242" i="40" s="1"/>
  <c r="H242" i="40"/>
  <c r="AS237" i="40"/>
  <c r="AN237" i="40"/>
  <c r="AM237" i="40"/>
  <c r="AL237" i="40"/>
  <c r="O237" i="40"/>
  <c r="M237" i="40"/>
  <c r="I237" i="40"/>
  <c r="F237" i="40"/>
  <c r="E237" i="40"/>
  <c r="H237" i="40" s="1"/>
  <c r="B237" i="40"/>
  <c r="N237" i="40" s="1"/>
  <c r="AS236" i="40"/>
  <c r="AN236" i="40"/>
  <c r="AM236" i="40"/>
  <c r="AQ236" i="40" s="1"/>
  <c r="AL236" i="40"/>
  <c r="O236" i="40"/>
  <c r="M236" i="40"/>
  <c r="I236" i="40"/>
  <c r="F236" i="40"/>
  <c r="E236" i="40"/>
  <c r="H236" i="40" s="1"/>
  <c r="B236" i="40"/>
  <c r="N236" i="40" s="1"/>
  <c r="AX235" i="40"/>
  <c r="AW235" i="40"/>
  <c r="AS235" i="40"/>
  <c r="AN235" i="40"/>
  <c r="AM235" i="40"/>
  <c r="AQ235" i="40" s="1"/>
  <c r="AL235" i="40"/>
  <c r="O235" i="40"/>
  <c r="M235" i="40"/>
  <c r="I235" i="40"/>
  <c r="J235" i="40" s="1"/>
  <c r="AU235" i="40" s="1"/>
  <c r="H235" i="40"/>
  <c r="F235" i="40"/>
  <c r="B235" i="40"/>
  <c r="N235" i="40" s="1"/>
  <c r="AS234" i="40"/>
  <c r="AN234" i="40"/>
  <c r="AM234" i="40"/>
  <c r="AL234" i="40"/>
  <c r="O234" i="40"/>
  <c r="M234" i="40"/>
  <c r="I234" i="40"/>
  <c r="F234" i="40"/>
  <c r="E234" i="40"/>
  <c r="H234" i="40" s="1"/>
  <c r="B234" i="40"/>
  <c r="N234" i="40" s="1"/>
  <c r="AS233" i="40"/>
  <c r="AN233" i="40"/>
  <c r="AM233" i="40"/>
  <c r="AL233" i="40"/>
  <c r="O233" i="40"/>
  <c r="M233" i="40"/>
  <c r="J233" i="40"/>
  <c r="AU233" i="40" s="1"/>
  <c r="I233" i="40"/>
  <c r="F233" i="40"/>
  <c r="E233" i="40"/>
  <c r="H233" i="40" s="1"/>
  <c r="B233" i="40"/>
  <c r="N233" i="40" s="1"/>
  <c r="AS232" i="40"/>
  <c r="AQ232" i="40"/>
  <c r="AR232" i="40" s="1"/>
  <c r="O232" i="40"/>
  <c r="N232" i="40"/>
  <c r="M232" i="40"/>
  <c r="J232" i="40"/>
  <c r="AU232" i="40" s="1"/>
  <c r="H232" i="40"/>
  <c r="I222" i="40"/>
  <c r="AS227" i="40"/>
  <c r="AN227" i="40"/>
  <c r="AM227" i="40"/>
  <c r="AL227" i="40"/>
  <c r="O227" i="40"/>
  <c r="M227" i="40"/>
  <c r="F227" i="40"/>
  <c r="B227" i="40"/>
  <c r="N227" i="40" s="1"/>
  <c r="AS226" i="40"/>
  <c r="AN226" i="40"/>
  <c r="AM226" i="40"/>
  <c r="AL226" i="40"/>
  <c r="O226" i="40"/>
  <c r="M226" i="40"/>
  <c r="F226" i="40"/>
  <c r="B226" i="40"/>
  <c r="N226" i="40" s="1"/>
  <c r="AS225" i="40"/>
  <c r="AN225" i="40"/>
  <c r="AM225" i="40"/>
  <c r="AL225" i="40"/>
  <c r="O225" i="40"/>
  <c r="N225" i="40"/>
  <c r="M225" i="40"/>
  <c r="F225" i="40"/>
  <c r="B225" i="40"/>
  <c r="AS224" i="40"/>
  <c r="AN224" i="40"/>
  <c r="AM224" i="40"/>
  <c r="AL224" i="40"/>
  <c r="O224" i="40"/>
  <c r="M224" i="40"/>
  <c r="I224" i="40"/>
  <c r="AQ224" i="40" s="1"/>
  <c r="H224" i="40"/>
  <c r="F224" i="40"/>
  <c r="E224" i="40"/>
  <c r="E226" i="40" s="1"/>
  <c r="H226" i="40" s="1"/>
  <c r="B224" i="40"/>
  <c r="N224" i="40" s="1"/>
  <c r="AS223" i="40"/>
  <c r="AQ223" i="40"/>
  <c r="AN223" i="40"/>
  <c r="AM223" i="40"/>
  <c r="AL223" i="40"/>
  <c r="O223" i="40"/>
  <c r="M223" i="40"/>
  <c r="I223" i="40"/>
  <c r="F223" i="40"/>
  <c r="E223" i="40"/>
  <c r="E225" i="40" s="1"/>
  <c r="B223" i="40"/>
  <c r="N223" i="40" s="1"/>
  <c r="AS222" i="40"/>
  <c r="AQ222" i="40"/>
  <c r="O222" i="40"/>
  <c r="N222" i="40"/>
  <c r="M222" i="40"/>
  <c r="I226" i="40"/>
  <c r="H222" i="40"/>
  <c r="AS217" i="40"/>
  <c r="AN217" i="40"/>
  <c r="AM217" i="40"/>
  <c r="AQ217" i="40" s="1"/>
  <c r="AL217" i="40"/>
  <c r="O217" i="40"/>
  <c r="M217" i="40"/>
  <c r="I217" i="40"/>
  <c r="F217" i="40"/>
  <c r="E217" i="40"/>
  <c r="H217" i="40" s="1"/>
  <c r="B217" i="40"/>
  <c r="N217" i="40" s="1"/>
  <c r="AS216" i="40"/>
  <c r="AN216" i="40"/>
  <c r="AM216" i="40"/>
  <c r="AL216" i="40"/>
  <c r="O216" i="40"/>
  <c r="M216" i="40"/>
  <c r="I216" i="40"/>
  <c r="F216" i="40"/>
  <c r="E216" i="40"/>
  <c r="H216" i="40" s="1"/>
  <c r="B216" i="40"/>
  <c r="N216" i="40" s="1"/>
  <c r="AS215" i="40"/>
  <c r="AN215" i="40"/>
  <c r="AM215" i="40"/>
  <c r="AQ215" i="40" s="1"/>
  <c r="AL215" i="40"/>
  <c r="O215" i="40"/>
  <c r="M215" i="40"/>
  <c r="I215" i="40"/>
  <c r="J215" i="40" s="1"/>
  <c r="AU215" i="40" s="1"/>
  <c r="F215" i="40"/>
  <c r="H215" i="40" s="1"/>
  <c r="B215" i="40"/>
  <c r="N215" i="40" s="1"/>
  <c r="AS214" i="40"/>
  <c r="AN214" i="40"/>
  <c r="AM214" i="40"/>
  <c r="AQ214" i="40" s="1"/>
  <c r="AL214" i="40"/>
  <c r="O214" i="40"/>
  <c r="M214" i="40"/>
  <c r="I214" i="40"/>
  <c r="F214" i="40"/>
  <c r="E214" i="40"/>
  <c r="H214" i="40" s="1"/>
  <c r="B214" i="40"/>
  <c r="N214" i="40" s="1"/>
  <c r="AS213" i="40"/>
  <c r="AN213" i="40"/>
  <c r="AM213" i="40"/>
  <c r="AQ213" i="40" s="1"/>
  <c r="AL213" i="40"/>
  <c r="O213" i="40"/>
  <c r="N213" i="40"/>
  <c r="M213" i="40"/>
  <c r="J213" i="40"/>
  <c r="AU213" i="40" s="1"/>
  <c r="I213" i="40"/>
  <c r="F213" i="40"/>
  <c r="E213" i="40"/>
  <c r="H213" i="40" s="1"/>
  <c r="B213" i="40"/>
  <c r="AS212" i="40"/>
  <c r="AQ212" i="40"/>
  <c r="AR212" i="40" s="1"/>
  <c r="AT212" i="40" s="1"/>
  <c r="O212" i="40"/>
  <c r="N212" i="40"/>
  <c r="M212" i="40"/>
  <c r="J212" i="40"/>
  <c r="AU212" i="40" s="1"/>
  <c r="H212" i="40"/>
  <c r="I202" i="40"/>
  <c r="AS207" i="40"/>
  <c r="AN207" i="40"/>
  <c r="AM207" i="40"/>
  <c r="AL207" i="40"/>
  <c r="O207" i="40"/>
  <c r="M207" i="40"/>
  <c r="F207" i="40"/>
  <c r="B207" i="40"/>
  <c r="N207" i="40" s="1"/>
  <c r="AS206" i="40"/>
  <c r="AN206" i="40"/>
  <c r="AM206" i="40"/>
  <c r="AL206" i="40"/>
  <c r="O206" i="40"/>
  <c r="N206" i="40"/>
  <c r="M206" i="40"/>
  <c r="F206" i="40"/>
  <c r="B206" i="40"/>
  <c r="AS205" i="40"/>
  <c r="AN205" i="40"/>
  <c r="AM205" i="40"/>
  <c r="AL205" i="40"/>
  <c r="O205" i="40"/>
  <c r="N205" i="40"/>
  <c r="M205" i="40"/>
  <c r="F205" i="40"/>
  <c r="B205" i="40"/>
  <c r="AS204" i="40"/>
  <c r="AN204" i="40"/>
  <c r="AM204" i="40"/>
  <c r="AL204" i="40"/>
  <c r="O204" i="40"/>
  <c r="M204" i="40"/>
  <c r="F204" i="40"/>
  <c r="H204" i="40" s="1"/>
  <c r="E204" i="40"/>
  <c r="E206" i="40" s="1"/>
  <c r="H206" i="40" s="1"/>
  <c r="B204" i="40"/>
  <c r="N204" i="40" s="1"/>
  <c r="AS203" i="40"/>
  <c r="AN203" i="40"/>
  <c r="AM203" i="40"/>
  <c r="AL203" i="40"/>
  <c r="O203" i="40"/>
  <c r="M203" i="40"/>
  <c r="F203" i="40"/>
  <c r="E203" i="40"/>
  <c r="E205" i="40" s="1"/>
  <c r="B203" i="40"/>
  <c r="N203" i="40" s="1"/>
  <c r="AS202" i="40"/>
  <c r="O202" i="40"/>
  <c r="N202" i="40"/>
  <c r="M202" i="40"/>
  <c r="I206" i="40"/>
  <c r="H202" i="40"/>
  <c r="AS197" i="40"/>
  <c r="AN197" i="40"/>
  <c r="AM197" i="40"/>
  <c r="AL197" i="40"/>
  <c r="O197" i="40"/>
  <c r="M197" i="40"/>
  <c r="I197" i="40"/>
  <c r="F197" i="40"/>
  <c r="E197" i="40"/>
  <c r="H197" i="40" s="1"/>
  <c r="B197" i="40"/>
  <c r="N197" i="40" s="1"/>
  <c r="AS196" i="40"/>
  <c r="AN196" i="40"/>
  <c r="AM196" i="40"/>
  <c r="AL196" i="40"/>
  <c r="O196" i="40"/>
  <c r="M196" i="40"/>
  <c r="I196" i="40"/>
  <c r="F196" i="40"/>
  <c r="E196" i="40"/>
  <c r="H196" i="40" s="1"/>
  <c r="B196" i="40"/>
  <c r="N196" i="40" s="1"/>
  <c r="AS195" i="40"/>
  <c r="AN195" i="40"/>
  <c r="AM195" i="40"/>
  <c r="AL195" i="40"/>
  <c r="O195" i="40"/>
  <c r="M195" i="40"/>
  <c r="I195" i="40"/>
  <c r="J195" i="40" s="1"/>
  <c r="AU195" i="40" s="1"/>
  <c r="F195" i="40"/>
  <c r="H195" i="40" s="1"/>
  <c r="B195" i="40"/>
  <c r="N195" i="40" s="1"/>
  <c r="AS194" i="40"/>
  <c r="AN194" i="40"/>
  <c r="AM194" i="40"/>
  <c r="AL194" i="40"/>
  <c r="O194" i="40"/>
  <c r="M194" i="40"/>
  <c r="I194" i="40"/>
  <c r="H194" i="40"/>
  <c r="F194" i="40"/>
  <c r="E194" i="40"/>
  <c r="B194" i="40"/>
  <c r="N194" i="40" s="1"/>
  <c r="AS193" i="40"/>
  <c r="AN193" i="40"/>
  <c r="AM193" i="40"/>
  <c r="AL193" i="40"/>
  <c r="O193" i="40"/>
  <c r="M193" i="40"/>
  <c r="J193" i="40"/>
  <c r="AU193" i="40" s="1"/>
  <c r="I193" i="40"/>
  <c r="F193" i="40"/>
  <c r="E193" i="40"/>
  <c r="H193" i="40" s="1"/>
  <c r="B193" i="40"/>
  <c r="N193" i="40" s="1"/>
  <c r="AS192" i="40"/>
  <c r="AQ192" i="40"/>
  <c r="AR192" i="40" s="1"/>
  <c r="O192" i="40"/>
  <c r="N192" i="40"/>
  <c r="M192" i="40"/>
  <c r="J192" i="40"/>
  <c r="L192" i="40" s="1"/>
  <c r="H192" i="40"/>
  <c r="AW192" i="40" s="1"/>
  <c r="AS187" i="40"/>
  <c r="AN187" i="40"/>
  <c r="AM187" i="40"/>
  <c r="AL187" i="40"/>
  <c r="O187" i="40"/>
  <c r="M187" i="40"/>
  <c r="I187" i="40"/>
  <c r="F187" i="40"/>
  <c r="E187" i="40"/>
  <c r="H187" i="40" s="1"/>
  <c r="B187" i="40"/>
  <c r="N187" i="40" s="1"/>
  <c r="AS186" i="40"/>
  <c r="AN186" i="40"/>
  <c r="AM186" i="40"/>
  <c r="AQ186" i="40" s="1"/>
  <c r="AL186" i="40"/>
  <c r="O186" i="40"/>
  <c r="M186" i="40"/>
  <c r="I186" i="40"/>
  <c r="F186" i="40"/>
  <c r="E186" i="40"/>
  <c r="H186" i="40" s="1"/>
  <c r="B186" i="40"/>
  <c r="N186" i="40" s="1"/>
  <c r="AS185" i="40"/>
  <c r="AN185" i="40"/>
  <c r="AM185" i="40"/>
  <c r="AQ185" i="40" s="1"/>
  <c r="AL185" i="40"/>
  <c r="O185" i="40"/>
  <c r="M185" i="40"/>
  <c r="J185" i="40"/>
  <c r="AU185" i="40" s="1"/>
  <c r="I185" i="40"/>
  <c r="J186" i="40" s="1"/>
  <c r="AU186" i="40" s="1"/>
  <c r="F185" i="40"/>
  <c r="H185" i="40" s="1"/>
  <c r="B185" i="40"/>
  <c r="N185" i="40" s="1"/>
  <c r="AU184" i="40"/>
  <c r="AS184" i="40"/>
  <c r="AN184" i="40"/>
  <c r="AM184" i="40"/>
  <c r="AL184" i="40"/>
  <c r="O184" i="40"/>
  <c r="M184" i="40"/>
  <c r="I184" i="40"/>
  <c r="H184" i="40"/>
  <c r="F184" i="40"/>
  <c r="E184" i="40"/>
  <c r="B184" i="40"/>
  <c r="N184" i="40" s="1"/>
  <c r="AX183" i="40"/>
  <c r="AW183" i="40"/>
  <c r="AS183" i="40"/>
  <c r="AQ183" i="40"/>
  <c r="AN183" i="40"/>
  <c r="AM183" i="40"/>
  <c r="AL183" i="40"/>
  <c r="O183" i="40"/>
  <c r="M183" i="40"/>
  <c r="J183" i="40"/>
  <c r="AU183" i="40" s="1"/>
  <c r="I183" i="40"/>
  <c r="H183" i="40"/>
  <c r="F183" i="40"/>
  <c r="E183" i="40"/>
  <c r="B183" i="40"/>
  <c r="N183" i="40" s="1"/>
  <c r="AW182" i="40"/>
  <c r="AU182" i="40"/>
  <c r="AS182" i="40"/>
  <c r="AQ182" i="40"/>
  <c r="AR182" i="40" s="1"/>
  <c r="AT182" i="40" s="1"/>
  <c r="O182" i="40"/>
  <c r="N182" i="40"/>
  <c r="M182" i="40"/>
  <c r="J182" i="40"/>
  <c r="H182" i="40"/>
  <c r="AX182" i="40" s="1"/>
  <c r="AS177" i="40"/>
  <c r="AN177" i="40"/>
  <c r="AM177" i="40"/>
  <c r="AL177" i="40"/>
  <c r="O177" i="40"/>
  <c r="M177" i="40"/>
  <c r="I177" i="40"/>
  <c r="AQ177" i="40" s="1"/>
  <c r="H177" i="40"/>
  <c r="F177" i="40"/>
  <c r="E177" i="40"/>
  <c r="B177" i="40"/>
  <c r="N177" i="40" s="1"/>
  <c r="AS176" i="40"/>
  <c r="AN176" i="40"/>
  <c r="AM176" i="40"/>
  <c r="AQ176" i="40" s="1"/>
  <c r="AL176" i="40"/>
  <c r="O176" i="40"/>
  <c r="M176" i="40"/>
  <c r="I176" i="40"/>
  <c r="F176" i="40"/>
  <c r="E176" i="40"/>
  <c r="H176" i="40" s="1"/>
  <c r="B176" i="40"/>
  <c r="N176" i="40" s="1"/>
  <c r="AS175" i="40"/>
  <c r="AN175" i="40"/>
  <c r="AM175" i="40"/>
  <c r="AQ175" i="40" s="1"/>
  <c r="AL175" i="40"/>
  <c r="O175" i="40"/>
  <c r="M175" i="40"/>
  <c r="I175" i="40"/>
  <c r="J175" i="40" s="1"/>
  <c r="AU175" i="40" s="1"/>
  <c r="F175" i="40"/>
  <c r="H175" i="40" s="1"/>
  <c r="B175" i="40"/>
  <c r="N175" i="40" s="1"/>
  <c r="AS174" i="40"/>
  <c r="AN174" i="40"/>
  <c r="AM174" i="40"/>
  <c r="AL174" i="40"/>
  <c r="O174" i="40"/>
  <c r="M174" i="40"/>
  <c r="I174" i="40"/>
  <c r="F174" i="40"/>
  <c r="H174" i="40" s="1"/>
  <c r="E174" i="40"/>
  <c r="B174" i="40"/>
  <c r="N174" i="40" s="1"/>
  <c r="AW173" i="40"/>
  <c r="AS173" i="40"/>
  <c r="AN173" i="40"/>
  <c r="AM173" i="40"/>
  <c r="AL173" i="40"/>
  <c r="O173" i="40"/>
  <c r="M173" i="40"/>
  <c r="J173" i="40"/>
  <c r="AU173" i="40" s="1"/>
  <c r="I173" i="40"/>
  <c r="H173" i="40"/>
  <c r="F173" i="40"/>
  <c r="E173" i="40"/>
  <c r="B173" i="40"/>
  <c r="N173" i="40" s="1"/>
  <c r="AW172" i="40"/>
  <c r="AS172" i="40"/>
  <c r="AQ172" i="40"/>
  <c r="AR172" i="40" s="1"/>
  <c r="AT172" i="40" s="1"/>
  <c r="O172" i="40"/>
  <c r="N172" i="40"/>
  <c r="M172" i="40"/>
  <c r="J172" i="40"/>
  <c r="AU172" i="40" s="1"/>
  <c r="H172" i="40"/>
  <c r="AX172" i="40" s="1"/>
  <c r="AS167" i="40"/>
  <c r="AN167" i="40"/>
  <c r="AM167" i="40"/>
  <c r="AQ167" i="40" s="1"/>
  <c r="AL167" i="40"/>
  <c r="O167" i="40"/>
  <c r="M167" i="40"/>
  <c r="I167" i="40"/>
  <c r="F167" i="40"/>
  <c r="E167" i="40"/>
  <c r="H167" i="40" s="1"/>
  <c r="B167" i="40"/>
  <c r="N167" i="40" s="1"/>
  <c r="AS166" i="40"/>
  <c r="AN166" i="40"/>
  <c r="AM166" i="40"/>
  <c r="AL166" i="40"/>
  <c r="O166" i="40"/>
  <c r="M166" i="40"/>
  <c r="I166" i="40"/>
  <c r="F166" i="40"/>
  <c r="H166" i="40" s="1"/>
  <c r="E166" i="40"/>
  <c r="B166" i="40"/>
  <c r="N166" i="40" s="1"/>
  <c r="AS165" i="40"/>
  <c r="AN165" i="40"/>
  <c r="AM165" i="40"/>
  <c r="AL165" i="40"/>
  <c r="O165" i="40"/>
  <c r="M165" i="40"/>
  <c r="J165" i="40"/>
  <c r="AU165" i="40" s="1"/>
  <c r="I165" i="40"/>
  <c r="J166" i="40" s="1"/>
  <c r="AU166" i="40" s="1"/>
  <c r="F165" i="40"/>
  <c r="H165" i="40" s="1"/>
  <c r="B165" i="40"/>
  <c r="N165" i="40" s="1"/>
  <c r="AS164" i="40"/>
  <c r="AN164" i="40"/>
  <c r="AM164" i="40"/>
  <c r="AQ164" i="40" s="1"/>
  <c r="AL164" i="40"/>
  <c r="O164" i="40"/>
  <c r="M164" i="40"/>
  <c r="I164" i="40"/>
  <c r="F164" i="40"/>
  <c r="E164" i="40"/>
  <c r="H164" i="40" s="1"/>
  <c r="B164" i="40"/>
  <c r="N164" i="40" s="1"/>
  <c r="AX163" i="40"/>
  <c r="AW163" i="40"/>
  <c r="AS163" i="40"/>
  <c r="AN163" i="40"/>
  <c r="AM163" i="40"/>
  <c r="AL163" i="40"/>
  <c r="O163" i="40"/>
  <c r="M163" i="40"/>
  <c r="J163" i="40"/>
  <c r="AU164" i="40" s="1"/>
  <c r="I163" i="40"/>
  <c r="H163" i="40"/>
  <c r="F163" i="40"/>
  <c r="E163" i="40"/>
  <c r="B163" i="40"/>
  <c r="N163" i="40" s="1"/>
  <c r="AW162" i="40"/>
  <c r="AS162" i="40"/>
  <c r="AQ162" i="40"/>
  <c r="AR162" i="40" s="1"/>
  <c r="AT162" i="40" s="1"/>
  <c r="O162" i="40"/>
  <c r="N162" i="40"/>
  <c r="M162" i="40"/>
  <c r="J162" i="40"/>
  <c r="AU162" i="40" s="1"/>
  <c r="H162" i="40"/>
  <c r="J93" i="40"/>
  <c r="J153" i="40"/>
  <c r="AU154" i="40" s="1"/>
  <c r="I152" i="40"/>
  <c r="I156" i="40" s="1"/>
  <c r="AS157" i="40"/>
  <c r="AN157" i="40"/>
  <c r="AM157" i="40"/>
  <c r="AL157" i="40"/>
  <c r="O157" i="40"/>
  <c r="M157" i="40"/>
  <c r="F157" i="40"/>
  <c r="B157" i="40"/>
  <c r="N157" i="40" s="1"/>
  <c r="AS156" i="40"/>
  <c r="AN156" i="40"/>
  <c r="AM156" i="40"/>
  <c r="AL156" i="40"/>
  <c r="O156" i="40"/>
  <c r="N156" i="40"/>
  <c r="M156" i="40"/>
  <c r="F156" i="40"/>
  <c r="B156" i="40"/>
  <c r="AS155" i="40"/>
  <c r="AN155" i="40"/>
  <c r="AM155" i="40"/>
  <c r="AL155" i="40"/>
  <c r="O155" i="40"/>
  <c r="N155" i="40"/>
  <c r="M155" i="40"/>
  <c r="F155" i="40"/>
  <c r="H155" i="40" s="1"/>
  <c r="E155" i="40"/>
  <c r="E157" i="40" s="1"/>
  <c r="H157" i="40" s="1"/>
  <c r="B155" i="40"/>
  <c r="AS154" i="40"/>
  <c r="AN154" i="40"/>
  <c r="AM154" i="40"/>
  <c r="AL154" i="40"/>
  <c r="O154" i="40"/>
  <c r="M154" i="40"/>
  <c r="F154" i="40"/>
  <c r="E154" i="40"/>
  <c r="E156" i="40" s="1"/>
  <c r="H156" i="40" s="1"/>
  <c r="B154" i="40"/>
  <c r="N154" i="40" s="1"/>
  <c r="AU153" i="40"/>
  <c r="AS153" i="40"/>
  <c r="AN153" i="40"/>
  <c r="AM153" i="40"/>
  <c r="AL153" i="40"/>
  <c r="O153" i="40"/>
  <c r="N153" i="40"/>
  <c r="M153" i="40"/>
  <c r="F153" i="40"/>
  <c r="E153" i="40"/>
  <c r="H153" i="40" s="1"/>
  <c r="B153" i="40"/>
  <c r="AS152" i="40"/>
  <c r="O152" i="40"/>
  <c r="N152" i="40"/>
  <c r="M152" i="40"/>
  <c r="H152" i="40"/>
  <c r="AS147" i="40"/>
  <c r="AN147" i="40"/>
  <c r="AM147" i="40"/>
  <c r="AL147" i="40"/>
  <c r="O147" i="40"/>
  <c r="M147" i="40"/>
  <c r="I147" i="40"/>
  <c r="F147" i="40"/>
  <c r="E147" i="40"/>
  <c r="H147" i="40" s="1"/>
  <c r="B147" i="40"/>
  <c r="N147" i="40" s="1"/>
  <c r="AX146" i="40"/>
  <c r="AW146" i="40"/>
  <c r="AS146" i="40"/>
  <c r="AN146" i="40"/>
  <c r="AM146" i="40"/>
  <c r="AQ146" i="40" s="1"/>
  <c r="AL146" i="40"/>
  <c r="O146" i="40"/>
  <c r="N146" i="40"/>
  <c r="M146" i="40"/>
  <c r="I146" i="40"/>
  <c r="H146" i="40"/>
  <c r="F146" i="40"/>
  <c r="E146" i="40"/>
  <c r="B146" i="40"/>
  <c r="AS145" i="40"/>
  <c r="AN145" i="40"/>
  <c r="AM145" i="40"/>
  <c r="AL145" i="40"/>
  <c r="O145" i="40"/>
  <c r="M145" i="40"/>
  <c r="I145" i="40"/>
  <c r="AQ145" i="40" s="1"/>
  <c r="F145" i="40"/>
  <c r="H145" i="40" s="1"/>
  <c r="B145" i="40"/>
  <c r="N145" i="40" s="1"/>
  <c r="AS144" i="40"/>
  <c r="AN144" i="40"/>
  <c r="AM144" i="40"/>
  <c r="AQ144" i="40" s="1"/>
  <c r="AL144" i="40"/>
  <c r="O144" i="40"/>
  <c r="M144" i="40"/>
  <c r="I144" i="40"/>
  <c r="F144" i="40"/>
  <c r="E144" i="40"/>
  <c r="H144" i="40" s="1"/>
  <c r="B144" i="40"/>
  <c r="N144" i="40" s="1"/>
  <c r="AS143" i="40"/>
  <c r="AN143" i="40"/>
  <c r="AM143" i="40"/>
  <c r="AL143" i="40"/>
  <c r="O143" i="40"/>
  <c r="N143" i="40"/>
  <c r="M143" i="40"/>
  <c r="J143" i="40"/>
  <c r="AU143" i="40" s="1"/>
  <c r="I143" i="40"/>
  <c r="F143" i="40"/>
  <c r="E143" i="40"/>
  <c r="H143" i="40" s="1"/>
  <c r="B143" i="40"/>
  <c r="AX142" i="40"/>
  <c r="AS142" i="40"/>
  <c r="AR142" i="40"/>
  <c r="AQ142" i="40"/>
  <c r="O142" i="40"/>
  <c r="N142" i="40"/>
  <c r="M142" i="40"/>
  <c r="J142" i="40"/>
  <c r="L142" i="40" s="1"/>
  <c r="H142" i="40"/>
  <c r="AW142" i="40" s="1"/>
  <c r="AS137" i="40"/>
  <c r="AN137" i="40"/>
  <c r="AM137" i="40"/>
  <c r="AL137" i="40"/>
  <c r="O137" i="40"/>
  <c r="M137" i="40"/>
  <c r="I137" i="40"/>
  <c r="H137" i="40"/>
  <c r="F137" i="40"/>
  <c r="E137" i="40"/>
  <c r="B137" i="40"/>
  <c r="N137" i="40" s="1"/>
  <c r="AS136" i="40"/>
  <c r="AQ136" i="40"/>
  <c r="AN136" i="40"/>
  <c r="AM136" i="40"/>
  <c r="AL136" i="40"/>
  <c r="O136" i="40"/>
  <c r="M136" i="40"/>
  <c r="J136" i="40"/>
  <c r="AU136" i="40" s="1"/>
  <c r="I136" i="40"/>
  <c r="F136" i="40"/>
  <c r="E136" i="40"/>
  <c r="H136" i="40" s="1"/>
  <c r="B136" i="40"/>
  <c r="N136" i="40" s="1"/>
  <c r="AS135" i="40"/>
  <c r="AN135" i="40"/>
  <c r="AM135" i="40"/>
  <c r="AQ135" i="40" s="1"/>
  <c r="AL135" i="40"/>
  <c r="O135" i="40"/>
  <c r="M135" i="40"/>
  <c r="I135" i="40"/>
  <c r="J135" i="40" s="1"/>
  <c r="AU135" i="40" s="1"/>
  <c r="F135" i="40"/>
  <c r="H135" i="40" s="1"/>
  <c r="B135" i="40"/>
  <c r="N135" i="40" s="1"/>
  <c r="AS134" i="40"/>
  <c r="AN134" i="40"/>
  <c r="AM134" i="40"/>
  <c r="AL134" i="40"/>
  <c r="O134" i="40"/>
  <c r="M134" i="40"/>
  <c r="I134" i="40"/>
  <c r="H134" i="40"/>
  <c r="F134" i="40"/>
  <c r="E134" i="40"/>
  <c r="B134" i="40"/>
  <c r="N134" i="40" s="1"/>
  <c r="AS133" i="40"/>
  <c r="AN133" i="40"/>
  <c r="AM133" i="40"/>
  <c r="AL133" i="40"/>
  <c r="O133" i="40"/>
  <c r="M133" i="40"/>
  <c r="J133" i="40"/>
  <c r="AU133" i="40" s="1"/>
  <c r="I133" i="40"/>
  <c r="AQ133" i="40" s="1"/>
  <c r="F133" i="40"/>
  <c r="E133" i="40"/>
  <c r="H133" i="40" s="1"/>
  <c r="B133" i="40"/>
  <c r="N133" i="40" s="1"/>
  <c r="AS132" i="40"/>
  <c r="AQ132" i="40"/>
  <c r="AR132" i="40" s="1"/>
  <c r="AT132" i="40" s="1"/>
  <c r="O132" i="40"/>
  <c r="N132" i="40"/>
  <c r="M132" i="40"/>
  <c r="J132" i="40"/>
  <c r="AU132" i="40" s="1"/>
  <c r="H132" i="40"/>
  <c r="AX132" i="40" s="1"/>
  <c r="AS127" i="40"/>
  <c r="AN127" i="40"/>
  <c r="AM127" i="40"/>
  <c r="AL127" i="40"/>
  <c r="O127" i="40"/>
  <c r="N127" i="40"/>
  <c r="M127" i="40"/>
  <c r="I127" i="40"/>
  <c r="F127" i="40"/>
  <c r="E127" i="40"/>
  <c r="H127" i="40" s="1"/>
  <c r="B127" i="40"/>
  <c r="AS126" i="40"/>
  <c r="AN126" i="40"/>
  <c r="AM126" i="40"/>
  <c r="AL126" i="40"/>
  <c r="O126" i="40"/>
  <c r="M126" i="40"/>
  <c r="I126" i="40"/>
  <c r="F126" i="40"/>
  <c r="E126" i="40"/>
  <c r="H126" i="40" s="1"/>
  <c r="B126" i="40"/>
  <c r="N126" i="40" s="1"/>
  <c r="AS125" i="40"/>
  <c r="AN125" i="40"/>
  <c r="AM125" i="40"/>
  <c r="AQ125" i="40" s="1"/>
  <c r="AL125" i="40"/>
  <c r="O125" i="40"/>
  <c r="M125" i="40"/>
  <c r="I125" i="40"/>
  <c r="J125" i="40" s="1"/>
  <c r="AU125" i="40" s="1"/>
  <c r="H125" i="40"/>
  <c r="F125" i="40"/>
  <c r="B125" i="40"/>
  <c r="N125" i="40" s="1"/>
  <c r="AU124" i="40"/>
  <c r="AS124" i="40"/>
  <c r="AQ124" i="40"/>
  <c r="AN124" i="40"/>
  <c r="AM124" i="40"/>
  <c r="AL124" i="40"/>
  <c r="O124" i="40"/>
  <c r="M124" i="40"/>
  <c r="I124" i="40"/>
  <c r="F124" i="40"/>
  <c r="E124" i="40"/>
  <c r="H124" i="40" s="1"/>
  <c r="B124" i="40"/>
  <c r="N124" i="40" s="1"/>
  <c r="AU123" i="40"/>
  <c r="AS123" i="40"/>
  <c r="AN123" i="40"/>
  <c r="AM123" i="40"/>
  <c r="AQ123" i="40" s="1"/>
  <c r="AL123" i="40"/>
  <c r="O123" i="40"/>
  <c r="N123" i="40"/>
  <c r="M123" i="40"/>
  <c r="J123" i="40"/>
  <c r="I123" i="40"/>
  <c r="F123" i="40"/>
  <c r="H123" i="40" s="1"/>
  <c r="E123" i="40"/>
  <c r="B123" i="40"/>
  <c r="AS122" i="40"/>
  <c r="AQ122" i="40"/>
  <c r="O122" i="40"/>
  <c r="N122" i="40"/>
  <c r="M122" i="40"/>
  <c r="J122" i="40"/>
  <c r="L122" i="40" s="1"/>
  <c r="H122" i="40"/>
  <c r="J113" i="40"/>
  <c r="J117" i="40" s="1"/>
  <c r="J103" i="40"/>
  <c r="AU103" i="40" s="1"/>
  <c r="F117" i="40"/>
  <c r="AS119" i="40"/>
  <c r="AN119" i="40"/>
  <c r="AM119" i="40"/>
  <c r="AL119" i="40"/>
  <c r="O119" i="40"/>
  <c r="M119" i="40"/>
  <c r="I119" i="40"/>
  <c r="F119" i="40"/>
  <c r="E119" i="40"/>
  <c r="H119" i="40" s="1"/>
  <c r="B119" i="40"/>
  <c r="N119" i="40" s="1"/>
  <c r="AS118" i="40"/>
  <c r="AN118" i="40"/>
  <c r="AM118" i="40"/>
  <c r="AL118" i="40"/>
  <c r="O118" i="40"/>
  <c r="M118" i="40"/>
  <c r="I118" i="40"/>
  <c r="F118" i="40"/>
  <c r="H118" i="40" s="1"/>
  <c r="E118" i="40"/>
  <c r="B118" i="40"/>
  <c r="N118" i="40" s="1"/>
  <c r="AS117" i="40"/>
  <c r="AM117" i="40"/>
  <c r="AL117" i="40"/>
  <c r="O117" i="40"/>
  <c r="M117" i="40"/>
  <c r="E117" i="40"/>
  <c r="H117" i="40" s="1"/>
  <c r="B117" i="40"/>
  <c r="N117" i="40" s="1"/>
  <c r="AS116" i="40"/>
  <c r="AN116" i="40"/>
  <c r="AN117" i="40" s="1"/>
  <c r="AM116" i="40"/>
  <c r="AL116" i="40"/>
  <c r="O116" i="40"/>
  <c r="M116" i="40"/>
  <c r="I116" i="40"/>
  <c r="J116" i="40" s="1"/>
  <c r="AU116" i="40" s="1"/>
  <c r="F116" i="40"/>
  <c r="H116" i="40" s="1"/>
  <c r="B116" i="40"/>
  <c r="N116" i="40" s="1"/>
  <c r="AS115" i="40"/>
  <c r="AN115" i="40"/>
  <c r="AM115" i="40"/>
  <c r="AL115" i="40"/>
  <c r="O115" i="40"/>
  <c r="N115" i="40"/>
  <c r="M115" i="40"/>
  <c r="I115" i="40"/>
  <c r="AQ115" i="40" s="1"/>
  <c r="F115" i="40"/>
  <c r="E115" i="40"/>
  <c r="B115" i="40"/>
  <c r="AS114" i="40"/>
  <c r="AN114" i="40"/>
  <c r="AM114" i="40"/>
  <c r="AL114" i="40"/>
  <c r="O114" i="40"/>
  <c r="M114" i="40"/>
  <c r="J114" i="40"/>
  <c r="J118" i="40" s="1"/>
  <c r="AU118" i="40" s="1"/>
  <c r="I114" i="40"/>
  <c r="F114" i="40"/>
  <c r="E114" i="40"/>
  <c r="B114" i="40"/>
  <c r="N114" i="40" s="1"/>
  <c r="AS113" i="40"/>
  <c r="AN113" i="40"/>
  <c r="AM113" i="40"/>
  <c r="AL113" i="40"/>
  <c r="O113" i="40"/>
  <c r="M113" i="40"/>
  <c r="I113" i="40"/>
  <c r="AQ113" i="40" s="1"/>
  <c r="F113" i="40"/>
  <c r="H113" i="40" s="1"/>
  <c r="E113" i="40"/>
  <c r="B113" i="40"/>
  <c r="N113" i="40" s="1"/>
  <c r="AS112" i="40"/>
  <c r="AQ112" i="40"/>
  <c r="O112" i="40"/>
  <c r="N112" i="40"/>
  <c r="M112" i="40"/>
  <c r="J112" i="40"/>
  <c r="AU112" i="40" s="1"/>
  <c r="H112" i="40"/>
  <c r="AX112" i="40" s="1"/>
  <c r="O110" i="40"/>
  <c r="N110" i="40"/>
  <c r="AS110" i="40"/>
  <c r="AM110" i="40"/>
  <c r="AL110" i="40"/>
  <c r="M110" i="40"/>
  <c r="I110" i="40"/>
  <c r="J110" i="40" s="1"/>
  <c r="AU110" i="40" s="1"/>
  <c r="B110" i="40"/>
  <c r="AS109" i="40"/>
  <c r="AN109" i="40"/>
  <c r="AM109" i="40"/>
  <c r="O109" i="40"/>
  <c r="M109" i="40"/>
  <c r="E109" i="40"/>
  <c r="B109" i="40"/>
  <c r="N109" i="40" s="1"/>
  <c r="AS108" i="40"/>
  <c r="AN108" i="40"/>
  <c r="AM108" i="40"/>
  <c r="AL108" i="40"/>
  <c r="O108" i="40"/>
  <c r="M108" i="40"/>
  <c r="B108" i="40"/>
  <c r="N108" i="40" s="1"/>
  <c r="AS107" i="40"/>
  <c r="AM107" i="40"/>
  <c r="O107" i="40"/>
  <c r="M107" i="40"/>
  <c r="B107" i="40"/>
  <c r="N107" i="40" s="1"/>
  <c r="AU106" i="40"/>
  <c r="AS106" i="40"/>
  <c r="AN106" i="40"/>
  <c r="AN107" i="40" s="1"/>
  <c r="AM106" i="40"/>
  <c r="O106" i="40"/>
  <c r="M106" i="40"/>
  <c r="I106" i="40"/>
  <c r="E106" i="40"/>
  <c r="E107" i="40" s="1"/>
  <c r="B106" i="40"/>
  <c r="N106" i="40" s="1"/>
  <c r="AS105" i="40"/>
  <c r="AN105" i="40"/>
  <c r="AL105" i="40"/>
  <c r="O105" i="40"/>
  <c r="M105" i="40"/>
  <c r="I105" i="40"/>
  <c r="I107" i="40" s="1"/>
  <c r="B105" i="40"/>
  <c r="N105" i="40" s="1"/>
  <c r="AS104" i="40"/>
  <c r="AN104" i="40"/>
  <c r="AM104" i="40"/>
  <c r="AL104" i="40"/>
  <c r="AL107" i="40" s="1"/>
  <c r="O104" i="40"/>
  <c r="M104" i="40"/>
  <c r="I104" i="40"/>
  <c r="E104" i="40"/>
  <c r="B104" i="40"/>
  <c r="N104" i="40" s="1"/>
  <c r="AS103" i="40"/>
  <c r="AN103" i="40"/>
  <c r="AM103" i="40"/>
  <c r="AM105" i="40" s="1"/>
  <c r="AQ105" i="40" s="1"/>
  <c r="AL103" i="40"/>
  <c r="AL106" i="40" s="1"/>
  <c r="AL109" i="40" s="1"/>
  <c r="O103" i="40"/>
  <c r="M103" i="40"/>
  <c r="I103" i="40"/>
  <c r="AQ103" i="40" s="1"/>
  <c r="F103" i="40"/>
  <c r="F104" i="40" s="1"/>
  <c r="E103" i="40"/>
  <c r="B103" i="40"/>
  <c r="N103" i="40" s="1"/>
  <c r="AS102" i="40"/>
  <c r="AQ102" i="40"/>
  <c r="AR102" i="40" s="1"/>
  <c r="O102" i="40"/>
  <c r="N102" i="40"/>
  <c r="M102" i="40"/>
  <c r="J102" i="40"/>
  <c r="AU104" i="40" s="1"/>
  <c r="H102" i="40"/>
  <c r="L92" i="40"/>
  <c r="I92" i="40"/>
  <c r="I93" i="40" s="1"/>
  <c r="AQ93" i="40" s="1"/>
  <c r="AS97" i="40"/>
  <c r="AN97" i="40"/>
  <c r="AM97" i="40"/>
  <c r="AL97" i="40"/>
  <c r="O97" i="40"/>
  <c r="M97" i="40"/>
  <c r="F97" i="40"/>
  <c r="B97" i="40"/>
  <c r="N97" i="40" s="1"/>
  <c r="AS96" i="40"/>
  <c r="AN96" i="40"/>
  <c r="AM96" i="40"/>
  <c r="AL96" i="40"/>
  <c r="O96" i="40"/>
  <c r="M96" i="40"/>
  <c r="F96" i="40"/>
  <c r="B96" i="40"/>
  <c r="N96" i="40" s="1"/>
  <c r="AS95" i="40"/>
  <c r="AN95" i="40"/>
  <c r="AM95" i="40"/>
  <c r="AL95" i="40"/>
  <c r="O95" i="40"/>
  <c r="N95" i="40"/>
  <c r="M95" i="40"/>
  <c r="I95" i="40"/>
  <c r="J95" i="40" s="1"/>
  <c r="AU95" i="40" s="1"/>
  <c r="F95" i="40"/>
  <c r="B95" i="40"/>
  <c r="AU94" i="40"/>
  <c r="AS94" i="40"/>
  <c r="AN94" i="40"/>
  <c r="AM94" i="40"/>
  <c r="AL94" i="40"/>
  <c r="O94" i="40"/>
  <c r="M94" i="40"/>
  <c r="I94" i="40"/>
  <c r="AQ94" i="40" s="1"/>
  <c r="H94" i="40"/>
  <c r="F94" i="40"/>
  <c r="E94" i="40"/>
  <c r="E96" i="40" s="1"/>
  <c r="H96" i="40" s="1"/>
  <c r="B94" i="40"/>
  <c r="N94" i="40" s="1"/>
  <c r="AU93" i="40"/>
  <c r="AS93" i="40"/>
  <c r="AN93" i="40"/>
  <c r="AM93" i="40"/>
  <c r="AL93" i="40"/>
  <c r="O93" i="40"/>
  <c r="M93" i="40"/>
  <c r="F93" i="40"/>
  <c r="E93" i="40"/>
  <c r="E95" i="40" s="1"/>
  <c r="B93" i="40"/>
  <c r="N93" i="40" s="1"/>
  <c r="AW92" i="40"/>
  <c r="AS92" i="40"/>
  <c r="AR92" i="40"/>
  <c r="AT92" i="40" s="1"/>
  <c r="AQ92" i="40"/>
  <c r="O92" i="40"/>
  <c r="N92" i="40"/>
  <c r="M92" i="40"/>
  <c r="H92" i="40"/>
  <c r="AS87" i="40"/>
  <c r="AN87" i="40"/>
  <c r="AM87" i="40"/>
  <c r="AL87" i="40"/>
  <c r="O87" i="40"/>
  <c r="M87" i="40"/>
  <c r="I87" i="40"/>
  <c r="F87" i="40"/>
  <c r="E87" i="40"/>
  <c r="B87" i="40"/>
  <c r="N87" i="40" s="1"/>
  <c r="AS86" i="40"/>
  <c r="AN86" i="40"/>
  <c r="AM86" i="40"/>
  <c r="AL86" i="40"/>
  <c r="O86" i="40"/>
  <c r="N86" i="40"/>
  <c r="M86" i="40"/>
  <c r="J86" i="40"/>
  <c r="AU86" i="40" s="1"/>
  <c r="I86" i="40"/>
  <c r="F86" i="40"/>
  <c r="E86" i="40"/>
  <c r="B86" i="40"/>
  <c r="AS85" i="40"/>
  <c r="AN85" i="40"/>
  <c r="AM85" i="40"/>
  <c r="AQ85" i="40" s="1"/>
  <c r="AL85" i="40"/>
  <c r="O85" i="40"/>
  <c r="M85" i="40"/>
  <c r="I85" i="40"/>
  <c r="J85" i="40" s="1"/>
  <c r="AU85" i="40" s="1"/>
  <c r="F85" i="40"/>
  <c r="H85" i="40" s="1"/>
  <c r="B85" i="40"/>
  <c r="N85" i="40" s="1"/>
  <c r="AU84" i="40"/>
  <c r="AS84" i="40"/>
  <c r="AN84" i="40"/>
  <c r="AM84" i="40"/>
  <c r="AL84" i="40"/>
  <c r="O84" i="40"/>
  <c r="N84" i="40"/>
  <c r="M84" i="40"/>
  <c r="I84" i="40"/>
  <c r="F84" i="40"/>
  <c r="H84" i="40" s="1"/>
  <c r="E84" i="40"/>
  <c r="B84" i="40"/>
  <c r="AS83" i="40"/>
  <c r="AN83" i="40"/>
  <c r="AM83" i="40"/>
  <c r="AL83" i="40"/>
  <c r="O83" i="40"/>
  <c r="M83" i="40"/>
  <c r="J83" i="40"/>
  <c r="AU83" i="40" s="1"/>
  <c r="I83" i="40"/>
  <c r="AQ83" i="40" s="1"/>
  <c r="F83" i="40"/>
  <c r="H83" i="40" s="1"/>
  <c r="E83" i="40"/>
  <c r="B83" i="40"/>
  <c r="N83" i="40" s="1"/>
  <c r="AU82" i="40"/>
  <c r="AV82" i="40" s="1"/>
  <c r="AS82" i="40"/>
  <c r="AQ82" i="40"/>
  <c r="AR82" i="40" s="1"/>
  <c r="AT82" i="40" s="1"/>
  <c r="O82" i="40"/>
  <c r="N82" i="40"/>
  <c r="M82" i="40"/>
  <c r="L82" i="40"/>
  <c r="J82" i="40"/>
  <c r="H82" i="40"/>
  <c r="AW82" i="40" s="1"/>
  <c r="AS77" i="40"/>
  <c r="AN77" i="40"/>
  <c r="AM77" i="40"/>
  <c r="AL77" i="40"/>
  <c r="AQ77" i="40" s="1"/>
  <c r="O77" i="40"/>
  <c r="M77" i="40"/>
  <c r="I77" i="40"/>
  <c r="F77" i="40"/>
  <c r="E77" i="40"/>
  <c r="H77" i="40" s="1"/>
  <c r="B77" i="40"/>
  <c r="N77" i="40" s="1"/>
  <c r="AX76" i="40"/>
  <c r="AS76" i="40"/>
  <c r="AN76" i="40"/>
  <c r="AM76" i="40"/>
  <c r="AQ76" i="40" s="1"/>
  <c r="AL76" i="40"/>
  <c r="O76" i="40"/>
  <c r="M76" i="40"/>
  <c r="I76" i="40"/>
  <c r="H76" i="40"/>
  <c r="F76" i="40"/>
  <c r="E76" i="40"/>
  <c r="B76" i="40"/>
  <c r="N76" i="40" s="1"/>
  <c r="AS75" i="40"/>
  <c r="AN75" i="40"/>
  <c r="AM75" i="40"/>
  <c r="AL75" i="40"/>
  <c r="O75" i="40"/>
  <c r="M75" i="40"/>
  <c r="I75" i="40"/>
  <c r="AQ75" i="40" s="1"/>
  <c r="F75" i="40"/>
  <c r="H75" i="40" s="1"/>
  <c r="B75" i="40"/>
  <c r="N75" i="40" s="1"/>
  <c r="AU74" i="40"/>
  <c r="AS74" i="40"/>
  <c r="AQ74" i="40"/>
  <c r="AN74" i="40"/>
  <c r="AM74" i="40"/>
  <c r="AL74" i="40"/>
  <c r="O74" i="40"/>
  <c r="M74" i="40"/>
  <c r="I74" i="40"/>
  <c r="H74" i="40"/>
  <c r="F74" i="40"/>
  <c r="E74" i="40"/>
  <c r="B74" i="40"/>
  <c r="N74" i="40" s="1"/>
  <c r="AU73" i="40"/>
  <c r="AS73" i="40"/>
  <c r="AQ73" i="40"/>
  <c r="AN73" i="40"/>
  <c r="AM73" i="40"/>
  <c r="AL73" i="40"/>
  <c r="O73" i="40"/>
  <c r="M73" i="40"/>
  <c r="J73" i="40"/>
  <c r="I73" i="40"/>
  <c r="H73" i="40"/>
  <c r="AX73" i="40" s="1"/>
  <c r="F73" i="40"/>
  <c r="E73" i="40"/>
  <c r="B73" i="40"/>
  <c r="N73" i="40" s="1"/>
  <c r="AS72" i="40"/>
  <c r="AQ72" i="40"/>
  <c r="AR72" i="40" s="1"/>
  <c r="O72" i="40"/>
  <c r="N72" i="40"/>
  <c r="M72" i="40"/>
  <c r="J72" i="40"/>
  <c r="AU72" i="40" s="1"/>
  <c r="H72" i="40"/>
  <c r="L62" i="40"/>
  <c r="AS67" i="40"/>
  <c r="AN67" i="40"/>
  <c r="AM67" i="40"/>
  <c r="AL67" i="40"/>
  <c r="O67" i="40"/>
  <c r="M67" i="40"/>
  <c r="I67" i="40"/>
  <c r="F67" i="40"/>
  <c r="E67" i="40"/>
  <c r="H67" i="40" s="1"/>
  <c r="B67" i="40"/>
  <c r="N67" i="40" s="1"/>
  <c r="AS66" i="40"/>
  <c r="AN66" i="40"/>
  <c r="AM66" i="40"/>
  <c r="AL66" i="40"/>
  <c r="O66" i="40"/>
  <c r="M66" i="40"/>
  <c r="I66" i="40"/>
  <c r="F66" i="40"/>
  <c r="E66" i="40"/>
  <c r="H66" i="40" s="1"/>
  <c r="B66" i="40"/>
  <c r="N66" i="40" s="1"/>
  <c r="AS65" i="40"/>
  <c r="AN65" i="40"/>
  <c r="AM65" i="40"/>
  <c r="AQ65" i="40" s="1"/>
  <c r="AL65" i="40"/>
  <c r="O65" i="40"/>
  <c r="M65" i="40"/>
  <c r="I65" i="40"/>
  <c r="J65" i="40" s="1"/>
  <c r="AU65" i="40" s="1"/>
  <c r="F65" i="40"/>
  <c r="H65" i="40" s="1"/>
  <c r="B65" i="40"/>
  <c r="N65" i="40" s="1"/>
  <c r="AU64" i="40"/>
  <c r="AS64" i="40"/>
  <c r="AN64" i="40"/>
  <c r="AM64" i="40"/>
  <c r="AQ64" i="40" s="1"/>
  <c r="AL64" i="40"/>
  <c r="O64" i="40"/>
  <c r="M64" i="40"/>
  <c r="I64" i="40"/>
  <c r="F64" i="40"/>
  <c r="H64" i="40" s="1"/>
  <c r="E64" i="40"/>
  <c r="B64" i="40"/>
  <c r="N64" i="40" s="1"/>
  <c r="AS63" i="40"/>
  <c r="AQ63" i="40"/>
  <c r="AN63" i="40"/>
  <c r="AM63" i="40"/>
  <c r="AL63" i="40"/>
  <c r="O63" i="40"/>
  <c r="M63" i="40"/>
  <c r="J63" i="40"/>
  <c r="AU63" i="40" s="1"/>
  <c r="I63" i="40"/>
  <c r="F63" i="40"/>
  <c r="H63" i="40" s="1"/>
  <c r="E63" i="40"/>
  <c r="B63" i="40"/>
  <c r="N63" i="40" s="1"/>
  <c r="AW62" i="40"/>
  <c r="AS62" i="40"/>
  <c r="AQ62" i="40"/>
  <c r="AR62" i="40" s="1"/>
  <c r="AT62" i="40" s="1"/>
  <c r="O62" i="40"/>
  <c r="N62" i="40"/>
  <c r="M62" i="40"/>
  <c r="J62" i="40"/>
  <c r="AU62" i="40" s="1"/>
  <c r="H62" i="40"/>
  <c r="AX62" i="40" s="1"/>
  <c r="AS57" i="40"/>
  <c r="AN57" i="40"/>
  <c r="AM57" i="40"/>
  <c r="O57" i="40"/>
  <c r="M57" i="40"/>
  <c r="I57" i="40"/>
  <c r="F57" i="40"/>
  <c r="E57" i="40"/>
  <c r="B57" i="40"/>
  <c r="N57" i="40" s="1"/>
  <c r="AS56" i="40"/>
  <c r="AN56" i="40"/>
  <c r="AM56" i="40"/>
  <c r="O56" i="40"/>
  <c r="M56" i="40"/>
  <c r="I56" i="40"/>
  <c r="F56" i="40"/>
  <c r="E56" i="40"/>
  <c r="H56" i="40" s="1"/>
  <c r="B56" i="40"/>
  <c r="N56" i="40" s="1"/>
  <c r="AS55" i="40"/>
  <c r="AN55" i="40"/>
  <c r="AM55" i="40"/>
  <c r="AL55" i="40"/>
  <c r="O55" i="40"/>
  <c r="M55" i="40"/>
  <c r="I55" i="40"/>
  <c r="J55" i="40" s="1"/>
  <c r="AU55" i="40" s="1"/>
  <c r="F55" i="40"/>
  <c r="H55" i="40" s="1"/>
  <c r="B55" i="40"/>
  <c r="N55" i="40" s="1"/>
  <c r="AS54" i="40"/>
  <c r="AN54" i="40"/>
  <c r="AM54" i="40"/>
  <c r="AL54" i="40"/>
  <c r="O54" i="40"/>
  <c r="M54" i="40"/>
  <c r="I54" i="40"/>
  <c r="F54" i="40"/>
  <c r="E54" i="40"/>
  <c r="B54" i="40"/>
  <c r="N54" i="40" s="1"/>
  <c r="AS53" i="40"/>
  <c r="AN53" i="40"/>
  <c r="AM53" i="40"/>
  <c r="AL53" i="40"/>
  <c r="O53" i="40"/>
  <c r="M53" i="40"/>
  <c r="J53" i="40"/>
  <c r="AU53" i="40" s="1"/>
  <c r="I53" i="40"/>
  <c r="H53" i="40"/>
  <c r="AW53" i="40" s="1"/>
  <c r="F53" i="40"/>
  <c r="E53" i="40"/>
  <c r="B53" i="40"/>
  <c r="N53" i="40" s="1"/>
  <c r="AS52" i="40"/>
  <c r="AQ52" i="40"/>
  <c r="AR52" i="40" s="1"/>
  <c r="O52" i="40"/>
  <c r="N52" i="40"/>
  <c r="M52" i="40"/>
  <c r="J52" i="40"/>
  <c r="AU52" i="40" s="1"/>
  <c r="H52" i="40"/>
  <c r="AX52" i="40" s="1"/>
  <c r="AS47" i="40"/>
  <c r="AN47" i="40"/>
  <c r="AM47" i="40"/>
  <c r="O47" i="40"/>
  <c r="M47" i="40"/>
  <c r="I47" i="40"/>
  <c r="F47" i="40"/>
  <c r="E47" i="40"/>
  <c r="B47" i="40"/>
  <c r="N47" i="40" s="1"/>
  <c r="AS46" i="40"/>
  <c r="AN46" i="40"/>
  <c r="AM46" i="40"/>
  <c r="O46" i="40"/>
  <c r="M46" i="40"/>
  <c r="I46" i="40"/>
  <c r="F46" i="40"/>
  <c r="E46" i="40"/>
  <c r="B46" i="40"/>
  <c r="N46" i="40" s="1"/>
  <c r="AS45" i="40"/>
  <c r="AN45" i="40"/>
  <c r="AM45" i="40"/>
  <c r="O45" i="40"/>
  <c r="M45" i="40"/>
  <c r="I45" i="40"/>
  <c r="F45" i="40"/>
  <c r="H45" i="40" s="1"/>
  <c r="B45" i="40"/>
  <c r="N45" i="40" s="1"/>
  <c r="AS44" i="40"/>
  <c r="AN44" i="40"/>
  <c r="AM44" i="40"/>
  <c r="AL44" i="40"/>
  <c r="O44" i="40"/>
  <c r="M44" i="40"/>
  <c r="I44" i="40"/>
  <c r="F44" i="40"/>
  <c r="E44" i="40"/>
  <c r="H44" i="40" s="1"/>
  <c r="B44" i="40"/>
  <c r="N44" i="40" s="1"/>
  <c r="AS43" i="40"/>
  <c r="AN43" i="40"/>
  <c r="AM43" i="40"/>
  <c r="AQ43" i="40" s="1"/>
  <c r="AL43" i="40"/>
  <c r="O43" i="40"/>
  <c r="M43" i="40"/>
  <c r="J43" i="40"/>
  <c r="AU43" i="40" s="1"/>
  <c r="I43" i="40"/>
  <c r="F43" i="40"/>
  <c r="E43" i="40"/>
  <c r="H43" i="40" s="1"/>
  <c r="B43" i="40"/>
  <c r="N43" i="40" s="1"/>
  <c r="AS42" i="40"/>
  <c r="AQ42" i="40"/>
  <c r="AR42" i="40" s="1"/>
  <c r="O42" i="40"/>
  <c r="N42" i="40"/>
  <c r="M42" i="40"/>
  <c r="J42" i="40"/>
  <c r="AU42" i="40" s="1"/>
  <c r="H42" i="40"/>
  <c r="AX42" i="40" s="1"/>
  <c r="AS37" i="40"/>
  <c r="AN37" i="40"/>
  <c r="AM37" i="40"/>
  <c r="O37" i="40"/>
  <c r="M37" i="40"/>
  <c r="I37" i="40"/>
  <c r="F37" i="40"/>
  <c r="H37" i="40" s="1"/>
  <c r="E37" i="40"/>
  <c r="B37" i="40"/>
  <c r="N37" i="40" s="1"/>
  <c r="AS36" i="40"/>
  <c r="AN36" i="40"/>
  <c r="AM36" i="40"/>
  <c r="O36" i="40"/>
  <c r="M36" i="40"/>
  <c r="I36" i="40"/>
  <c r="F36" i="40"/>
  <c r="E36" i="40"/>
  <c r="H36" i="40" s="1"/>
  <c r="B36" i="40"/>
  <c r="N36" i="40" s="1"/>
  <c r="AS35" i="40"/>
  <c r="AN35" i="40"/>
  <c r="AM35" i="40"/>
  <c r="O35" i="40"/>
  <c r="M35" i="40"/>
  <c r="I35" i="40"/>
  <c r="J35" i="40" s="1"/>
  <c r="AU35" i="40" s="1"/>
  <c r="F35" i="40"/>
  <c r="H35" i="40" s="1"/>
  <c r="B35" i="40"/>
  <c r="N35" i="40" s="1"/>
  <c r="AU34" i="40"/>
  <c r="AS34" i="40"/>
  <c r="AN34" i="40"/>
  <c r="AM34" i="40"/>
  <c r="AL34" i="40"/>
  <c r="O34" i="40"/>
  <c r="M34" i="40"/>
  <c r="I34" i="40"/>
  <c r="F34" i="40"/>
  <c r="H34" i="40" s="1"/>
  <c r="E34" i="40"/>
  <c r="B34" i="40"/>
  <c r="N34" i="40" s="1"/>
  <c r="AS33" i="40"/>
  <c r="AN33" i="40"/>
  <c r="AM33" i="40"/>
  <c r="AL33" i="40"/>
  <c r="O33" i="40"/>
  <c r="M33" i="40"/>
  <c r="J33" i="40"/>
  <c r="AU33" i="40" s="1"/>
  <c r="I33" i="40"/>
  <c r="F33" i="40"/>
  <c r="E33" i="40"/>
  <c r="H33" i="40" s="1"/>
  <c r="B33" i="40"/>
  <c r="N33" i="40" s="1"/>
  <c r="AU32" i="40"/>
  <c r="AS32" i="40"/>
  <c r="AQ32" i="40"/>
  <c r="AR32" i="40" s="1"/>
  <c r="AT32" i="40" s="1"/>
  <c r="O32" i="40"/>
  <c r="N32" i="40"/>
  <c r="M32" i="40"/>
  <c r="J32" i="40"/>
  <c r="H32" i="40"/>
  <c r="I22" i="40"/>
  <c r="J22" i="40" s="1"/>
  <c r="AU22" i="40" s="1"/>
  <c r="AU27" i="40"/>
  <c r="AS27" i="40"/>
  <c r="AN27" i="40"/>
  <c r="AM27" i="40"/>
  <c r="O27" i="40"/>
  <c r="M27" i="40"/>
  <c r="F27" i="40"/>
  <c r="B27" i="40"/>
  <c r="N27" i="40" s="1"/>
  <c r="AU26" i="40"/>
  <c r="AS26" i="40"/>
  <c r="AN26" i="40"/>
  <c r="AM26" i="40"/>
  <c r="O26" i="40"/>
  <c r="M26" i="40"/>
  <c r="F26" i="40"/>
  <c r="B26" i="40"/>
  <c r="N26" i="40" s="1"/>
  <c r="AS25" i="40"/>
  <c r="AN25" i="40"/>
  <c r="AM25" i="40"/>
  <c r="O25" i="40"/>
  <c r="M25" i="40"/>
  <c r="F25" i="40"/>
  <c r="B25" i="40"/>
  <c r="N25" i="40" s="1"/>
  <c r="AS24" i="40"/>
  <c r="AN24" i="40"/>
  <c r="AM24" i="40"/>
  <c r="AL24" i="40"/>
  <c r="O24" i="40"/>
  <c r="M24" i="40"/>
  <c r="F24" i="40"/>
  <c r="E24" i="40"/>
  <c r="E26" i="40" s="1"/>
  <c r="B24" i="40"/>
  <c r="N24" i="40" s="1"/>
  <c r="AS23" i="40"/>
  <c r="AN23" i="40"/>
  <c r="AM23" i="40"/>
  <c r="AL23" i="40"/>
  <c r="O23" i="40"/>
  <c r="M23" i="40"/>
  <c r="F23" i="40"/>
  <c r="E23" i="40"/>
  <c r="E25" i="40" s="1"/>
  <c r="E27" i="40" s="1"/>
  <c r="B23" i="40"/>
  <c r="N23" i="40" s="1"/>
  <c r="AS22" i="40"/>
  <c r="AQ22" i="40"/>
  <c r="O22" i="40"/>
  <c r="N22" i="40"/>
  <c r="M22" i="40"/>
  <c r="H22" i="40"/>
  <c r="AW22" i="40" s="1"/>
  <c r="J13" i="40"/>
  <c r="J16" i="40" s="1"/>
  <c r="AU16" i="40" s="1"/>
  <c r="AS17" i="40"/>
  <c r="AN17" i="40"/>
  <c r="AM17" i="40"/>
  <c r="O17" i="40"/>
  <c r="M17" i="40"/>
  <c r="I17" i="40"/>
  <c r="F17" i="40"/>
  <c r="E17" i="40"/>
  <c r="H17" i="40" s="1"/>
  <c r="B17" i="40"/>
  <c r="N17" i="40" s="1"/>
  <c r="AS16" i="40"/>
  <c r="AN16" i="40"/>
  <c r="AM16" i="40"/>
  <c r="O16" i="40"/>
  <c r="M16" i="40"/>
  <c r="I16" i="40"/>
  <c r="F16" i="40"/>
  <c r="E16" i="40"/>
  <c r="B16" i="40"/>
  <c r="N16" i="40" s="1"/>
  <c r="AS15" i="40"/>
  <c r="AN15" i="40"/>
  <c r="AM15" i="40"/>
  <c r="O15" i="40"/>
  <c r="M15" i="40"/>
  <c r="I15" i="40"/>
  <c r="F15" i="40"/>
  <c r="H15" i="40" s="1"/>
  <c r="B15" i="40"/>
  <c r="N15" i="40" s="1"/>
  <c r="AS14" i="40"/>
  <c r="AN14" i="40"/>
  <c r="AM14" i="40"/>
  <c r="AL14" i="40"/>
  <c r="O14" i="40"/>
  <c r="M14" i="40"/>
  <c r="I14" i="40"/>
  <c r="F14" i="40"/>
  <c r="E14" i="40"/>
  <c r="B14" i="40"/>
  <c r="N14" i="40" s="1"/>
  <c r="AS13" i="40"/>
  <c r="AN13" i="40"/>
  <c r="AM13" i="40"/>
  <c r="AL13" i="40"/>
  <c r="O13" i="40"/>
  <c r="M13" i="40"/>
  <c r="I13" i="40"/>
  <c r="F13" i="40"/>
  <c r="E13" i="40"/>
  <c r="B13" i="40"/>
  <c r="N13" i="40" s="1"/>
  <c r="AS12" i="40"/>
  <c r="AQ12" i="40"/>
  <c r="AR12" i="40" s="1"/>
  <c r="O12" i="40"/>
  <c r="N12" i="40"/>
  <c r="M12" i="40"/>
  <c r="J12" i="40"/>
  <c r="AU12" i="40" s="1"/>
  <c r="H12" i="40"/>
  <c r="AX12" i="40" s="1"/>
  <c r="L2" i="40"/>
  <c r="J3" i="40" s="1"/>
  <c r="J6" i="40" s="1"/>
  <c r="AU6" i="40" s="1"/>
  <c r="AL2" i="40"/>
  <c r="AL5" i="40" s="1"/>
  <c r="AS7" i="40"/>
  <c r="AN7" i="40"/>
  <c r="AM7" i="40"/>
  <c r="O7" i="40"/>
  <c r="M7" i="40"/>
  <c r="I7" i="40"/>
  <c r="F7" i="40"/>
  <c r="E7" i="40"/>
  <c r="B7" i="40"/>
  <c r="N7" i="40" s="1"/>
  <c r="AS6" i="40"/>
  <c r="AN6" i="40"/>
  <c r="AM6" i="40"/>
  <c r="O6" i="40"/>
  <c r="M6" i="40"/>
  <c r="I6" i="40"/>
  <c r="F6" i="40"/>
  <c r="E6" i="40"/>
  <c r="B6" i="40"/>
  <c r="N6" i="40" s="1"/>
  <c r="AS5" i="40"/>
  <c r="AN5" i="40"/>
  <c r="AM5" i="40"/>
  <c r="O5" i="40"/>
  <c r="M5" i="40"/>
  <c r="I5" i="40"/>
  <c r="F5" i="40"/>
  <c r="H5" i="40" s="1"/>
  <c r="B5" i="40"/>
  <c r="N5" i="40" s="1"/>
  <c r="AS4" i="40"/>
  <c r="AN4" i="40"/>
  <c r="AM4" i="40"/>
  <c r="O4" i="40"/>
  <c r="M4" i="40"/>
  <c r="I4" i="40"/>
  <c r="F4" i="40"/>
  <c r="E4" i="40"/>
  <c r="B4" i="40"/>
  <c r="N4" i="40" s="1"/>
  <c r="AS3" i="40"/>
  <c r="AN3" i="40"/>
  <c r="AM3" i="40"/>
  <c r="O3" i="40"/>
  <c r="M3" i="40"/>
  <c r="I3" i="40"/>
  <c r="F3" i="40"/>
  <c r="E3" i="40"/>
  <c r="B3" i="40"/>
  <c r="N3" i="40" s="1"/>
  <c r="AS2" i="40"/>
  <c r="O2" i="40"/>
  <c r="N2" i="40"/>
  <c r="M2" i="40"/>
  <c r="J2" i="40"/>
  <c r="AU2" i="40" s="1"/>
  <c r="H2" i="40"/>
  <c r="AX2" i="40" s="1"/>
  <c r="K4" i="24"/>
  <c r="K5" i="24"/>
  <c r="K6" i="24"/>
  <c r="K3" i="24"/>
  <c r="J6" i="24"/>
  <c r="I5" i="24"/>
  <c r="D5" i="24"/>
  <c r="E5" i="24" s="1"/>
  <c r="I4" i="24"/>
  <c r="D4" i="24" s="1"/>
  <c r="E4" i="24" s="1"/>
  <c r="O2" i="1"/>
  <c r="AS17" i="46"/>
  <c r="AN17" i="46"/>
  <c r="AM17" i="46"/>
  <c r="O17" i="46"/>
  <c r="M17" i="46"/>
  <c r="I17" i="46"/>
  <c r="F17" i="46"/>
  <c r="H17" i="46" s="1"/>
  <c r="E17" i="46"/>
  <c r="B17" i="46"/>
  <c r="N17" i="46" s="1"/>
  <c r="AS16" i="46"/>
  <c r="AN16" i="46"/>
  <c r="AM16" i="46"/>
  <c r="AL16" i="46"/>
  <c r="O16" i="46"/>
  <c r="M16" i="46"/>
  <c r="I16" i="46"/>
  <c r="AQ16" i="46" s="1"/>
  <c r="H16" i="46"/>
  <c r="AX16" i="46" s="1"/>
  <c r="F16" i="46"/>
  <c r="E16" i="46"/>
  <c r="B16" i="46"/>
  <c r="N16" i="46" s="1"/>
  <c r="AS15" i="46"/>
  <c r="AN15" i="46"/>
  <c r="AM15" i="46"/>
  <c r="AL15" i="46"/>
  <c r="AQ15" i="46" s="1"/>
  <c r="O15" i="46"/>
  <c r="M15" i="46"/>
  <c r="J15" i="46"/>
  <c r="AU15" i="46" s="1"/>
  <c r="I15" i="46"/>
  <c r="F15" i="46"/>
  <c r="H15" i="46" s="1"/>
  <c r="B15" i="46"/>
  <c r="N15" i="46" s="1"/>
  <c r="AS14" i="46"/>
  <c r="AN14" i="46"/>
  <c r="AM14" i="46"/>
  <c r="AQ14" i="46" s="1"/>
  <c r="AL14" i="46"/>
  <c r="AL17" i="46" s="1"/>
  <c r="AQ17" i="46" s="1"/>
  <c r="O14" i="46"/>
  <c r="N14" i="46"/>
  <c r="M14" i="46"/>
  <c r="I14" i="46"/>
  <c r="F14" i="46"/>
  <c r="E14" i="46"/>
  <c r="H14" i="46" s="1"/>
  <c r="B14" i="46"/>
  <c r="AS13" i="46"/>
  <c r="AN13" i="46"/>
  <c r="AM13" i="46"/>
  <c r="AQ13" i="46" s="1"/>
  <c r="AL13" i="46"/>
  <c r="O13" i="46"/>
  <c r="N13" i="46"/>
  <c r="M13" i="46"/>
  <c r="I13" i="46"/>
  <c r="F13" i="46"/>
  <c r="E13" i="46"/>
  <c r="H13" i="46" s="1"/>
  <c r="B13" i="46"/>
  <c r="AX12" i="46"/>
  <c r="AS12" i="46"/>
  <c r="AQ12" i="46"/>
  <c r="O12" i="46"/>
  <c r="N12" i="46"/>
  <c r="M12" i="46"/>
  <c r="L12" i="46"/>
  <c r="J13" i="46" s="1"/>
  <c r="J12" i="46"/>
  <c r="AU12" i="46" s="1"/>
  <c r="H12" i="46"/>
  <c r="AW12" i="46" s="1"/>
  <c r="AS7" i="46"/>
  <c r="AN7" i="46"/>
  <c r="AM7" i="46"/>
  <c r="AQ7" i="46" s="1"/>
  <c r="O7" i="46"/>
  <c r="M7" i="46"/>
  <c r="I7" i="46"/>
  <c r="F7" i="46"/>
  <c r="E7" i="46"/>
  <c r="H7" i="46" s="1"/>
  <c r="B7" i="46"/>
  <c r="N7" i="46" s="1"/>
  <c r="AS6" i="46"/>
  <c r="AN6" i="46"/>
  <c r="AM6" i="46"/>
  <c r="AQ6" i="46" s="1"/>
  <c r="O6" i="46"/>
  <c r="N6" i="46"/>
  <c r="M6" i="46"/>
  <c r="I6" i="46"/>
  <c r="F6" i="46"/>
  <c r="E6" i="46"/>
  <c r="H6" i="46" s="1"/>
  <c r="B6" i="46"/>
  <c r="AS5" i="46"/>
  <c r="AN5" i="46"/>
  <c r="AM5" i="46"/>
  <c r="AQ5" i="46" s="1"/>
  <c r="AL5" i="46"/>
  <c r="O5" i="46"/>
  <c r="N5" i="46"/>
  <c r="M5" i="46"/>
  <c r="I5" i="46"/>
  <c r="J5" i="46" s="1"/>
  <c r="AU5" i="46" s="1"/>
  <c r="F5" i="46"/>
  <c r="H5" i="46" s="1"/>
  <c r="B5" i="46"/>
  <c r="AS4" i="46"/>
  <c r="AQ4" i="46"/>
  <c r="AN4" i="46"/>
  <c r="AM4" i="46"/>
  <c r="AL4" i="46"/>
  <c r="AL7" i="46" s="1"/>
  <c r="O4" i="46"/>
  <c r="M4" i="46"/>
  <c r="I4" i="46"/>
  <c r="F4" i="46"/>
  <c r="E4" i="46"/>
  <c r="H4" i="46" s="1"/>
  <c r="B4" i="46"/>
  <c r="N4" i="46" s="1"/>
  <c r="AS3" i="46"/>
  <c r="AN3" i="46"/>
  <c r="AM3" i="46"/>
  <c r="AQ3" i="46" s="1"/>
  <c r="AL3" i="46"/>
  <c r="AL6" i="46" s="1"/>
  <c r="O3" i="46"/>
  <c r="M3" i="46"/>
  <c r="I3" i="46"/>
  <c r="F3" i="46"/>
  <c r="E3" i="46"/>
  <c r="H3" i="46" s="1"/>
  <c r="B3" i="46"/>
  <c r="N3" i="46" s="1"/>
  <c r="AS2" i="46"/>
  <c r="AQ2" i="46"/>
  <c r="AR2" i="46" s="1"/>
  <c r="O2" i="46"/>
  <c r="N2" i="46"/>
  <c r="M2" i="46"/>
  <c r="L2" i="46"/>
  <c r="J3" i="46" s="1"/>
  <c r="J2" i="46"/>
  <c r="AU2" i="46" s="1"/>
  <c r="H2" i="46"/>
  <c r="AX2" i="46" s="1"/>
  <c r="O1" i="46"/>
  <c r="N1" i="46"/>
  <c r="M1" i="46"/>
  <c r="I3" i="24"/>
  <c r="D3" i="24" s="1"/>
  <c r="E3" i="24" s="1"/>
  <c r="AQ656" i="40" l="1"/>
  <c r="L642" i="40"/>
  <c r="AU642" i="40"/>
  <c r="I646" i="40"/>
  <c r="AQ646" i="40" s="1"/>
  <c r="AW656" i="40"/>
  <c r="AX656" i="40"/>
  <c r="AX654" i="40"/>
  <c r="AW654" i="40"/>
  <c r="AR656" i="40"/>
  <c r="AT656" i="40" s="1"/>
  <c r="H655" i="40"/>
  <c r="E657" i="40"/>
  <c r="H657" i="40" s="1"/>
  <c r="AQ655" i="40"/>
  <c r="AW652" i="40"/>
  <c r="I655" i="40"/>
  <c r="J652" i="40"/>
  <c r="AX652" i="40"/>
  <c r="I654" i="40"/>
  <c r="AQ654" i="40" s="1"/>
  <c r="AQ652" i="40"/>
  <c r="H653" i="40"/>
  <c r="I657" i="40"/>
  <c r="AQ657" i="40" s="1"/>
  <c r="I653" i="40"/>
  <c r="AQ653" i="40" s="1"/>
  <c r="J653" i="40"/>
  <c r="AU644" i="40"/>
  <c r="AX646" i="40"/>
  <c r="AW646" i="40"/>
  <c r="E647" i="40"/>
  <c r="H647" i="40" s="1"/>
  <c r="H645" i="40"/>
  <c r="AW642" i="40"/>
  <c r="I645" i="40"/>
  <c r="AX642" i="40"/>
  <c r="I644" i="40"/>
  <c r="AQ644" i="40" s="1"/>
  <c r="AW644" i="40"/>
  <c r="AQ642" i="40"/>
  <c r="H643" i="40"/>
  <c r="AX644" i="40"/>
  <c r="I647" i="40"/>
  <c r="AQ647" i="40" s="1"/>
  <c r="I643" i="40"/>
  <c r="AQ643" i="40" s="1"/>
  <c r="AQ634" i="40"/>
  <c r="J636" i="40"/>
  <c r="AU636" i="40" s="1"/>
  <c r="AQ636" i="40"/>
  <c r="AR634" i="40"/>
  <c r="AT634" i="40" s="1"/>
  <c r="AV634" i="40" s="1"/>
  <c r="AY634" i="40" s="1"/>
  <c r="AX636" i="40"/>
  <c r="AW636" i="40"/>
  <c r="AX637" i="40"/>
  <c r="AW637" i="40"/>
  <c r="AW633" i="40"/>
  <c r="AX633" i="40"/>
  <c r="AX635" i="40"/>
  <c r="AW635" i="40"/>
  <c r="AX634" i="40"/>
  <c r="AW634" i="40"/>
  <c r="AR637" i="40"/>
  <c r="AT637" i="40" s="1"/>
  <c r="AR635" i="40"/>
  <c r="AT635" i="40" s="1"/>
  <c r="AV635" i="40" s="1"/>
  <c r="AY635" i="40" s="1"/>
  <c r="AR636" i="40"/>
  <c r="AT636" i="40" s="1"/>
  <c r="AV636" i="40" s="1"/>
  <c r="AY636" i="40" s="1"/>
  <c r="AW632" i="40"/>
  <c r="AR633" i="40"/>
  <c r="AT633" i="40" s="1"/>
  <c r="AV633" i="40" s="1"/>
  <c r="AY633" i="40" s="1"/>
  <c r="AU637" i="40"/>
  <c r="AQ625" i="40"/>
  <c r="AQ623" i="40"/>
  <c r="AU623" i="40"/>
  <c r="AQ627" i="40"/>
  <c r="AQ626" i="40"/>
  <c r="AW623" i="40"/>
  <c r="AU614" i="40"/>
  <c r="AR625" i="40"/>
  <c r="AT625" i="40"/>
  <c r="AV625" i="40" s="1"/>
  <c r="AY625" i="40" s="1"/>
  <c r="AX627" i="40"/>
  <c r="AW627" i="40"/>
  <c r="AX626" i="40"/>
  <c r="AW626" i="40"/>
  <c r="AY622" i="40"/>
  <c r="AX624" i="40"/>
  <c r="AW624" i="40"/>
  <c r="AX625" i="40"/>
  <c r="AW625" i="40"/>
  <c r="AR627" i="40"/>
  <c r="AT627" i="40" s="1"/>
  <c r="AR623" i="40"/>
  <c r="AT623" i="40" s="1"/>
  <c r="AV623" i="40" s="1"/>
  <c r="AY623" i="40" s="1"/>
  <c r="AR626" i="40"/>
  <c r="AT626" i="40" s="1"/>
  <c r="J626" i="40"/>
  <c r="AX622" i="40"/>
  <c r="AW622" i="40"/>
  <c r="AT624" i="40"/>
  <c r="AV624" i="40" s="1"/>
  <c r="AY624" i="40" s="1"/>
  <c r="AQ614" i="40"/>
  <c r="AR614" i="40" s="1"/>
  <c r="AT614" i="40" s="1"/>
  <c r="AV614" i="40" s="1"/>
  <c r="AY614" i="40" s="1"/>
  <c r="J616" i="40"/>
  <c r="AU616" i="40" s="1"/>
  <c r="AQ615" i="40"/>
  <c r="AR615" i="40" s="1"/>
  <c r="AT615" i="40" s="1"/>
  <c r="AV615" i="40" s="1"/>
  <c r="AY615" i="40" s="1"/>
  <c r="AQ616" i="40"/>
  <c r="AR616" i="40" s="1"/>
  <c r="AT616" i="40" s="1"/>
  <c r="AV616" i="40" s="1"/>
  <c r="AY616" i="40" s="1"/>
  <c r="AX617" i="40"/>
  <c r="AW617" i="40"/>
  <c r="AX616" i="40"/>
  <c r="AW616" i="40"/>
  <c r="AX615" i="40"/>
  <c r="AW615" i="40"/>
  <c r="AR617" i="40"/>
  <c r="AT617" i="40" s="1"/>
  <c r="AV612" i="40"/>
  <c r="AY612" i="40" s="1"/>
  <c r="AW612" i="40"/>
  <c r="AX612" i="40"/>
  <c r="AR613" i="40"/>
  <c r="AT613" i="40" s="1"/>
  <c r="AV613" i="40" s="1"/>
  <c r="AY613" i="40" s="1"/>
  <c r="AW614" i="40"/>
  <c r="AX614" i="40"/>
  <c r="AQ604" i="40"/>
  <c r="AU602" i="40"/>
  <c r="AV602" i="40" s="1"/>
  <c r="AY602" i="40" s="1"/>
  <c r="AU604" i="40"/>
  <c r="J606" i="40"/>
  <c r="AU606" i="40" s="1"/>
  <c r="H607" i="40"/>
  <c r="AW603" i="40"/>
  <c r="AR604" i="40"/>
  <c r="AT604" i="40" s="1"/>
  <c r="AV604" i="40" s="1"/>
  <c r="AY604" i="40" s="1"/>
  <c r="AX607" i="40"/>
  <c r="AW607" i="40"/>
  <c r="AX606" i="40"/>
  <c r="AW606" i="40"/>
  <c r="AX605" i="40"/>
  <c r="AW605" i="40"/>
  <c r="AX604" i="40"/>
  <c r="AW604" i="40"/>
  <c r="AR605" i="40"/>
  <c r="AT605" i="40" s="1"/>
  <c r="AR607" i="40"/>
  <c r="AT607" i="40" s="1"/>
  <c r="AR606" i="40"/>
  <c r="AT606" i="40" s="1"/>
  <c r="AV606" i="40" s="1"/>
  <c r="AY606" i="40" s="1"/>
  <c r="AW602" i="40"/>
  <c r="J605" i="40"/>
  <c r="AU605" i="40" s="1"/>
  <c r="AR603" i="40"/>
  <c r="AT603" i="40" s="1"/>
  <c r="AV603" i="40" s="1"/>
  <c r="AY603" i="40" s="1"/>
  <c r="AU607" i="40"/>
  <c r="AR592" i="40"/>
  <c r="AT592" i="40" s="1"/>
  <c r="AV592" i="40" s="1"/>
  <c r="AY592" i="40" s="1"/>
  <c r="AQ597" i="40"/>
  <c r="AR593" i="40"/>
  <c r="AT593" i="40" s="1"/>
  <c r="AV593" i="40" s="1"/>
  <c r="AY593" i="40" s="1"/>
  <c r="AX596" i="40"/>
  <c r="AW596" i="40"/>
  <c r="AX597" i="40"/>
  <c r="AW597" i="40"/>
  <c r="AX593" i="40"/>
  <c r="AW593" i="40"/>
  <c r="AX594" i="40"/>
  <c r="AW594" i="40"/>
  <c r="AX595" i="40"/>
  <c r="AW595" i="40"/>
  <c r="AR597" i="40"/>
  <c r="AT597" i="40" s="1"/>
  <c r="AR596" i="40"/>
  <c r="AT596" i="40" s="1"/>
  <c r="AR595" i="40"/>
  <c r="AT595" i="40"/>
  <c r="AV595" i="40" s="1"/>
  <c r="AY595" i="40" s="1"/>
  <c r="J596" i="40"/>
  <c r="AW592" i="40"/>
  <c r="AR594" i="40"/>
  <c r="AT594" i="40" s="1"/>
  <c r="AV594" i="40" s="1"/>
  <c r="AY594" i="40" s="1"/>
  <c r="AX592" i="40"/>
  <c r="AL585" i="40"/>
  <c r="AL584" i="40"/>
  <c r="AL587" i="40" s="1"/>
  <c r="H587" i="40"/>
  <c r="AW587" i="40" s="1"/>
  <c r="AL583" i="40"/>
  <c r="AL586" i="40" s="1"/>
  <c r="AQ584" i="40"/>
  <c r="AQ583" i="40"/>
  <c r="AR583" i="40" s="1"/>
  <c r="AT583" i="40" s="1"/>
  <c r="AQ585" i="40"/>
  <c r="AQ587" i="40"/>
  <c r="H583" i="40"/>
  <c r="AX583" i="40" s="1"/>
  <c r="AR584" i="40"/>
  <c r="AT584" i="40" s="1"/>
  <c r="AX587" i="40"/>
  <c r="AV582" i="40"/>
  <c r="AY582" i="40" s="1"/>
  <c r="AX585" i="40"/>
  <c r="AW585" i="40"/>
  <c r="AX586" i="40"/>
  <c r="AW586" i="40"/>
  <c r="AX584" i="40"/>
  <c r="AW584" i="40"/>
  <c r="AR585" i="40"/>
  <c r="AT585" i="40" s="1"/>
  <c r="AV585" i="40" s="1"/>
  <c r="AY585" i="40" s="1"/>
  <c r="AW583" i="40"/>
  <c r="AU583" i="40"/>
  <c r="AU584" i="40"/>
  <c r="J586" i="40"/>
  <c r="AQ586" i="40"/>
  <c r="J576" i="40"/>
  <c r="AU576" i="40" s="1"/>
  <c r="AQ574" i="40"/>
  <c r="AR574" i="40"/>
  <c r="AT574" i="40" s="1"/>
  <c r="AX577" i="40"/>
  <c r="AW577" i="40"/>
  <c r="AR575" i="40"/>
  <c r="AT575" i="40" s="1"/>
  <c r="AV575" i="40" s="1"/>
  <c r="AY575" i="40" s="1"/>
  <c r="AX576" i="40"/>
  <c r="AW576" i="40"/>
  <c r="AX575" i="40"/>
  <c r="AW575" i="40"/>
  <c r="AX574" i="40"/>
  <c r="AW574" i="40"/>
  <c r="AR577" i="40"/>
  <c r="AT577" i="40" s="1"/>
  <c r="AR576" i="40"/>
  <c r="AT576" i="40" s="1"/>
  <c r="AU574" i="40"/>
  <c r="AR573" i="40"/>
  <c r="AT573" i="40" s="1"/>
  <c r="AV573" i="40" s="1"/>
  <c r="AY573" i="40" s="1"/>
  <c r="AU577" i="40"/>
  <c r="AU562" i="40"/>
  <c r="AV562" i="40" s="1"/>
  <c r="AY562" i="40" s="1"/>
  <c r="J566" i="40"/>
  <c r="AU566" i="40" s="1"/>
  <c r="AQ567" i="40"/>
  <c r="AQ566" i="40"/>
  <c r="AX563" i="40"/>
  <c r="AW563" i="40"/>
  <c r="AR564" i="40"/>
  <c r="AT564" i="40" s="1"/>
  <c r="AV564" i="40" s="1"/>
  <c r="AY564" i="40" s="1"/>
  <c r="AX566" i="40"/>
  <c r="AW566" i="40"/>
  <c r="AX567" i="40"/>
  <c r="AW567" i="40"/>
  <c r="AX565" i="40"/>
  <c r="AW565" i="40"/>
  <c r="AT567" i="40"/>
  <c r="AR567" i="40"/>
  <c r="AR565" i="40"/>
  <c r="AT565" i="40" s="1"/>
  <c r="AV565" i="40" s="1"/>
  <c r="AY565" i="40" s="1"/>
  <c r="AR566" i="40"/>
  <c r="AT566" i="40" s="1"/>
  <c r="AV566" i="40" s="1"/>
  <c r="AY566" i="40" s="1"/>
  <c r="AW562" i="40"/>
  <c r="AX562" i="40"/>
  <c r="AR563" i="40"/>
  <c r="AT563" i="40" s="1"/>
  <c r="AV563" i="40" s="1"/>
  <c r="AY563" i="40" s="1"/>
  <c r="AW564" i="40"/>
  <c r="AX564" i="40"/>
  <c r="AQ553" i="40"/>
  <c r="AR553" i="40"/>
  <c r="AT553" i="40" s="1"/>
  <c r="AV553" i="40" s="1"/>
  <c r="AY553" i="40" s="1"/>
  <c r="AY552" i="40"/>
  <c r="AX552" i="40"/>
  <c r="AX546" i="40"/>
  <c r="AW546" i="40"/>
  <c r="AQ546" i="40"/>
  <c r="E547" i="40"/>
  <c r="H547" i="40" s="1"/>
  <c r="H545" i="40"/>
  <c r="AR545" i="40"/>
  <c r="AT545" i="40" s="1"/>
  <c r="AV545" i="40" s="1"/>
  <c r="AQ547" i="40"/>
  <c r="J546" i="40"/>
  <c r="J542" i="40"/>
  <c r="AX542" i="40"/>
  <c r="I544" i="40"/>
  <c r="AQ544" i="40" s="1"/>
  <c r="AW544" i="40"/>
  <c r="AQ542" i="40"/>
  <c r="H543" i="40"/>
  <c r="AX544" i="40"/>
  <c r="I547" i="40"/>
  <c r="I543" i="40"/>
  <c r="AQ543" i="40" s="1"/>
  <c r="J543" i="40"/>
  <c r="H537" i="40"/>
  <c r="AX532" i="40"/>
  <c r="H533" i="40"/>
  <c r="AX523" i="40"/>
  <c r="AW523" i="40"/>
  <c r="H527" i="40"/>
  <c r="AR532" i="40"/>
  <c r="AT532" i="40" s="1"/>
  <c r="AV532" i="40" s="1"/>
  <c r="AY532" i="40" s="1"/>
  <c r="AQ537" i="40"/>
  <c r="AQ536" i="40"/>
  <c r="AR534" i="40"/>
  <c r="AT534" i="40" s="1"/>
  <c r="AX536" i="40"/>
  <c r="AW536" i="40"/>
  <c r="AX537" i="40"/>
  <c r="AW537" i="40"/>
  <c r="AX535" i="40"/>
  <c r="AW535" i="40"/>
  <c r="AW533" i="40"/>
  <c r="AX533" i="40"/>
  <c r="AX534" i="40"/>
  <c r="AW534" i="40"/>
  <c r="AR533" i="40"/>
  <c r="AT533" i="40" s="1"/>
  <c r="AV533" i="40" s="1"/>
  <c r="AY533" i="40" s="1"/>
  <c r="AR537" i="40"/>
  <c r="AT537" i="40" s="1"/>
  <c r="AR535" i="40"/>
  <c r="AT535" i="40" s="1"/>
  <c r="AV535" i="40" s="1"/>
  <c r="AY535" i="40" s="1"/>
  <c r="AR536" i="40"/>
  <c r="AT536" i="40" s="1"/>
  <c r="AV536" i="40" s="1"/>
  <c r="AY536" i="40" s="1"/>
  <c r="AU534" i="40"/>
  <c r="AU537" i="40"/>
  <c r="AQ524" i="40"/>
  <c r="AV522" i="40"/>
  <c r="AY522" i="40" s="1"/>
  <c r="J515" i="40"/>
  <c r="AU515" i="40" s="1"/>
  <c r="AR514" i="40"/>
  <c r="AT514" i="40" s="1"/>
  <c r="AV514" i="40" s="1"/>
  <c r="AY514" i="40" s="1"/>
  <c r="AQ515" i="40"/>
  <c r="J525" i="40"/>
  <c r="AU525" i="40" s="1"/>
  <c r="J526" i="40"/>
  <c r="AU526" i="40" s="1"/>
  <c r="AQ526" i="40"/>
  <c r="AR526" i="40" s="1"/>
  <c r="AT526" i="40" s="1"/>
  <c r="AV526" i="40" s="1"/>
  <c r="AY526" i="40" s="1"/>
  <c r="AR513" i="40"/>
  <c r="AT513" i="40" s="1"/>
  <c r="AV513" i="40" s="1"/>
  <c r="AY513" i="40" s="1"/>
  <c r="AX515" i="40"/>
  <c r="AW515" i="40"/>
  <c r="AX516" i="40"/>
  <c r="AW516" i="40"/>
  <c r="AW517" i="40"/>
  <c r="AX517" i="40"/>
  <c r="AX527" i="40"/>
  <c r="AW527" i="40"/>
  <c r="AU517" i="40"/>
  <c r="AU516" i="40"/>
  <c r="AV516" i="40" s="1"/>
  <c r="AY516" i="40" s="1"/>
  <c r="AX525" i="40"/>
  <c r="AW525" i="40"/>
  <c r="AX526" i="40"/>
  <c r="AW526" i="40"/>
  <c r="AR525" i="40"/>
  <c r="AT525" i="40" s="1"/>
  <c r="AV525" i="40" s="1"/>
  <c r="AY525" i="40" s="1"/>
  <c r="AR527" i="40"/>
  <c r="AT527" i="40" s="1"/>
  <c r="AR524" i="40"/>
  <c r="AT524" i="40" s="1"/>
  <c r="AV524" i="40" s="1"/>
  <c r="AY524" i="40" s="1"/>
  <c r="AR512" i="40"/>
  <c r="AT512" i="40" s="1"/>
  <c r="AV512" i="40" s="1"/>
  <c r="AY512" i="40" s="1"/>
  <c r="AR515" i="40"/>
  <c r="AT515" i="40" s="1"/>
  <c r="AV515" i="40" s="1"/>
  <c r="AY515" i="40" s="1"/>
  <c r="AW513" i="40"/>
  <c r="AW522" i="40"/>
  <c r="AX513" i="40"/>
  <c r="AX512" i="40"/>
  <c r="AR517" i="40"/>
  <c r="AT517" i="40" s="1"/>
  <c r="AR523" i="40"/>
  <c r="AT523" i="40" s="1"/>
  <c r="AV523" i="40" s="1"/>
  <c r="AY523" i="40" s="1"/>
  <c r="AU527" i="40"/>
  <c r="AW524" i="40"/>
  <c r="AX524" i="40"/>
  <c r="AX506" i="40"/>
  <c r="AW506" i="40"/>
  <c r="E507" i="40"/>
  <c r="H507" i="40" s="1"/>
  <c r="H505" i="40"/>
  <c r="AT506" i="40"/>
  <c r="AR506" i="40"/>
  <c r="J502" i="40"/>
  <c r="AX502" i="40"/>
  <c r="H504" i="40"/>
  <c r="I505" i="40"/>
  <c r="AQ505" i="40" s="1"/>
  <c r="I504" i="40"/>
  <c r="AQ504" i="40" s="1"/>
  <c r="AQ502" i="40"/>
  <c r="H503" i="40"/>
  <c r="I507" i="40"/>
  <c r="AQ507" i="40" s="1"/>
  <c r="I503" i="40"/>
  <c r="AQ503" i="40" s="1"/>
  <c r="J503" i="40"/>
  <c r="AQ493" i="40"/>
  <c r="AU492" i="40"/>
  <c r="J496" i="40"/>
  <c r="AU496" i="40" s="1"/>
  <c r="AQ495" i="40"/>
  <c r="AV492" i="40"/>
  <c r="AX497" i="40"/>
  <c r="AW497" i="40"/>
  <c r="AR493" i="40"/>
  <c r="AT493" i="40" s="1"/>
  <c r="AV493" i="40" s="1"/>
  <c r="AY493" i="40" s="1"/>
  <c r="AR494" i="40"/>
  <c r="AT494" i="40" s="1"/>
  <c r="AW496" i="40"/>
  <c r="AX496" i="40"/>
  <c r="AX495" i="40"/>
  <c r="AW495" i="40"/>
  <c r="AY492" i="40"/>
  <c r="AX494" i="40"/>
  <c r="AW494" i="40"/>
  <c r="AR497" i="40"/>
  <c r="AT497" i="40" s="1"/>
  <c r="AR495" i="40"/>
  <c r="AT495" i="40"/>
  <c r="AV495" i="40" s="1"/>
  <c r="AY495" i="40" s="1"/>
  <c r="AT496" i="40"/>
  <c r="AV496" i="40" s="1"/>
  <c r="AY496" i="40" s="1"/>
  <c r="AR496" i="40"/>
  <c r="AW492" i="40"/>
  <c r="AX492" i="40"/>
  <c r="AU494" i="40"/>
  <c r="AU497" i="40"/>
  <c r="AQ484" i="40"/>
  <c r="J486" i="40"/>
  <c r="AU486" i="40" s="1"/>
  <c r="AQ486" i="40"/>
  <c r="AR484" i="40"/>
  <c r="AT484" i="40" s="1"/>
  <c r="AV484" i="40" s="1"/>
  <c r="AY484" i="40" s="1"/>
  <c r="AV483" i="40"/>
  <c r="AY483" i="40" s="1"/>
  <c r="AX486" i="40"/>
  <c r="AW486" i="40"/>
  <c r="AX487" i="40"/>
  <c r="AW487" i="40"/>
  <c r="AX485" i="40"/>
  <c r="AW485" i="40"/>
  <c r="AX484" i="40"/>
  <c r="AW484" i="40"/>
  <c r="AT487" i="40"/>
  <c r="AR487" i="40"/>
  <c r="AR485" i="40"/>
  <c r="AT485" i="40" s="1"/>
  <c r="AV485" i="40" s="1"/>
  <c r="AY485" i="40" s="1"/>
  <c r="AR486" i="40"/>
  <c r="AT486" i="40" s="1"/>
  <c r="AV486" i="40" s="1"/>
  <c r="AY486" i="40" s="1"/>
  <c r="AW482" i="40"/>
  <c r="AU487" i="40"/>
  <c r="AQ465" i="40"/>
  <c r="AR462" i="40"/>
  <c r="AT462" i="40" s="1"/>
  <c r="AU462" i="40"/>
  <c r="AU464" i="40"/>
  <c r="AQ466" i="40"/>
  <c r="H463" i="40"/>
  <c r="H466" i="40"/>
  <c r="AU474" i="40"/>
  <c r="AV472" i="40"/>
  <c r="AY472" i="40" s="1"/>
  <c r="AQ476" i="40"/>
  <c r="AT467" i="40"/>
  <c r="AR467" i="40"/>
  <c r="AX477" i="40"/>
  <c r="AW477" i="40"/>
  <c r="AR474" i="40"/>
  <c r="AT474" i="40" s="1"/>
  <c r="AV474" i="40" s="1"/>
  <c r="AY474" i="40" s="1"/>
  <c r="AV473" i="40"/>
  <c r="AY473" i="40" s="1"/>
  <c r="AX476" i="40"/>
  <c r="AW476" i="40"/>
  <c r="AR466" i="40"/>
  <c r="AT466" i="40" s="1"/>
  <c r="AW473" i="40"/>
  <c r="AX473" i="40"/>
  <c r="AX475" i="40"/>
  <c r="AW475" i="40"/>
  <c r="AR465" i="40"/>
  <c r="AT465" i="40" s="1"/>
  <c r="AV465" i="40" s="1"/>
  <c r="AY465" i="40" s="1"/>
  <c r="AX474" i="40"/>
  <c r="AW474" i="40"/>
  <c r="AT477" i="40"/>
  <c r="AR477" i="40"/>
  <c r="AX463" i="40"/>
  <c r="AW463" i="40"/>
  <c r="AX467" i="40"/>
  <c r="AW467" i="40"/>
  <c r="AR475" i="40"/>
  <c r="AT475" i="40" s="1"/>
  <c r="AV475" i="40" s="1"/>
  <c r="AY475" i="40" s="1"/>
  <c r="AW466" i="40"/>
  <c r="AX466" i="40"/>
  <c r="AT473" i="40"/>
  <c r="AR476" i="40"/>
  <c r="AT476" i="40" s="1"/>
  <c r="AV476" i="40" s="1"/>
  <c r="AY476" i="40" s="1"/>
  <c r="AT463" i="40"/>
  <c r="AV463" i="40" s="1"/>
  <c r="AY463" i="40" s="1"/>
  <c r="AX464" i="40"/>
  <c r="J466" i="40"/>
  <c r="AW462" i="40"/>
  <c r="AR464" i="40"/>
  <c r="AT464" i="40" s="1"/>
  <c r="AV464" i="40" s="1"/>
  <c r="AY464" i="40" s="1"/>
  <c r="AR473" i="40"/>
  <c r="AU477" i="40"/>
  <c r="AX462" i="40"/>
  <c r="AW465" i="40"/>
  <c r="AX465" i="40"/>
  <c r="J455" i="40"/>
  <c r="AU455" i="40" s="1"/>
  <c r="AQ457" i="40"/>
  <c r="AQ456" i="40"/>
  <c r="AQ454" i="40"/>
  <c r="AQ455" i="40"/>
  <c r="AQ453" i="40"/>
  <c r="AU454" i="40"/>
  <c r="H454" i="40"/>
  <c r="AX454" i="40" s="1"/>
  <c r="H456" i="40"/>
  <c r="AW443" i="40"/>
  <c r="AX443" i="40"/>
  <c r="AQ443" i="40"/>
  <c r="AX447" i="40"/>
  <c r="AW447" i="40"/>
  <c r="AY446" i="40"/>
  <c r="AX446" i="40"/>
  <c r="AW446" i="40"/>
  <c r="AT446" i="40"/>
  <c r="AV446" i="40" s="1"/>
  <c r="AR446" i="40"/>
  <c r="H445" i="40"/>
  <c r="AW442" i="40"/>
  <c r="I445" i="40"/>
  <c r="J442" i="40"/>
  <c r="H444" i="40"/>
  <c r="I444" i="40"/>
  <c r="AQ444" i="40" s="1"/>
  <c r="I447" i="40"/>
  <c r="AQ447" i="40" s="1"/>
  <c r="AQ442" i="40"/>
  <c r="AR454" i="40"/>
  <c r="AT454" i="40" s="1"/>
  <c r="AR455" i="40"/>
  <c r="AT455" i="40" s="1"/>
  <c r="AV455" i="40" s="1"/>
  <c r="AY455" i="40" s="1"/>
  <c r="AR453" i="40"/>
  <c r="AT453" i="40" s="1"/>
  <c r="AV453" i="40" s="1"/>
  <c r="AY453" i="40" s="1"/>
  <c r="AX457" i="40"/>
  <c r="AW457" i="40"/>
  <c r="AX456" i="40"/>
  <c r="AW456" i="40"/>
  <c r="AW453" i="40"/>
  <c r="AX453" i="40"/>
  <c r="AX455" i="40"/>
  <c r="AW455" i="40"/>
  <c r="AR457" i="40"/>
  <c r="AT457" i="40" s="1"/>
  <c r="AR456" i="40"/>
  <c r="AT456" i="40" s="1"/>
  <c r="AV456" i="40" s="1"/>
  <c r="AY456" i="40" s="1"/>
  <c r="AU452" i="40"/>
  <c r="AV452" i="40" s="1"/>
  <c r="AY452" i="40" s="1"/>
  <c r="AU457" i="40"/>
  <c r="J436" i="40"/>
  <c r="AU436" i="40" s="1"/>
  <c r="AR433" i="40"/>
  <c r="AT433" i="40" s="1"/>
  <c r="AV433" i="40" s="1"/>
  <c r="AY433" i="40" s="1"/>
  <c r="AQ436" i="40"/>
  <c r="AT434" i="40"/>
  <c r="AR434" i="40"/>
  <c r="AV432" i="40"/>
  <c r="AY432" i="40" s="1"/>
  <c r="AX436" i="40"/>
  <c r="AW436" i="40"/>
  <c r="AX437" i="40"/>
  <c r="AW437" i="40"/>
  <c r="AW433" i="40"/>
  <c r="AX433" i="40"/>
  <c r="AX435" i="40"/>
  <c r="AW435" i="40"/>
  <c r="AX434" i="40"/>
  <c r="AW434" i="40"/>
  <c r="AR437" i="40"/>
  <c r="AT437" i="40" s="1"/>
  <c r="AR435" i="40"/>
  <c r="AT435" i="40" s="1"/>
  <c r="AV435" i="40" s="1"/>
  <c r="AY435" i="40" s="1"/>
  <c r="AR436" i="40"/>
  <c r="AT436" i="40" s="1"/>
  <c r="AV436" i="40" s="1"/>
  <c r="AY436" i="40" s="1"/>
  <c r="AW432" i="40"/>
  <c r="AU434" i="40"/>
  <c r="AV434" i="40" s="1"/>
  <c r="AY434" i="40" s="1"/>
  <c r="AU437" i="40"/>
  <c r="L422" i="40"/>
  <c r="J423" i="40" s="1"/>
  <c r="AQ423" i="40"/>
  <c r="AR426" i="40"/>
  <c r="AT426" i="40" s="1"/>
  <c r="AV426" i="40" s="1"/>
  <c r="AY426" i="40" s="1"/>
  <c r="AX427" i="40"/>
  <c r="AW427" i="40"/>
  <c r="AU423" i="40"/>
  <c r="AU424" i="40"/>
  <c r="AW426" i="40"/>
  <c r="AX426" i="40"/>
  <c r="AW423" i="40"/>
  <c r="AX423" i="40"/>
  <c r="AR424" i="40"/>
  <c r="AT424" i="40" s="1"/>
  <c r="H425" i="40"/>
  <c r="AW422" i="40"/>
  <c r="I425" i="40"/>
  <c r="AX422" i="40"/>
  <c r="H424" i="40"/>
  <c r="I427" i="40"/>
  <c r="AQ427" i="40" s="1"/>
  <c r="AQ422" i="40"/>
  <c r="J416" i="40"/>
  <c r="AU416" i="40" s="1"/>
  <c r="AR414" i="40"/>
  <c r="AT414" i="40" s="1"/>
  <c r="AV414" i="40" s="1"/>
  <c r="AY414" i="40" s="1"/>
  <c r="AW416" i="40"/>
  <c r="AX416" i="40"/>
  <c r="AX417" i="40"/>
  <c r="AW417" i="40"/>
  <c r="AY412" i="40"/>
  <c r="AX415" i="40"/>
  <c r="AW415" i="40"/>
  <c r="AR417" i="40"/>
  <c r="AT417" i="40" s="1"/>
  <c r="AV412" i="40"/>
  <c r="AR415" i="40"/>
  <c r="AT415" i="40"/>
  <c r="AV415" i="40" s="1"/>
  <c r="AY415" i="40" s="1"/>
  <c r="AT416" i="40"/>
  <c r="AV416" i="40" s="1"/>
  <c r="AY416" i="40" s="1"/>
  <c r="AR416" i="40"/>
  <c r="AW412" i="40"/>
  <c r="AX412" i="40"/>
  <c r="AR413" i="40"/>
  <c r="AT413" i="40" s="1"/>
  <c r="AV413" i="40" s="1"/>
  <c r="AY413" i="40" s="1"/>
  <c r="AU417" i="40"/>
  <c r="AW414" i="40"/>
  <c r="AX414" i="40"/>
  <c r="AQ404" i="40"/>
  <c r="AR404" i="40"/>
  <c r="AT404" i="40" s="1"/>
  <c r="AT403" i="40"/>
  <c r="AX403" i="40"/>
  <c r="AW403" i="40"/>
  <c r="AX407" i="40"/>
  <c r="AW407" i="40"/>
  <c r="AR406" i="40"/>
  <c r="AT406" i="40" s="1"/>
  <c r="AV406" i="40" s="1"/>
  <c r="AY406" i="40" s="1"/>
  <c r="AQ407" i="40"/>
  <c r="H405" i="40"/>
  <c r="AX406" i="40"/>
  <c r="I405" i="40"/>
  <c r="J402" i="40"/>
  <c r="AR403" i="40"/>
  <c r="AW404" i="40"/>
  <c r="AX404" i="40"/>
  <c r="J396" i="40"/>
  <c r="AU396" i="40" s="1"/>
  <c r="AR392" i="40"/>
  <c r="AT392" i="40" s="1"/>
  <c r="AV392" i="40" s="1"/>
  <c r="AY392" i="40" s="1"/>
  <c r="AQ396" i="40"/>
  <c r="AR395" i="40"/>
  <c r="AT395" i="40" s="1"/>
  <c r="AV395" i="40" s="1"/>
  <c r="AY395" i="40" s="1"/>
  <c r="AR394" i="40"/>
  <c r="AT394" i="40" s="1"/>
  <c r="AX397" i="40"/>
  <c r="AW397" i="40"/>
  <c r="AX396" i="40"/>
  <c r="AW396" i="40"/>
  <c r="AX395" i="40"/>
  <c r="AW395" i="40"/>
  <c r="AW393" i="40"/>
  <c r="AX393" i="40"/>
  <c r="AX394" i="40"/>
  <c r="AW394" i="40"/>
  <c r="AR397" i="40"/>
  <c r="AT397" i="40" s="1"/>
  <c r="AR396" i="40"/>
  <c r="AT396" i="40" s="1"/>
  <c r="AV396" i="40" s="1"/>
  <c r="AY396" i="40" s="1"/>
  <c r="AU394" i="40"/>
  <c r="AR393" i="40"/>
  <c r="AT393" i="40" s="1"/>
  <c r="AV393" i="40" s="1"/>
  <c r="AY393" i="40" s="1"/>
  <c r="AU397" i="40"/>
  <c r="AQ384" i="40"/>
  <c r="AU384" i="40"/>
  <c r="J386" i="40"/>
  <c r="AU386" i="40" s="1"/>
  <c r="AX383" i="40"/>
  <c r="AW383" i="40"/>
  <c r="AW386" i="40"/>
  <c r="AX386" i="40"/>
  <c r="AX387" i="40"/>
  <c r="AW387" i="40"/>
  <c r="AR384" i="40"/>
  <c r="AT384" i="40" s="1"/>
  <c r="AV384" i="40" s="1"/>
  <c r="AY384" i="40" s="1"/>
  <c r="AX385" i="40"/>
  <c r="AW385" i="40"/>
  <c r="AX384" i="40"/>
  <c r="AW384" i="40"/>
  <c r="AR387" i="40"/>
  <c r="AT387" i="40" s="1"/>
  <c r="AR383" i="40"/>
  <c r="AT383" i="40" s="1"/>
  <c r="AV383" i="40" s="1"/>
  <c r="AY383" i="40" s="1"/>
  <c r="AR385" i="40"/>
  <c r="AT385" i="40"/>
  <c r="AV385" i="40" s="1"/>
  <c r="AY385" i="40" s="1"/>
  <c r="AR386" i="40"/>
  <c r="AT386" i="40" s="1"/>
  <c r="AV386" i="40" s="1"/>
  <c r="AY386" i="40" s="1"/>
  <c r="AW382" i="40"/>
  <c r="AU387" i="40"/>
  <c r="AU374" i="40"/>
  <c r="J376" i="40"/>
  <c r="AU376" i="40" s="1"/>
  <c r="AX376" i="40"/>
  <c r="AW376" i="40"/>
  <c r="AX377" i="40"/>
  <c r="AW377" i="40"/>
  <c r="AX375" i="40"/>
  <c r="AW375" i="40"/>
  <c r="AV373" i="40"/>
  <c r="AY373" i="40" s="1"/>
  <c r="AT373" i="40"/>
  <c r="AR373" i="40"/>
  <c r="AR377" i="40"/>
  <c r="AT377" i="40" s="1"/>
  <c r="AV372" i="40"/>
  <c r="AY372" i="40" s="1"/>
  <c r="AT374" i="40"/>
  <c r="AV374" i="40" s="1"/>
  <c r="AY374" i="40" s="1"/>
  <c r="AR374" i="40"/>
  <c r="AR375" i="40"/>
  <c r="AT375" i="40"/>
  <c r="AV375" i="40" s="1"/>
  <c r="AY375" i="40" s="1"/>
  <c r="AR376" i="40"/>
  <c r="AT376" i="40" s="1"/>
  <c r="AV376" i="40" s="1"/>
  <c r="AY376" i="40" s="1"/>
  <c r="AU377" i="40"/>
  <c r="AW374" i="40"/>
  <c r="AX374" i="40"/>
  <c r="J365" i="40"/>
  <c r="AU365" i="40" s="1"/>
  <c r="AW363" i="40"/>
  <c r="AX363" i="40"/>
  <c r="AX365" i="40"/>
  <c r="AW365" i="40"/>
  <c r="AR365" i="40"/>
  <c r="AT365" i="40"/>
  <c r="AV365" i="40" s="1"/>
  <c r="AY365" i="40" s="1"/>
  <c r="AX367" i="40"/>
  <c r="AW367" i="40"/>
  <c r="AR366" i="40"/>
  <c r="AT366" i="40" s="1"/>
  <c r="AV366" i="40" s="1"/>
  <c r="AY366" i="40" s="1"/>
  <c r="AR367" i="40"/>
  <c r="AT367" i="40" s="1"/>
  <c r="AT364" i="40"/>
  <c r="AV364" i="40" s="1"/>
  <c r="AY364" i="40" s="1"/>
  <c r="AR364" i="40"/>
  <c r="AV362" i="40"/>
  <c r="AY362" i="40" s="1"/>
  <c r="AX362" i="40"/>
  <c r="AR363" i="40"/>
  <c r="AT363" i="40" s="1"/>
  <c r="AV363" i="40" s="1"/>
  <c r="AY363" i="40" s="1"/>
  <c r="AU367" i="40"/>
  <c r="AW364" i="40"/>
  <c r="AX364" i="40"/>
  <c r="J356" i="40"/>
  <c r="AU356" i="40" s="1"/>
  <c r="AQ354" i="40"/>
  <c r="AV352" i="40"/>
  <c r="AY352" i="40" s="1"/>
  <c r="AQ356" i="40"/>
  <c r="AX357" i="40"/>
  <c r="AW357" i="40"/>
  <c r="AX355" i="40"/>
  <c r="AW355" i="40"/>
  <c r="AW353" i="40"/>
  <c r="AX353" i="40"/>
  <c r="AR355" i="40"/>
  <c r="AT355" i="40" s="1"/>
  <c r="AR356" i="40"/>
  <c r="AT356" i="40" s="1"/>
  <c r="AV356" i="40" s="1"/>
  <c r="AY356" i="40" s="1"/>
  <c r="AR357" i="40"/>
  <c r="AT357" i="40" s="1"/>
  <c r="AR354" i="40"/>
  <c r="AT354" i="40" s="1"/>
  <c r="AX356" i="40"/>
  <c r="J355" i="40"/>
  <c r="AU355" i="40" s="1"/>
  <c r="AU354" i="40"/>
  <c r="AR353" i="40"/>
  <c r="AT353" i="40" s="1"/>
  <c r="AV353" i="40" s="1"/>
  <c r="AY353" i="40" s="1"/>
  <c r="AU357" i="40"/>
  <c r="AW354" i="40"/>
  <c r="AX354" i="40"/>
  <c r="AR343" i="40"/>
  <c r="AT343" i="40"/>
  <c r="AV343" i="40"/>
  <c r="AV342" i="40"/>
  <c r="AY342" i="40" s="1"/>
  <c r="AQ347" i="40"/>
  <c r="AX346" i="40"/>
  <c r="AW346" i="40"/>
  <c r="AX345" i="40"/>
  <c r="AW345" i="40"/>
  <c r="AV345" i="40"/>
  <c r="AY345" i="40" s="1"/>
  <c r="AR344" i="40"/>
  <c r="AT344" i="40" s="1"/>
  <c r="AV344" i="40" s="1"/>
  <c r="AY344" i="40" s="1"/>
  <c r="AR345" i="40"/>
  <c r="AT345" i="40"/>
  <c r="AY343" i="40"/>
  <c r="AX343" i="40"/>
  <c r="AU347" i="40"/>
  <c r="AW344" i="40"/>
  <c r="AR346" i="40"/>
  <c r="AT346" i="40" s="1"/>
  <c r="AV346" i="40" s="1"/>
  <c r="AY346" i="40" s="1"/>
  <c r="AW347" i="40"/>
  <c r="AX347" i="40"/>
  <c r="AT332" i="40"/>
  <c r="AV332" i="40" s="1"/>
  <c r="AY332" i="40" s="1"/>
  <c r="AR333" i="40"/>
  <c r="AT333" i="40" s="1"/>
  <c r="AV333" i="40" s="1"/>
  <c r="AY333" i="40" s="1"/>
  <c r="AX333" i="40"/>
  <c r="AW333" i="40"/>
  <c r="AW332" i="40"/>
  <c r="AQ324" i="40"/>
  <c r="AX323" i="40"/>
  <c r="AW323" i="40"/>
  <c r="H327" i="40"/>
  <c r="AR324" i="40"/>
  <c r="AT324" i="40" s="1"/>
  <c r="AV324" i="40" s="1"/>
  <c r="AY324" i="40" s="1"/>
  <c r="AX327" i="40"/>
  <c r="AW327" i="40"/>
  <c r="AX313" i="40"/>
  <c r="AW313" i="40"/>
  <c r="AX316" i="40"/>
  <c r="AW316" i="40"/>
  <c r="AX326" i="40"/>
  <c r="AW326" i="40"/>
  <c r="AX325" i="40"/>
  <c r="AW325" i="40"/>
  <c r="AT317" i="40"/>
  <c r="AR317" i="40"/>
  <c r="AR325" i="40"/>
  <c r="AT325" i="40" s="1"/>
  <c r="AR327" i="40"/>
  <c r="AT327" i="40" s="1"/>
  <c r="AV322" i="40"/>
  <c r="AY322" i="40" s="1"/>
  <c r="AT313" i="40"/>
  <c r="AV313" i="40" s="1"/>
  <c r="AY313" i="40" s="1"/>
  <c r="AR313" i="40"/>
  <c r="AT326" i="40"/>
  <c r="AV326" i="40" s="1"/>
  <c r="AY326" i="40" s="1"/>
  <c r="AR326" i="40"/>
  <c r="E315" i="40"/>
  <c r="I316" i="40"/>
  <c r="AQ316" i="40" s="1"/>
  <c r="J325" i="40"/>
  <c r="AU325" i="40" s="1"/>
  <c r="I315" i="40"/>
  <c r="J312" i="40"/>
  <c r="AR323" i="40"/>
  <c r="AT323" i="40" s="1"/>
  <c r="AV323" i="40" s="1"/>
  <c r="AY323" i="40" s="1"/>
  <c r="AU327" i="40"/>
  <c r="H314" i="40"/>
  <c r="AW324" i="40"/>
  <c r="I314" i="40"/>
  <c r="AQ314" i="40" s="1"/>
  <c r="AX324" i="40"/>
  <c r="AQ312" i="40"/>
  <c r="AQ303" i="40"/>
  <c r="AQ307" i="40"/>
  <c r="AQ306" i="40"/>
  <c r="AR306" i="40" s="1"/>
  <c r="AT306" i="40" s="1"/>
  <c r="AX307" i="40"/>
  <c r="AW307" i="40"/>
  <c r="AX304" i="40"/>
  <c r="AW304" i="40"/>
  <c r="AX306" i="40"/>
  <c r="AW306" i="40"/>
  <c r="AR305" i="40"/>
  <c r="AT305" i="40"/>
  <c r="AR307" i="40"/>
  <c r="AT307" i="40" s="1"/>
  <c r="AR303" i="40"/>
  <c r="AT303" i="40" s="1"/>
  <c r="AV303" i="40" s="1"/>
  <c r="AY303" i="40" s="1"/>
  <c r="AT302" i="40"/>
  <c r="AV302" i="40" s="1"/>
  <c r="AY302" i="40" s="1"/>
  <c r="AW303" i="40"/>
  <c r="J306" i="40"/>
  <c r="AW302" i="40"/>
  <c r="AR304" i="40"/>
  <c r="AT304" i="40" s="1"/>
  <c r="AV304" i="40" s="1"/>
  <c r="AY304" i="40" s="1"/>
  <c r="J305" i="40"/>
  <c r="AU305" i="40" s="1"/>
  <c r="AX302" i="40"/>
  <c r="AX305" i="40"/>
  <c r="AQ294" i="40"/>
  <c r="AQ293" i="40"/>
  <c r="AU294" i="40"/>
  <c r="J296" i="40"/>
  <c r="AU296" i="40" s="1"/>
  <c r="H297" i="40"/>
  <c r="H294" i="40"/>
  <c r="AX297" i="40"/>
  <c r="AW297" i="40"/>
  <c r="AX294" i="40"/>
  <c r="AW294" i="40"/>
  <c r="AX295" i="40"/>
  <c r="AW295" i="40"/>
  <c r="AX296" i="40"/>
  <c r="AW296" i="40"/>
  <c r="AR295" i="40"/>
  <c r="AT295" i="40"/>
  <c r="AV295" i="40" s="1"/>
  <c r="AY295" i="40" s="1"/>
  <c r="AR297" i="40"/>
  <c r="AT297" i="40" s="1"/>
  <c r="AR293" i="40"/>
  <c r="AT293" i="40" s="1"/>
  <c r="AV293" i="40" s="1"/>
  <c r="AY293" i="40" s="1"/>
  <c r="AR294" i="40"/>
  <c r="AT294" i="40" s="1"/>
  <c r="AV294" i="40" s="1"/>
  <c r="AY294" i="40" s="1"/>
  <c r="AR296" i="40"/>
  <c r="AT296" i="40" s="1"/>
  <c r="AV296" i="40" s="1"/>
  <c r="AY296" i="40" s="1"/>
  <c r="AU292" i="40"/>
  <c r="AV292" i="40" s="1"/>
  <c r="AY292" i="40" s="1"/>
  <c r="AX293" i="40"/>
  <c r="L282" i="40"/>
  <c r="AU282" i="40"/>
  <c r="AQ286" i="40"/>
  <c r="AR286" i="40"/>
  <c r="AT286" i="40" s="1"/>
  <c r="AW286" i="40"/>
  <c r="AX286" i="40"/>
  <c r="H285" i="40"/>
  <c r="E287" i="40"/>
  <c r="H287" i="40" s="1"/>
  <c r="AW282" i="40"/>
  <c r="I285" i="40"/>
  <c r="AX282" i="40"/>
  <c r="H284" i="40"/>
  <c r="I284" i="40"/>
  <c r="AQ284" i="40" s="1"/>
  <c r="AQ282" i="40"/>
  <c r="H283" i="40"/>
  <c r="I287" i="40"/>
  <c r="AQ287" i="40" s="1"/>
  <c r="I283" i="40"/>
  <c r="AQ283" i="40" s="1"/>
  <c r="J283" i="40"/>
  <c r="AQ275" i="40"/>
  <c r="AV272" i="40"/>
  <c r="AY272" i="40" s="1"/>
  <c r="AQ276" i="40"/>
  <c r="AX273" i="40"/>
  <c r="AW273" i="40"/>
  <c r="AX276" i="40"/>
  <c r="AW276" i="40"/>
  <c r="AX277" i="40"/>
  <c r="AW277" i="40"/>
  <c r="AX275" i="40"/>
  <c r="AW275" i="40"/>
  <c r="AT274" i="40"/>
  <c r="AV274" i="40" s="1"/>
  <c r="AY274" i="40" s="1"/>
  <c r="AR277" i="40"/>
  <c r="AT277" i="40" s="1"/>
  <c r="AR275" i="40"/>
  <c r="AT275" i="40" s="1"/>
  <c r="AV275" i="40" s="1"/>
  <c r="AY275" i="40" s="1"/>
  <c r="AR276" i="40"/>
  <c r="AT276" i="40" s="1"/>
  <c r="AV276" i="40" s="1"/>
  <c r="AY276" i="40" s="1"/>
  <c r="AW272" i="40"/>
  <c r="AR274" i="40"/>
  <c r="AR273" i="40"/>
  <c r="AT273" i="40" s="1"/>
  <c r="AV273" i="40" s="1"/>
  <c r="AY273" i="40" s="1"/>
  <c r="AU277" i="40"/>
  <c r="AX274" i="40"/>
  <c r="AX266" i="40"/>
  <c r="AW266" i="40"/>
  <c r="H265" i="40"/>
  <c r="E267" i="40"/>
  <c r="H267" i="40" s="1"/>
  <c r="AR266" i="40"/>
  <c r="AT266" i="40" s="1"/>
  <c r="AQ267" i="40"/>
  <c r="AU266" i="40"/>
  <c r="AU267" i="40"/>
  <c r="AW262" i="40"/>
  <c r="AX262" i="40"/>
  <c r="J262" i="40"/>
  <c r="J265" i="40"/>
  <c r="AU265" i="40" s="1"/>
  <c r="H264" i="40"/>
  <c r="I264" i="40"/>
  <c r="AQ264" i="40" s="1"/>
  <c r="AQ262" i="40"/>
  <c r="H263" i="40"/>
  <c r="I267" i="40"/>
  <c r="I263" i="40"/>
  <c r="AQ263" i="40" s="1"/>
  <c r="J263" i="40"/>
  <c r="AQ265" i="40"/>
  <c r="AY252" i="40"/>
  <c r="J256" i="40"/>
  <c r="AQ255" i="40"/>
  <c r="AQ254" i="40"/>
  <c r="AX255" i="40"/>
  <c r="AW255" i="40"/>
  <c r="AX257" i="40"/>
  <c r="AW257" i="40"/>
  <c r="AX256" i="40"/>
  <c r="AW256" i="40"/>
  <c r="AR254" i="40"/>
  <c r="AT254" i="40" s="1"/>
  <c r="AV254" i="40" s="1"/>
  <c r="AY254" i="40" s="1"/>
  <c r="AR255" i="40"/>
  <c r="AT255" i="40" s="1"/>
  <c r="AV255" i="40" s="1"/>
  <c r="AY255" i="40" s="1"/>
  <c r="AX253" i="40"/>
  <c r="AW253" i="40"/>
  <c r="AX252" i="40"/>
  <c r="AR253" i="40"/>
  <c r="AT253" i="40" s="1"/>
  <c r="AV253" i="40" s="1"/>
  <c r="AY253" i="40" s="1"/>
  <c r="AW254" i="40"/>
  <c r="AR256" i="40"/>
  <c r="AT256" i="40" s="1"/>
  <c r="AX254" i="40"/>
  <c r="AQ246" i="40"/>
  <c r="AU242" i="40"/>
  <c r="AQ237" i="40"/>
  <c r="AQ234" i="40"/>
  <c r="AQ233" i="40"/>
  <c r="AR246" i="40"/>
  <c r="AT246" i="40" s="1"/>
  <c r="AR237" i="40"/>
  <c r="AT237" i="40" s="1"/>
  <c r="AX246" i="40"/>
  <c r="AW246" i="40"/>
  <c r="AR235" i="40"/>
  <c r="AT235" i="40" s="1"/>
  <c r="AV235" i="40" s="1"/>
  <c r="AY235" i="40" s="1"/>
  <c r="AR234" i="40"/>
  <c r="AT234" i="40" s="1"/>
  <c r="AR236" i="40"/>
  <c r="AT236" i="40" s="1"/>
  <c r="E247" i="40"/>
  <c r="H247" i="40" s="1"/>
  <c r="H245" i="40"/>
  <c r="AR244" i="40"/>
  <c r="AT244" i="40" s="1"/>
  <c r="AR233" i="40"/>
  <c r="AT233" i="40" s="1"/>
  <c r="AV233" i="40" s="1"/>
  <c r="AY233" i="40" s="1"/>
  <c r="AX237" i="40"/>
  <c r="AW237" i="40"/>
  <c r="AX236" i="40"/>
  <c r="AW236" i="40"/>
  <c r="AQ243" i="40"/>
  <c r="AX233" i="40"/>
  <c r="AW233" i="40"/>
  <c r="AX234" i="40"/>
  <c r="AW234" i="40"/>
  <c r="AT232" i="40"/>
  <c r="AV232" i="40" s="1"/>
  <c r="AY232" i="40" s="1"/>
  <c r="J236" i="40"/>
  <c r="I245" i="40"/>
  <c r="AQ245" i="40" s="1"/>
  <c r="AW232" i="40"/>
  <c r="AX232" i="40"/>
  <c r="H244" i="40"/>
  <c r="AU234" i="40"/>
  <c r="AQ242" i="40"/>
  <c r="H243" i="40"/>
  <c r="I247" i="40"/>
  <c r="AQ247" i="40" s="1"/>
  <c r="I243" i="40"/>
  <c r="J243" i="40"/>
  <c r="AR222" i="40"/>
  <c r="AT222" i="40" s="1"/>
  <c r="AX226" i="40"/>
  <c r="AW226" i="40"/>
  <c r="E227" i="40"/>
  <c r="H227" i="40" s="1"/>
  <c r="H225" i="40"/>
  <c r="AQ226" i="40"/>
  <c r="AQ225" i="40"/>
  <c r="AQ227" i="40"/>
  <c r="AW222" i="40"/>
  <c r="AR224" i="40"/>
  <c r="AT224" i="40" s="1"/>
  <c r="I225" i="40"/>
  <c r="J222" i="40"/>
  <c r="AX222" i="40"/>
  <c r="AR223" i="40"/>
  <c r="AT223" i="40" s="1"/>
  <c r="AW224" i="40"/>
  <c r="H223" i="40"/>
  <c r="AX224" i="40"/>
  <c r="I227" i="40"/>
  <c r="J223" i="40"/>
  <c r="J216" i="40"/>
  <c r="AU216" i="40" s="1"/>
  <c r="AQ216" i="40"/>
  <c r="AW216" i="40"/>
  <c r="AX216" i="40"/>
  <c r="AR213" i="40"/>
  <c r="AT213" i="40" s="1"/>
  <c r="AV213" i="40" s="1"/>
  <c r="AY213" i="40" s="1"/>
  <c r="AX217" i="40"/>
  <c r="AW217" i="40"/>
  <c r="AV212" i="40"/>
  <c r="AY212" i="40" s="1"/>
  <c r="AX215" i="40"/>
  <c r="AW215" i="40"/>
  <c r="AW213" i="40"/>
  <c r="AX213" i="40"/>
  <c r="AX214" i="40"/>
  <c r="AW214" i="40"/>
  <c r="AR214" i="40"/>
  <c r="AT214" i="40" s="1"/>
  <c r="AR217" i="40"/>
  <c r="AT217" i="40" s="1"/>
  <c r="AR215" i="40"/>
  <c r="AT215" i="40" s="1"/>
  <c r="AV215" i="40" s="1"/>
  <c r="AY215" i="40" s="1"/>
  <c r="AR216" i="40"/>
  <c r="AT216" i="40" s="1"/>
  <c r="AV216" i="40" s="1"/>
  <c r="AY216" i="40" s="1"/>
  <c r="AW212" i="40"/>
  <c r="AX212" i="40"/>
  <c r="AU214" i="40"/>
  <c r="AU217" i="40"/>
  <c r="AQ206" i="40"/>
  <c r="AT192" i="40"/>
  <c r="AU192" i="40"/>
  <c r="AV192" i="40" s="1"/>
  <c r="J196" i="40"/>
  <c r="AQ197" i="40"/>
  <c r="AQ196" i="40"/>
  <c r="AT196" i="40" s="1"/>
  <c r="AQ195" i="40"/>
  <c r="AQ193" i="40"/>
  <c r="AR193" i="40" s="1"/>
  <c r="AT193" i="40" s="1"/>
  <c r="AV193" i="40" s="1"/>
  <c r="AY193" i="40" s="1"/>
  <c r="AQ194" i="40"/>
  <c r="AR194" i="40" s="1"/>
  <c r="AX193" i="40"/>
  <c r="AW193" i="40"/>
  <c r="AW206" i="40"/>
  <c r="AX206" i="40"/>
  <c r="AX204" i="40"/>
  <c r="AW204" i="40"/>
  <c r="AX197" i="40"/>
  <c r="AW197" i="40"/>
  <c r="AR206" i="40"/>
  <c r="AT206" i="40" s="1"/>
  <c r="E207" i="40"/>
  <c r="H207" i="40" s="1"/>
  <c r="H205" i="40"/>
  <c r="AT197" i="40"/>
  <c r="AR197" i="40"/>
  <c r="AR195" i="40"/>
  <c r="AT195" i="40" s="1"/>
  <c r="AV195" i="40" s="1"/>
  <c r="AY195" i="40" s="1"/>
  <c r="AR196" i="40"/>
  <c r="AX195" i="40"/>
  <c r="AW195" i="40"/>
  <c r="AX196" i="40"/>
  <c r="AW196" i="40"/>
  <c r="AW202" i="40"/>
  <c r="I205" i="40"/>
  <c r="AQ205" i="40" s="1"/>
  <c r="J202" i="40"/>
  <c r="AX202" i="40"/>
  <c r="AX192" i="40"/>
  <c r="AY192" i="40"/>
  <c r="I204" i="40"/>
  <c r="AQ204" i="40" s="1"/>
  <c r="AU194" i="40"/>
  <c r="AQ202" i="40"/>
  <c r="H203" i="40"/>
  <c r="I207" i="40"/>
  <c r="AQ207" i="40" s="1"/>
  <c r="AW194" i="40"/>
  <c r="I203" i="40"/>
  <c r="AQ203" i="40" s="1"/>
  <c r="AX194" i="40"/>
  <c r="J203" i="40"/>
  <c r="AQ184" i="40"/>
  <c r="AQ187" i="40"/>
  <c r="AR184" i="40"/>
  <c r="AT184" i="40" s="1"/>
  <c r="AV184" i="40" s="1"/>
  <c r="AY184" i="40" s="1"/>
  <c r="AX186" i="40"/>
  <c r="AW186" i="40"/>
  <c r="AX187" i="40"/>
  <c r="AW187" i="40"/>
  <c r="AX185" i="40"/>
  <c r="AW185" i="40"/>
  <c r="AV185" i="40"/>
  <c r="AY185" i="40" s="1"/>
  <c r="AR187" i="40"/>
  <c r="AT187" i="40" s="1"/>
  <c r="AV182" i="40"/>
  <c r="AY182" i="40" s="1"/>
  <c r="AR185" i="40"/>
  <c r="AT185" i="40"/>
  <c r="AR186" i="40"/>
  <c r="AT186" i="40" s="1"/>
  <c r="AV186" i="40" s="1"/>
  <c r="AY186" i="40" s="1"/>
  <c r="AR183" i="40"/>
  <c r="AT183" i="40" s="1"/>
  <c r="AV183" i="40" s="1"/>
  <c r="AY183" i="40" s="1"/>
  <c r="AU187" i="40"/>
  <c r="AW184" i="40"/>
  <c r="AX184" i="40"/>
  <c r="AQ173" i="40"/>
  <c r="AQ174" i="40"/>
  <c r="J176" i="40"/>
  <c r="AU176" i="40" s="1"/>
  <c r="AR174" i="40"/>
  <c r="AT174" i="40" s="1"/>
  <c r="AX176" i="40"/>
  <c r="AW176" i="40"/>
  <c r="AX175" i="40"/>
  <c r="AW175" i="40"/>
  <c r="AR177" i="40"/>
  <c r="AT177" i="40" s="1"/>
  <c r="AX174" i="40"/>
  <c r="AW174" i="40"/>
  <c r="AV172" i="40"/>
  <c r="AY172" i="40" s="1"/>
  <c r="AR176" i="40"/>
  <c r="AT176" i="40" s="1"/>
  <c r="AR173" i="40"/>
  <c r="AT173" i="40" s="1"/>
  <c r="AV173" i="40" s="1"/>
  <c r="AY173" i="40" s="1"/>
  <c r="AR175" i="40"/>
  <c r="AT175" i="40" s="1"/>
  <c r="AV175" i="40" s="1"/>
  <c r="AY175" i="40" s="1"/>
  <c r="AX173" i="40"/>
  <c r="AU174" i="40"/>
  <c r="AU177" i="40"/>
  <c r="AW177" i="40"/>
  <c r="AX177" i="40"/>
  <c r="AQ163" i="40"/>
  <c r="AU163" i="40"/>
  <c r="AQ165" i="40"/>
  <c r="AQ166" i="40"/>
  <c r="AV162" i="40"/>
  <c r="AR163" i="40"/>
  <c r="AT163" i="40" s="1"/>
  <c r="AV163" i="40" s="1"/>
  <c r="AY163" i="40" s="1"/>
  <c r="AR164" i="40"/>
  <c r="AT164" i="40" s="1"/>
  <c r="AV164" i="40" s="1"/>
  <c r="AY164" i="40" s="1"/>
  <c r="AX167" i="40"/>
  <c r="AW167" i="40"/>
  <c r="AW166" i="40"/>
  <c r="AX166" i="40"/>
  <c r="AY162" i="40"/>
  <c r="AX165" i="40"/>
  <c r="AW165" i="40"/>
  <c r="AX164" i="40"/>
  <c r="AW164" i="40"/>
  <c r="AR167" i="40"/>
  <c r="AT167" i="40" s="1"/>
  <c r="AR165" i="40"/>
  <c r="AT165" i="40" s="1"/>
  <c r="AV165" i="40" s="1"/>
  <c r="AY165" i="40" s="1"/>
  <c r="AR166" i="40"/>
  <c r="AT166" i="40" s="1"/>
  <c r="AV166" i="40" s="1"/>
  <c r="AY166" i="40" s="1"/>
  <c r="AX162" i="40"/>
  <c r="AU167" i="40"/>
  <c r="AQ147" i="40"/>
  <c r="AT142" i="40"/>
  <c r="AQ143" i="40"/>
  <c r="AR143" i="40" s="1"/>
  <c r="AT143" i="40" s="1"/>
  <c r="AV143" i="40" s="1"/>
  <c r="AY143" i="40" s="1"/>
  <c r="AU142" i="40"/>
  <c r="AV142" i="40" s="1"/>
  <c r="AY142" i="40" s="1"/>
  <c r="J146" i="40"/>
  <c r="AR146" i="40"/>
  <c r="AT146" i="40" s="1"/>
  <c r="AX156" i="40"/>
  <c r="AW156" i="40"/>
  <c r="AQ156" i="40"/>
  <c r="AR144" i="40"/>
  <c r="AT144" i="40" s="1"/>
  <c r="AR147" i="40"/>
  <c r="AT147" i="40" s="1"/>
  <c r="AW153" i="40"/>
  <c r="AX153" i="40"/>
  <c r="AR145" i="40"/>
  <c r="AT145" i="40" s="1"/>
  <c r="AX147" i="40"/>
  <c r="AW147" i="40"/>
  <c r="AX143" i="40"/>
  <c r="AW143" i="40"/>
  <c r="AX144" i="40"/>
  <c r="AW144" i="40"/>
  <c r="AX145" i="40"/>
  <c r="AW145" i="40"/>
  <c r="AX157" i="40"/>
  <c r="AW157" i="40"/>
  <c r="AX155" i="40"/>
  <c r="AW155" i="40"/>
  <c r="AW152" i="40"/>
  <c r="I155" i="40"/>
  <c r="J152" i="40"/>
  <c r="AX152" i="40"/>
  <c r="J145" i="40"/>
  <c r="AU145" i="40" s="1"/>
  <c r="H154" i="40"/>
  <c r="I154" i="40"/>
  <c r="AQ154" i="40" s="1"/>
  <c r="AU144" i="40"/>
  <c r="AQ152" i="40"/>
  <c r="I157" i="40"/>
  <c r="AQ157" i="40" s="1"/>
  <c r="I153" i="40"/>
  <c r="AQ153" i="40" s="1"/>
  <c r="AU122" i="40"/>
  <c r="AQ127" i="40"/>
  <c r="AQ126" i="40"/>
  <c r="AT122" i="40"/>
  <c r="AR122" i="40"/>
  <c r="AQ134" i="40"/>
  <c r="AU134" i="40"/>
  <c r="AQ137" i="40"/>
  <c r="AX136" i="40"/>
  <c r="AW136" i="40"/>
  <c r="AW133" i="40"/>
  <c r="AX133" i="40"/>
  <c r="AR127" i="40"/>
  <c r="AT127" i="40" s="1"/>
  <c r="AX135" i="40"/>
  <c r="AW135" i="40"/>
  <c r="AR123" i="40"/>
  <c r="AT123" i="40" s="1"/>
  <c r="AV123" i="40" s="1"/>
  <c r="AY123" i="40" s="1"/>
  <c r="AR126" i="40"/>
  <c r="AT126" i="40"/>
  <c r="AR125" i="40"/>
  <c r="AT125" i="40" s="1"/>
  <c r="AV125" i="40" s="1"/>
  <c r="AY125" i="40" s="1"/>
  <c r="AV122" i="40"/>
  <c r="AY122" i="40" s="1"/>
  <c r="AV132" i="40"/>
  <c r="AY132" i="40" s="1"/>
  <c r="AX127" i="40"/>
  <c r="AW127" i="40"/>
  <c r="AX123" i="40"/>
  <c r="AW123" i="40"/>
  <c r="AW124" i="40"/>
  <c r="AX124" i="40"/>
  <c r="AX126" i="40"/>
  <c r="AW126" i="40"/>
  <c r="AR135" i="40"/>
  <c r="AT135" i="40"/>
  <c r="AV135" i="40" s="1"/>
  <c r="AY135" i="40" s="1"/>
  <c r="AR137" i="40"/>
  <c r="AT137" i="40" s="1"/>
  <c r="AR134" i="40"/>
  <c r="AT134" i="40" s="1"/>
  <c r="AV134" i="40" s="1"/>
  <c r="AY134" i="40" s="1"/>
  <c r="AW132" i="40"/>
  <c r="J126" i="40"/>
  <c r="AW122" i="40"/>
  <c r="AR124" i="40"/>
  <c r="AT124" i="40" s="1"/>
  <c r="AV124" i="40" s="1"/>
  <c r="AY124" i="40" s="1"/>
  <c r="AR133" i="40"/>
  <c r="AT133" i="40" s="1"/>
  <c r="AV133" i="40" s="1"/>
  <c r="AY133" i="40" s="1"/>
  <c r="AU137" i="40"/>
  <c r="AX122" i="40"/>
  <c r="AW125" i="40"/>
  <c r="AW134" i="40"/>
  <c r="AR136" i="40"/>
  <c r="AT136" i="40" s="1"/>
  <c r="AV136" i="40" s="1"/>
  <c r="AY136" i="40" s="1"/>
  <c r="AX125" i="40"/>
  <c r="AX134" i="40"/>
  <c r="AW137" i="40"/>
  <c r="AX137" i="40"/>
  <c r="AU115" i="40"/>
  <c r="AQ116" i="40"/>
  <c r="AQ114" i="40"/>
  <c r="AQ119" i="40"/>
  <c r="AQ118" i="40"/>
  <c r="H114" i="40"/>
  <c r="H115" i="40"/>
  <c r="H104" i="40"/>
  <c r="F105" i="40"/>
  <c r="F106" i="40" s="1"/>
  <c r="H103" i="40"/>
  <c r="AX116" i="40"/>
  <c r="AW116" i="40"/>
  <c r="AW115" i="40"/>
  <c r="AX115" i="40"/>
  <c r="AX114" i="40"/>
  <c r="AW114" i="40"/>
  <c r="AX119" i="40"/>
  <c r="AW119" i="40"/>
  <c r="AR116" i="40"/>
  <c r="AT116" i="40" s="1"/>
  <c r="AV116" i="40" s="1"/>
  <c r="AY116" i="40" s="1"/>
  <c r="AX118" i="40"/>
  <c r="AW118" i="40"/>
  <c r="AR114" i="40"/>
  <c r="AT114" i="40" s="1"/>
  <c r="AR119" i="40"/>
  <c r="AT119" i="40" s="1"/>
  <c r="AX117" i="40"/>
  <c r="AW117" i="40"/>
  <c r="AR118" i="40"/>
  <c r="AT118" i="40" s="1"/>
  <c r="AV118" i="40" s="1"/>
  <c r="AY118" i="40" s="1"/>
  <c r="AR113" i="40"/>
  <c r="AT113" i="40" s="1"/>
  <c r="AU114" i="40"/>
  <c r="I117" i="40"/>
  <c r="AQ117" i="40" s="1"/>
  <c r="AU117" i="40"/>
  <c r="AR112" i="40"/>
  <c r="AT112" i="40" s="1"/>
  <c r="AV112" i="40" s="1"/>
  <c r="AY112" i="40" s="1"/>
  <c r="AU113" i="40"/>
  <c r="AW113" i="40"/>
  <c r="AR115" i="40"/>
  <c r="AT115" i="40" s="1"/>
  <c r="AV115" i="40" s="1"/>
  <c r="AY115" i="40" s="1"/>
  <c r="AU119" i="40"/>
  <c r="AX113" i="40"/>
  <c r="AW112" i="40"/>
  <c r="AQ104" i="40"/>
  <c r="AU102" i="40"/>
  <c r="J105" i="40"/>
  <c r="AU105" i="40" s="1"/>
  <c r="AQ110" i="40"/>
  <c r="AR104" i="40"/>
  <c r="AT104" i="40" s="1"/>
  <c r="AV104" i="40" s="1"/>
  <c r="AY104" i="40" s="1"/>
  <c r="AR105" i="40"/>
  <c r="AT105" i="40" s="1"/>
  <c r="AV105" i="40" s="1"/>
  <c r="AQ106" i="40"/>
  <c r="H106" i="40"/>
  <c r="F107" i="40"/>
  <c r="F108" i="40" s="1"/>
  <c r="F109" i="40" s="1"/>
  <c r="F110" i="40" s="1"/>
  <c r="H110" i="40" s="1"/>
  <c r="J107" i="40"/>
  <c r="AQ107" i="40"/>
  <c r="AX104" i="40"/>
  <c r="AW104" i="40"/>
  <c r="AR103" i="40"/>
  <c r="AT103" i="40" s="1"/>
  <c r="AV103" i="40" s="1"/>
  <c r="AR110" i="40"/>
  <c r="AT110" i="40" s="1"/>
  <c r="AV110" i="40" s="1"/>
  <c r="AW103" i="40"/>
  <c r="AT102" i="40"/>
  <c r="AV102" i="40" s="1"/>
  <c r="AY102" i="40" s="1"/>
  <c r="AX103" i="40"/>
  <c r="H105" i="40"/>
  <c r="E108" i="40"/>
  <c r="H108" i="40" s="1"/>
  <c r="I109" i="40"/>
  <c r="AQ109" i="40" s="1"/>
  <c r="AW102" i="40"/>
  <c r="I108" i="40"/>
  <c r="J108" i="40" s="1"/>
  <c r="AU108" i="40" s="1"/>
  <c r="AX102" i="40"/>
  <c r="AQ95" i="40"/>
  <c r="I97" i="40"/>
  <c r="I96" i="40"/>
  <c r="J92" i="40"/>
  <c r="AU92" i="40" s="1"/>
  <c r="AV92" i="40" s="1"/>
  <c r="J96" i="40"/>
  <c r="AU96" i="40" s="1"/>
  <c r="AQ97" i="40"/>
  <c r="AR97" i="40" s="1"/>
  <c r="AT97" i="40" s="1"/>
  <c r="AQ96" i="40"/>
  <c r="E97" i="40"/>
  <c r="H97" i="40" s="1"/>
  <c r="H95" i="40"/>
  <c r="AY92" i="40"/>
  <c r="AW96" i="40"/>
  <c r="AX96" i="40"/>
  <c r="AR95" i="40"/>
  <c r="AT95" i="40"/>
  <c r="AV95" i="40" s="1"/>
  <c r="AR96" i="40"/>
  <c r="AT96" i="40" s="1"/>
  <c r="AV96" i="40" s="1"/>
  <c r="AY96" i="40" s="1"/>
  <c r="AX92" i="40"/>
  <c r="AR94" i="40"/>
  <c r="AT94" i="40" s="1"/>
  <c r="AV94" i="40" s="1"/>
  <c r="AY94" i="40" s="1"/>
  <c r="AR93" i="40"/>
  <c r="AT93" i="40" s="1"/>
  <c r="AV93" i="40" s="1"/>
  <c r="AW94" i="40"/>
  <c r="AU97" i="40"/>
  <c r="H93" i="40"/>
  <c r="AX94" i="40"/>
  <c r="AQ84" i="40"/>
  <c r="AQ87" i="40"/>
  <c r="AQ86" i="40"/>
  <c r="AX83" i="40"/>
  <c r="AW83" i="40"/>
  <c r="AX82" i="40"/>
  <c r="H86" i="40"/>
  <c r="H87" i="40"/>
  <c r="AY82" i="40"/>
  <c r="AR84" i="40"/>
  <c r="AT84" i="40" s="1"/>
  <c r="AV84" i="40" s="1"/>
  <c r="AY84" i="40" s="1"/>
  <c r="AX86" i="40"/>
  <c r="AW86" i="40"/>
  <c r="AX87" i="40"/>
  <c r="AW87" i="40"/>
  <c r="AX85" i="40"/>
  <c r="AW85" i="40"/>
  <c r="AT87" i="40"/>
  <c r="AR87" i="40"/>
  <c r="AR85" i="40"/>
  <c r="AT85" i="40"/>
  <c r="AV85" i="40" s="1"/>
  <c r="AY85" i="40" s="1"/>
  <c r="AR86" i="40"/>
  <c r="AT86" i="40" s="1"/>
  <c r="AV86" i="40" s="1"/>
  <c r="AR83" i="40"/>
  <c r="AT83" i="40" s="1"/>
  <c r="AV83" i="40" s="1"/>
  <c r="AY83" i="40" s="1"/>
  <c r="AU87" i="40"/>
  <c r="AW84" i="40"/>
  <c r="AX84" i="40"/>
  <c r="AT74" i="40"/>
  <c r="AV74" i="40" s="1"/>
  <c r="AY74" i="40" s="1"/>
  <c r="AX77" i="40"/>
  <c r="AW77" i="40"/>
  <c r="AX75" i="40"/>
  <c r="AW75" i="40"/>
  <c r="AR75" i="40"/>
  <c r="AT75" i="40" s="1"/>
  <c r="AR77" i="40"/>
  <c r="AT77" i="40" s="1"/>
  <c r="AR76" i="40"/>
  <c r="AT76" i="40" s="1"/>
  <c r="AT72" i="40"/>
  <c r="AV72" i="40" s="1"/>
  <c r="AY72" i="40" s="1"/>
  <c r="AW73" i="40"/>
  <c r="J76" i="40"/>
  <c r="AW76" i="40"/>
  <c r="AW72" i="40"/>
  <c r="AR74" i="40"/>
  <c r="J75" i="40"/>
  <c r="AU75" i="40" s="1"/>
  <c r="AX72" i="40"/>
  <c r="AR73" i="40"/>
  <c r="AT73" i="40" s="1"/>
  <c r="AV73" i="40" s="1"/>
  <c r="AY73" i="40" s="1"/>
  <c r="AW74" i="40"/>
  <c r="AX74" i="40"/>
  <c r="J66" i="40"/>
  <c r="AU66" i="40" s="1"/>
  <c r="AQ67" i="40"/>
  <c r="AQ66" i="40"/>
  <c r="AX63" i="40"/>
  <c r="AW63" i="40"/>
  <c r="AR65" i="40"/>
  <c r="AT65" i="40"/>
  <c r="AV65" i="40" s="1"/>
  <c r="AY65" i="40" s="1"/>
  <c r="AR64" i="40"/>
  <c r="AT64" i="40" s="1"/>
  <c r="AV64" i="40" s="1"/>
  <c r="AY64" i="40" s="1"/>
  <c r="AX67" i="40"/>
  <c r="AW67" i="40"/>
  <c r="AX66" i="40"/>
  <c r="AW66" i="40"/>
  <c r="AX65" i="40"/>
  <c r="AW65" i="40"/>
  <c r="AR67" i="40"/>
  <c r="AT67" i="40" s="1"/>
  <c r="AV62" i="40"/>
  <c r="AY62" i="40" s="1"/>
  <c r="AX64" i="40"/>
  <c r="AW64" i="40"/>
  <c r="AR66" i="40"/>
  <c r="AT66" i="40" s="1"/>
  <c r="AV66" i="40" s="1"/>
  <c r="AY66" i="40" s="1"/>
  <c r="AR63" i="40"/>
  <c r="AT63" i="40" s="1"/>
  <c r="AV63" i="40" s="1"/>
  <c r="AY63" i="40" s="1"/>
  <c r="AU67" i="40"/>
  <c r="AL45" i="40"/>
  <c r="H16" i="40"/>
  <c r="AL27" i="40"/>
  <c r="I26" i="40"/>
  <c r="AQ13" i="40"/>
  <c r="AQ53" i="40"/>
  <c r="H14" i="40"/>
  <c r="AT52" i="40"/>
  <c r="AV52" i="40" s="1"/>
  <c r="AY52" i="40" s="1"/>
  <c r="H13" i="40"/>
  <c r="AW13" i="40" s="1"/>
  <c r="I27" i="40"/>
  <c r="AQ27" i="40" s="1"/>
  <c r="AR27" i="40" s="1"/>
  <c r="AT27" i="40" s="1"/>
  <c r="AV27" i="40" s="1"/>
  <c r="AY27" i="40" s="1"/>
  <c r="AW52" i="40"/>
  <c r="AL57" i="40"/>
  <c r="AQ57" i="40" s="1"/>
  <c r="AL56" i="40"/>
  <c r="AT42" i="40"/>
  <c r="H54" i="40"/>
  <c r="AQ56" i="40"/>
  <c r="AQ55" i="40"/>
  <c r="AQ54" i="40"/>
  <c r="AU54" i="40"/>
  <c r="J56" i="40"/>
  <c r="AU56" i="40" s="1"/>
  <c r="H57" i="40"/>
  <c r="AX57" i="40" s="1"/>
  <c r="AX56" i="40"/>
  <c r="AW56" i="40"/>
  <c r="AX55" i="40"/>
  <c r="AW55" i="40"/>
  <c r="AX54" i="40"/>
  <c r="AW54" i="40"/>
  <c r="AR53" i="40"/>
  <c r="AT53" i="40" s="1"/>
  <c r="AV53" i="40" s="1"/>
  <c r="AY53" i="40" s="1"/>
  <c r="AR54" i="40"/>
  <c r="AT54" i="40" s="1"/>
  <c r="AV54" i="40" s="1"/>
  <c r="AY54" i="40" s="1"/>
  <c r="AR55" i="40"/>
  <c r="AT55" i="40" s="1"/>
  <c r="AV55" i="40" s="1"/>
  <c r="AY55" i="40" s="1"/>
  <c r="AR56" i="40"/>
  <c r="AT56" i="40" s="1"/>
  <c r="AV56" i="40" s="1"/>
  <c r="AY56" i="40" s="1"/>
  <c r="AX53" i="40"/>
  <c r="AU57" i="40"/>
  <c r="AX43" i="40"/>
  <c r="AW43" i="40"/>
  <c r="AV32" i="40"/>
  <c r="J36" i="40"/>
  <c r="AU36" i="40" s="1"/>
  <c r="H47" i="40"/>
  <c r="AL37" i="40"/>
  <c r="AQ37" i="40" s="1"/>
  <c r="AR37" i="40" s="1"/>
  <c r="AT37" i="40" s="1"/>
  <c r="AV37" i="40" s="1"/>
  <c r="AY37" i="40" s="1"/>
  <c r="H27" i="40"/>
  <c r="AX27" i="40" s="1"/>
  <c r="AQ33" i="40"/>
  <c r="AR33" i="40" s="1"/>
  <c r="AT33" i="40" s="1"/>
  <c r="AV33" i="40" s="1"/>
  <c r="AY33" i="40" s="1"/>
  <c r="AL36" i="40"/>
  <c r="AQ36" i="40" s="1"/>
  <c r="AR36" i="40" s="1"/>
  <c r="AT36" i="40" s="1"/>
  <c r="AV36" i="40" s="1"/>
  <c r="AY36" i="40" s="1"/>
  <c r="AU44" i="40"/>
  <c r="H46" i="40"/>
  <c r="AW46" i="40" s="1"/>
  <c r="AL26" i="40"/>
  <c r="AQ26" i="40" s="1"/>
  <c r="AR26" i="40" s="1"/>
  <c r="AT26" i="40" s="1"/>
  <c r="AV26" i="40" s="1"/>
  <c r="AY26" i="40" s="1"/>
  <c r="AL35" i="40"/>
  <c r="AQ35" i="40" s="1"/>
  <c r="AR35" i="40" s="1"/>
  <c r="AT35" i="40" s="1"/>
  <c r="AV35" i="40" s="1"/>
  <c r="AY35" i="40" s="1"/>
  <c r="AQ14" i="40"/>
  <c r="H26" i="40"/>
  <c r="AL47" i="40"/>
  <c r="AQ47" i="40" s="1"/>
  <c r="AR47" i="40" s="1"/>
  <c r="AT47" i="40" s="1"/>
  <c r="AX22" i="40"/>
  <c r="AQ45" i="40"/>
  <c r="AL17" i="40"/>
  <c r="AQ17" i="40" s="1"/>
  <c r="H24" i="40"/>
  <c r="AX24" i="40" s="1"/>
  <c r="AL25" i="40"/>
  <c r="AV42" i="40"/>
  <c r="AY42" i="40" s="1"/>
  <c r="AL46" i="40"/>
  <c r="AQ46" i="40" s="1"/>
  <c r="AR46" i="40" s="1"/>
  <c r="AT46" i="40" s="1"/>
  <c r="AV46" i="40" s="1"/>
  <c r="H23" i="40"/>
  <c r="AW23" i="40" s="1"/>
  <c r="AQ44" i="40"/>
  <c r="AR44" i="40" s="1"/>
  <c r="AT44" i="40" s="1"/>
  <c r="J46" i="40"/>
  <c r="AU46" i="40" s="1"/>
  <c r="J45" i="40"/>
  <c r="AU45" i="40" s="1"/>
  <c r="AX47" i="40"/>
  <c r="AW47" i="40"/>
  <c r="AR45" i="40"/>
  <c r="AX45" i="40"/>
  <c r="AW45" i="40"/>
  <c r="AW42" i="40"/>
  <c r="AR43" i="40"/>
  <c r="AT43" i="40" s="1"/>
  <c r="AV43" i="40" s="1"/>
  <c r="AY43" i="40" s="1"/>
  <c r="AW44" i="40"/>
  <c r="AX44" i="40"/>
  <c r="AQ34" i="40"/>
  <c r="AU37" i="40"/>
  <c r="AX33" i="40"/>
  <c r="AW33" i="40"/>
  <c r="AY32" i="40"/>
  <c r="AX36" i="40"/>
  <c r="AW36" i="40"/>
  <c r="AR34" i="40"/>
  <c r="AX35" i="40"/>
  <c r="AW35" i="40"/>
  <c r="AW32" i="40"/>
  <c r="AX32" i="40"/>
  <c r="AW34" i="40"/>
  <c r="AX34" i="40"/>
  <c r="AW37" i="40"/>
  <c r="AX37" i="40"/>
  <c r="I25" i="40"/>
  <c r="J25" i="40" s="1"/>
  <c r="AU25" i="40" s="1"/>
  <c r="L22" i="40"/>
  <c r="J23" i="40" s="1"/>
  <c r="AU23" i="40" s="1"/>
  <c r="I23" i="40"/>
  <c r="AQ23" i="40" s="1"/>
  <c r="AR23" i="40" s="1"/>
  <c r="AT23" i="40" s="1"/>
  <c r="I24" i="40"/>
  <c r="AQ24" i="40" s="1"/>
  <c r="AR24" i="40" s="1"/>
  <c r="AT24" i="40" s="1"/>
  <c r="AR22" i="40"/>
  <c r="AT22" i="40" s="1"/>
  <c r="AV22" i="40" s="1"/>
  <c r="AY22" i="40" s="1"/>
  <c r="AX26" i="40"/>
  <c r="AW26" i="40"/>
  <c r="H25" i="40"/>
  <c r="AW24" i="40"/>
  <c r="AU13" i="40"/>
  <c r="AU14" i="40"/>
  <c r="H3" i="40"/>
  <c r="AW3" i="40" s="1"/>
  <c r="H4" i="40"/>
  <c r="AW4" i="40" s="1"/>
  <c r="AL4" i="40"/>
  <c r="AL7" i="40" s="1"/>
  <c r="AL15" i="40"/>
  <c r="AQ15" i="40" s="1"/>
  <c r="AL16" i="40"/>
  <c r="AQ16" i="40" s="1"/>
  <c r="AR16" i="40" s="1"/>
  <c r="AT16" i="40" s="1"/>
  <c r="AV16" i="40" s="1"/>
  <c r="AY16" i="40" s="1"/>
  <c r="AR14" i="40"/>
  <c r="AT14" i="40" s="1"/>
  <c r="AX17" i="40"/>
  <c r="AW17" i="40"/>
  <c r="AX16" i="40"/>
  <c r="AW16" i="40"/>
  <c r="AR17" i="40"/>
  <c r="AT17" i="40" s="1"/>
  <c r="AX15" i="40"/>
  <c r="AW15" i="40"/>
  <c r="AT12" i="40"/>
  <c r="AV12" i="40" s="1"/>
  <c r="AY12" i="40" s="1"/>
  <c r="AX13" i="40"/>
  <c r="J15" i="40"/>
  <c r="AU15" i="40" s="1"/>
  <c r="AW12" i="40"/>
  <c r="AR13" i="40"/>
  <c r="AT13" i="40" s="1"/>
  <c r="AV13" i="40" s="1"/>
  <c r="AY13" i="40" s="1"/>
  <c r="AU17" i="40"/>
  <c r="AW14" i="40"/>
  <c r="AX14" i="40"/>
  <c r="AQ2" i="40"/>
  <c r="AR2" i="40" s="1"/>
  <c r="AT2" i="40" s="1"/>
  <c r="AV2" i="40" s="1"/>
  <c r="AY2" i="40" s="1"/>
  <c r="AL3" i="40"/>
  <c r="AL6" i="40" s="1"/>
  <c r="AQ6" i="40" s="1"/>
  <c r="AR6" i="40" s="1"/>
  <c r="AT6" i="40" s="1"/>
  <c r="AV6" i="40" s="1"/>
  <c r="H7" i="40"/>
  <c r="AX7" i="40" s="1"/>
  <c r="AW2" i="40"/>
  <c r="AU3" i="40"/>
  <c r="AU4" i="40"/>
  <c r="H6" i="40"/>
  <c r="AW6" i="40" s="1"/>
  <c r="AQ5" i="40"/>
  <c r="AR5" i="40" s="1"/>
  <c r="AQ7" i="40"/>
  <c r="AR7" i="40" s="1"/>
  <c r="AT7" i="40" s="1"/>
  <c r="AX5" i="40"/>
  <c r="AW5" i="40"/>
  <c r="J5" i="40"/>
  <c r="AU5" i="40" s="1"/>
  <c r="AU7" i="40"/>
  <c r="I6" i="24"/>
  <c r="D6" i="24" s="1"/>
  <c r="E6" i="24" s="1"/>
  <c r="AU13" i="46"/>
  <c r="AV13" i="46" s="1"/>
  <c r="AY13" i="46" s="1"/>
  <c r="AU14" i="46"/>
  <c r="J14" i="46"/>
  <c r="J16" i="46"/>
  <c r="AR17" i="46"/>
  <c r="AT17" i="46" s="1"/>
  <c r="AU3" i="46"/>
  <c r="J4" i="46"/>
  <c r="AU4" i="46"/>
  <c r="AV4" i="46" s="1"/>
  <c r="AY4" i="46" s="1"/>
  <c r="J6" i="46"/>
  <c r="AW7" i="46"/>
  <c r="AX7" i="46"/>
  <c r="AR14" i="46"/>
  <c r="AT14" i="46"/>
  <c r="AX4" i="46"/>
  <c r="AW4" i="46"/>
  <c r="AR15" i="46"/>
  <c r="AT15" i="46"/>
  <c r="AR3" i="46"/>
  <c r="AT3" i="46" s="1"/>
  <c r="AR13" i="46"/>
  <c r="AT13" i="46"/>
  <c r="AW13" i="46"/>
  <c r="AX13" i="46"/>
  <c r="AR5" i="46"/>
  <c r="AT5" i="46" s="1"/>
  <c r="AV5" i="46" s="1"/>
  <c r="AY5" i="46" s="1"/>
  <c r="AT4" i="46"/>
  <c r="AX6" i="46"/>
  <c r="AW6" i="46"/>
  <c r="AT12" i="46"/>
  <c r="AV12" i="46" s="1"/>
  <c r="AY12" i="46" s="1"/>
  <c r="AX17" i="46"/>
  <c r="AW17" i="46"/>
  <c r="AX5" i="46"/>
  <c r="AW5" i="46"/>
  <c r="AY15" i="46"/>
  <c r="AX15" i="46"/>
  <c r="AW15" i="46"/>
  <c r="AR7" i="46"/>
  <c r="AT7" i="46" s="1"/>
  <c r="AX14" i="46"/>
  <c r="AW14" i="46"/>
  <c r="AR16" i="46"/>
  <c r="AT16" i="46" s="1"/>
  <c r="AV15" i="46"/>
  <c r="AX3" i="46"/>
  <c r="AW3" i="46"/>
  <c r="AR6" i="46"/>
  <c r="AT6" i="46" s="1"/>
  <c r="AT2" i="46"/>
  <c r="AV2" i="46" s="1"/>
  <c r="AY2" i="46" s="1"/>
  <c r="AW16" i="46"/>
  <c r="AR4" i="46"/>
  <c r="AR12" i="46"/>
  <c r="AW2" i="46"/>
  <c r="AR657" i="40" l="1"/>
  <c r="AT657" i="40" s="1"/>
  <c r="AU653" i="40"/>
  <c r="AU654" i="40"/>
  <c r="AR655" i="40"/>
  <c r="AT655" i="40"/>
  <c r="AX657" i="40"/>
  <c r="AW657" i="40"/>
  <c r="AX655" i="40"/>
  <c r="AW655" i="40"/>
  <c r="AT652" i="40"/>
  <c r="AR652" i="40"/>
  <c r="AW653" i="40"/>
  <c r="AX653" i="40"/>
  <c r="AR654" i="40"/>
  <c r="AT654" i="40" s="1"/>
  <c r="AR653" i="40"/>
  <c r="AT653" i="40" s="1"/>
  <c r="AU652" i="40"/>
  <c r="L652" i="40"/>
  <c r="J656" i="40"/>
  <c r="J655" i="40"/>
  <c r="AU655" i="40" s="1"/>
  <c r="AV655" i="40" s="1"/>
  <c r="AY655" i="40" s="1"/>
  <c r="AR647" i="40"/>
  <c r="AT647" i="40" s="1"/>
  <c r="AR643" i="40"/>
  <c r="AT643" i="40" s="1"/>
  <c r="AV643" i="40" s="1"/>
  <c r="AY643" i="40" s="1"/>
  <c r="AW643" i="40"/>
  <c r="AX643" i="40"/>
  <c r="AX645" i="40"/>
  <c r="AW645" i="40"/>
  <c r="AR642" i="40"/>
  <c r="AT642" i="40" s="1"/>
  <c r="AV642" i="40" s="1"/>
  <c r="AY642" i="40" s="1"/>
  <c r="AX647" i="40"/>
  <c r="AW647" i="40"/>
  <c r="AR646" i="40"/>
  <c r="AT646" i="40" s="1"/>
  <c r="AR644" i="40"/>
  <c r="AT644" i="40" s="1"/>
  <c r="AV644" i="40" s="1"/>
  <c r="AY644" i="40" s="1"/>
  <c r="AQ645" i="40"/>
  <c r="J645" i="40"/>
  <c r="AU645" i="40" s="1"/>
  <c r="J646" i="40"/>
  <c r="AV637" i="40"/>
  <c r="AY637" i="40" s="1"/>
  <c r="AU617" i="40"/>
  <c r="AU626" i="40"/>
  <c r="AV626" i="40" s="1"/>
  <c r="AY626" i="40" s="1"/>
  <c r="AU627" i="40"/>
  <c r="AV627" i="40" s="1"/>
  <c r="AY627" i="40" s="1"/>
  <c r="AV617" i="40"/>
  <c r="AY617" i="40" s="1"/>
  <c r="AV605" i="40"/>
  <c r="AY605" i="40" s="1"/>
  <c r="AV607" i="40"/>
  <c r="AY607" i="40" s="1"/>
  <c r="AU596" i="40"/>
  <c r="AV596" i="40" s="1"/>
  <c r="AY596" i="40" s="1"/>
  <c r="AU597" i="40"/>
  <c r="AV597" i="40" s="1"/>
  <c r="AY597" i="40" s="1"/>
  <c r="AV584" i="40"/>
  <c r="AY584" i="40" s="1"/>
  <c r="AR587" i="40"/>
  <c r="AT587" i="40" s="1"/>
  <c r="AR586" i="40"/>
  <c r="AT586" i="40" s="1"/>
  <c r="AU586" i="40"/>
  <c r="AU587" i="40"/>
  <c r="AV583" i="40"/>
  <c r="AY583" i="40" s="1"/>
  <c r="AV576" i="40"/>
  <c r="AY576" i="40" s="1"/>
  <c r="AV577" i="40"/>
  <c r="AY577" i="40" s="1"/>
  <c r="AV574" i="40"/>
  <c r="AY574" i="40" s="1"/>
  <c r="AU567" i="40"/>
  <c r="AV567" i="40"/>
  <c r="AY567" i="40" s="1"/>
  <c r="AR547" i="40"/>
  <c r="AT547" i="40" s="1"/>
  <c r="AR543" i="40"/>
  <c r="AT543" i="40" s="1"/>
  <c r="AU543" i="40"/>
  <c r="AU544" i="40"/>
  <c r="AW543" i="40"/>
  <c r="AX543" i="40"/>
  <c r="AY545" i="40"/>
  <c r="AX545" i="40"/>
  <c r="AW545" i="40"/>
  <c r="AT542" i="40"/>
  <c r="AR542" i="40"/>
  <c r="AX547" i="40"/>
  <c r="AW547" i="40"/>
  <c r="AR544" i="40"/>
  <c r="AT544" i="40"/>
  <c r="AR546" i="40"/>
  <c r="AT546" i="40" s="1"/>
  <c r="L542" i="40"/>
  <c r="AU542" i="40"/>
  <c r="AU546" i="40"/>
  <c r="AU547" i="40"/>
  <c r="AV534" i="40"/>
  <c r="AY534" i="40" s="1"/>
  <c r="AV537" i="40"/>
  <c r="AY537" i="40" s="1"/>
  <c r="AV517" i="40"/>
  <c r="AY517" i="40" s="1"/>
  <c r="AV527" i="40"/>
  <c r="AY527" i="40" s="1"/>
  <c r="AR505" i="40"/>
  <c r="AT505" i="40"/>
  <c r="AR507" i="40"/>
  <c r="AT507" i="40" s="1"/>
  <c r="L502" i="40"/>
  <c r="AU502" i="40"/>
  <c r="AR503" i="40"/>
  <c r="AT503" i="40" s="1"/>
  <c r="AU503" i="40"/>
  <c r="AU504" i="40"/>
  <c r="AW503" i="40"/>
  <c r="AX503" i="40"/>
  <c r="AX505" i="40"/>
  <c r="AW505" i="40"/>
  <c r="AR502" i="40"/>
  <c r="AT502" i="40" s="1"/>
  <c r="AX507" i="40"/>
  <c r="AW507" i="40"/>
  <c r="AR504" i="40"/>
  <c r="AT504" i="40"/>
  <c r="J505" i="40"/>
  <c r="AU505" i="40" s="1"/>
  <c r="AV505" i="40" s="1"/>
  <c r="AY505" i="40" s="1"/>
  <c r="J506" i="40"/>
  <c r="AX504" i="40"/>
  <c r="AW504" i="40"/>
  <c r="AV497" i="40"/>
  <c r="AY497" i="40" s="1"/>
  <c r="AV494" i="40"/>
  <c r="AY494" i="40" s="1"/>
  <c r="AV487" i="40"/>
  <c r="AY487" i="40" s="1"/>
  <c r="AV462" i="40"/>
  <c r="AY462" i="40" s="1"/>
  <c r="AV477" i="40"/>
  <c r="AY477" i="40" s="1"/>
  <c r="AU467" i="40"/>
  <c r="AV467" i="40" s="1"/>
  <c r="AY467" i="40" s="1"/>
  <c r="AU466" i="40"/>
  <c r="AV466" i="40" s="1"/>
  <c r="AY466" i="40" s="1"/>
  <c r="AV454" i="40"/>
  <c r="AY454" i="40"/>
  <c r="AW454" i="40"/>
  <c r="AR447" i="40"/>
  <c r="AT447" i="40" s="1"/>
  <c r="AV447" i="40" s="1"/>
  <c r="AY447" i="40" s="1"/>
  <c r="AR444" i="40"/>
  <c r="AT444" i="40" s="1"/>
  <c r="AR442" i="40"/>
  <c r="AT442" i="40"/>
  <c r="AX444" i="40"/>
  <c r="AW444" i="40"/>
  <c r="L442" i="40"/>
  <c r="J443" i="40" s="1"/>
  <c r="AU442" i="40"/>
  <c r="AV442" i="40" s="1"/>
  <c r="AY442" i="40" s="1"/>
  <c r="AQ445" i="40"/>
  <c r="J445" i="40"/>
  <c r="AU445" i="40" s="1"/>
  <c r="AR443" i="40"/>
  <c r="AT443" i="40" s="1"/>
  <c r="AX445" i="40"/>
  <c r="AW445" i="40"/>
  <c r="AV457" i="40"/>
  <c r="AY457" i="40" s="1"/>
  <c r="AV437" i="40"/>
  <c r="AY437" i="40" s="1"/>
  <c r="AR427" i="40"/>
  <c r="AT427" i="40" s="1"/>
  <c r="AV427" i="40" s="1"/>
  <c r="AY427" i="40" s="1"/>
  <c r="AQ425" i="40"/>
  <c r="J425" i="40"/>
  <c r="AU425" i="40" s="1"/>
  <c r="AV424" i="40"/>
  <c r="AY424" i="40" s="1"/>
  <c r="AX425" i="40"/>
  <c r="AW425" i="40"/>
  <c r="AR422" i="40"/>
  <c r="AT422" i="40"/>
  <c r="AV422" i="40" s="1"/>
  <c r="AY422" i="40" s="1"/>
  <c r="AR423" i="40"/>
  <c r="AT423" i="40" s="1"/>
  <c r="AV423" i="40" s="1"/>
  <c r="AY423" i="40" s="1"/>
  <c r="AX424" i="40"/>
  <c r="AW424" i="40"/>
  <c r="AV417" i="40"/>
  <c r="AY417" i="40" s="1"/>
  <c r="L402" i="40"/>
  <c r="J403" i="40" s="1"/>
  <c r="AU402" i="40"/>
  <c r="AV402" i="40" s="1"/>
  <c r="AY402" i="40" s="1"/>
  <c r="AQ405" i="40"/>
  <c r="J405" i="40"/>
  <c r="AU405" i="40" s="1"/>
  <c r="AX405" i="40"/>
  <c r="AW405" i="40"/>
  <c r="AR407" i="40"/>
  <c r="AT407" i="40" s="1"/>
  <c r="AV407" i="40" s="1"/>
  <c r="AY407" i="40" s="1"/>
  <c r="AV397" i="40"/>
  <c r="AY397" i="40" s="1"/>
  <c r="AV394" i="40"/>
  <c r="AY394" i="40" s="1"/>
  <c r="AV387" i="40"/>
  <c r="AY387" i="40" s="1"/>
  <c r="AV377" i="40"/>
  <c r="AY377" i="40" s="1"/>
  <c r="AV367" i="40"/>
  <c r="AY367" i="40" s="1"/>
  <c r="AV355" i="40"/>
  <c r="AY355" i="40" s="1"/>
  <c r="AV357" i="40"/>
  <c r="AY357" i="40" s="1"/>
  <c r="AV354" i="40"/>
  <c r="AY354" i="40" s="1"/>
  <c r="AR347" i="40"/>
  <c r="AT347" i="40" s="1"/>
  <c r="AV347" i="40" s="1"/>
  <c r="AY347" i="40" s="1"/>
  <c r="AR314" i="40"/>
  <c r="AT314" i="40" s="1"/>
  <c r="AV314" i="40" s="1"/>
  <c r="AY314" i="40" s="1"/>
  <c r="AX314" i="40"/>
  <c r="AW314" i="40"/>
  <c r="AV327" i="40"/>
  <c r="AY327" i="40" s="1"/>
  <c r="L312" i="40"/>
  <c r="AU312" i="40"/>
  <c r="J315" i="40"/>
  <c r="AU315" i="40" s="1"/>
  <c r="AQ315" i="40"/>
  <c r="J316" i="40"/>
  <c r="AV325" i="40"/>
  <c r="AY325" i="40" s="1"/>
  <c r="AR316" i="40"/>
  <c r="AT316" i="40" s="1"/>
  <c r="E317" i="40"/>
  <c r="H317" i="40" s="1"/>
  <c r="H315" i="40"/>
  <c r="AR312" i="40"/>
  <c r="AT312" i="40" s="1"/>
  <c r="AV305" i="40"/>
  <c r="AY305" i="40" s="1"/>
  <c r="AU306" i="40"/>
  <c r="AV306" i="40" s="1"/>
  <c r="AY306" i="40" s="1"/>
  <c r="AU307" i="40"/>
  <c r="AV307" i="40" s="1"/>
  <c r="AY307" i="40" s="1"/>
  <c r="AU297" i="40"/>
  <c r="AV297" i="40" s="1"/>
  <c r="AY297" i="40" s="1"/>
  <c r="AR283" i="40"/>
  <c r="AT283" i="40" s="1"/>
  <c r="AR287" i="40"/>
  <c r="AT287" i="40" s="1"/>
  <c r="AQ285" i="40"/>
  <c r="J286" i="40"/>
  <c r="J285" i="40"/>
  <c r="AU285" i="40" s="1"/>
  <c r="AU283" i="40"/>
  <c r="AU284" i="40"/>
  <c r="AX287" i="40"/>
  <c r="AW287" i="40"/>
  <c r="AX285" i="40"/>
  <c r="AW285" i="40"/>
  <c r="AW283" i="40"/>
  <c r="AX283" i="40"/>
  <c r="AR282" i="40"/>
  <c r="AT282" i="40" s="1"/>
  <c r="AV282" i="40" s="1"/>
  <c r="AY282" i="40" s="1"/>
  <c r="AR284" i="40"/>
  <c r="AT284" i="40" s="1"/>
  <c r="AX284" i="40"/>
  <c r="AW284" i="40"/>
  <c r="AV277" i="40"/>
  <c r="AY277" i="40" s="1"/>
  <c r="AR263" i="40"/>
  <c r="AT263" i="40" s="1"/>
  <c r="AR265" i="40"/>
  <c r="AT265" i="40"/>
  <c r="AV265" i="40" s="1"/>
  <c r="AY265" i="40" s="1"/>
  <c r="AR267" i="40"/>
  <c r="AT267" i="40" s="1"/>
  <c r="AV267" i="40" s="1"/>
  <c r="AY267" i="40" s="1"/>
  <c r="AW263" i="40"/>
  <c r="AX263" i="40"/>
  <c r="AR262" i="40"/>
  <c r="AT262" i="40" s="1"/>
  <c r="AR264" i="40"/>
  <c r="AT264" i="40" s="1"/>
  <c r="AW264" i="40"/>
  <c r="AX264" i="40"/>
  <c r="AX267" i="40"/>
  <c r="AW267" i="40"/>
  <c r="AU263" i="40"/>
  <c r="AU264" i="40"/>
  <c r="AX265" i="40"/>
  <c r="AW265" i="40"/>
  <c r="L262" i="40"/>
  <c r="AU262" i="40"/>
  <c r="AV266" i="40"/>
  <c r="AY266" i="40" s="1"/>
  <c r="AU256" i="40"/>
  <c r="AV256" i="40" s="1"/>
  <c r="AY256" i="40" s="1"/>
  <c r="AU257" i="40"/>
  <c r="AV257" i="40" s="1"/>
  <c r="AY257" i="40" s="1"/>
  <c r="AR242" i="40"/>
  <c r="AT242" i="40" s="1"/>
  <c r="AV242" i="40" s="1"/>
  <c r="AY242" i="40" s="1"/>
  <c r="AX244" i="40"/>
  <c r="AW244" i="40"/>
  <c r="AR245" i="40"/>
  <c r="AT245" i="40" s="1"/>
  <c r="AR243" i="40"/>
  <c r="AT243" i="40" s="1"/>
  <c r="AV234" i="40"/>
  <c r="AY234" i="40" s="1"/>
  <c r="AX245" i="40"/>
  <c r="AW245" i="40"/>
  <c r="J245" i="40"/>
  <c r="AU245" i="40" s="1"/>
  <c r="J246" i="40"/>
  <c r="AX247" i="40"/>
  <c r="AW247" i="40"/>
  <c r="AW243" i="40"/>
  <c r="AX243" i="40"/>
  <c r="AU237" i="40"/>
  <c r="AV237" i="40" s="1"/>
  <c r="AY237" i="40" s="1"/>
  <c r="AU236" i="40"/>
  <c r="AV236" i="40" s="1"/>
  <c r="AY236" i="40" s="1"/>
  <c r="AU243" i="40"/>
  <c r="AU244" i="40"/>
  <c r="AV244" i="40" s="1"/>
  <c r="AY244" i="40" s="1"/>
  <c r="AR247" i="40"/>
  <c r="AT247" i="40" s="1"/>
  <c r="AR227" i="40"/>
  <c r="AT227" i="40" s="1"/>
  <c r="AU223" i="40"/>
  <c r="AV223" i="40" s="1"/>
  <c r="AU224" i="40"/>
  <c r="AV224" i="40" s="1"/>
  <c r="AY224" i="40" s="1"/>
  <c r="AR225" i="40"/>
  <c r="AT225" i="40"/>
  <c r="AW223" i="40"/>
  <c r="AX223" i="40"/>
  <c r="AY223" i="40"/>
  <c r="AR226" i="40"/>
  <c r="AT226" i="40" s="1"/>
  <c r="AX227" i="40"/>
  <c r="AW227" i="40"/>
  <c r="AX225" i="40"/>
  <c r="AW225" i="40"/>
  <c r="L222" i="40"/>
  <c r="AU222" i="40"/>
  <c r="AV222" i="40" s="1"/>
  <c r="AY222" i="40" s="1"/>
  <c r="J225" i="40"/>
  <c r="AU225" i="40" s="1"/>
  <c r="AV225" i="40" s="1"/>
  <c r="AY225" i="40" s="1"/>
  <c r="J226" i="40"/>
  <c r="AV214" i="40"/>
  <c r="AY214" i="40" s="1"/>
  <c r="AV217" i="40"/>
  <c r="AY217" i="40" s="1"/>
  <c r="AT194" i="40"/>
  <c r="AU197" i="40"/>
  <c r="AV197" i="40" s="1"/>
  <c r="AY197" i="40" s="1"/>
  <c r="AU196" i="40"/>
  <c r="AV196" i="40" s="1"/>
  <c r="AY196" i="40" s="1"/>
  <c r="AR205" i="40"/>
  <c r="AT205" i="40"/>
  <c r="AR207" i="40"/>
  <c r="AT207" i="40" s="1"/>
  <c r="AX205" i="40"/>
  <c r="AW205" i="40"/>
  <c r="AV194" i="40"/>
  <c r="AY194" i="40" s="1"/>
  <c r="AR204" i="40"/>
  <c r="AT204" i="40" s="1"/>
  <c r="J206" i="40"/>
  <c r="J205" i="40"/>
  <c r="AU205" i="40" s="1"/>
  <c r="AV205" i="40" s="1"/>
  <c r="AY205" i="40" s="1"/>
  <c r="AX207" i="40"/>
  <c r="AW207" i="40"/>
  <c r="AR203" i="40"/>
  <c r="AT203" i="40" s="1"/>
  <c r="AU203" i="40"/>
  <c r="AU204" i="40"/>
  <c r="AU202" i="40"/>
  <c r="L202" i="40"/>
  <c r="AW203" i="40"/>
  <c r="AX203" i="40"/>
  <c r="AT202" i="40"/>
  <c r="AR202" i="40"/>
  <c r="AV187" i="40"/>
  <c r="AY187" i="40" s="1"/>
  <c r="AV174" i="40"/>
  <c r="AY174" i="40" s="1"/>
  <c r="AV176" i="40"/>
  <c r="AY176" i="40" s="1"/>
  <c r="AV177" i="40"/>
  <c r="AY177" i="40" s="1"/>
  <c r="AV167" i="40"/>
  <c r="AY167" i="40" s="1"/>
  <c r="AU147" i="40"/>
  <c r="AV147" i="40" s="1"/>
  <c r="AY147" i="40" s="1"/>
  <c r="AU146" i="40"/>
  <c r="AV146" i="40" s="1"/>
  <c r="AY146" i="40" s="1"/>
  <c r="AR153" i="40"/>
  <c r="AT153" i="40" s="1"/>
  <c r="AV153" i="40" s="1"/>
  <c r="AY153" i="40" s="1"/>
  <c r="AR157" i="40"/>
  <c r="AT157" i="40" s="1"/>
  <c r="AU152" i="40"/>
  <c r="L152" i="40"/>
  <c r="J156" i="40"/>
  <c r="J155" i="40"/>
  <c r="AU155" i="40" s="1"/>
  <c r="AR156" i="40"/>
  <c r="AT156" i="40" s="1"/>
  <c r="AR152" i="40"/>
  <c r="AT152" i="40" s="1"/>
  <c r="AV144" i="40"/>
  <c r="AY144" i="40" s="1"/>
  <c r="AR154" i="40"/>
  <c r="AT154" i="40" s="1"/>
  <c r="AV154" i="40" s="1"/>
  <c r="AY154" i="40" s="1"/>
  <c r="AX154" i="40"/>
  <c r="AW154" i="40"/>
  <c r="AQ155" i="40"/>
  <c r="AV145" i="40"/>
  <c r="AY145" i="40" s="1"/>
  <c r="AV137" i="40"/>
  <c r="AY137" i="40" s="1"/>
  <c r="AU127" i="40"/>
  <c r="AV127" i="40" s="1"/>
  <c r="AY127" i="40" s="1"/>
  <c r="AU126" i="40"/>
  <c r="AV126" i="40" s="1"/>
  <c r="AY126" i="40" s="1"/>
  <c r="AV114" i="40"/>
  <c r="AY114" i="40" s="1"/>
  <c r="AV113" i="40"/>
  <c r="AY113" i="40" s="1"/>
  <c r="H107" i="40"/>
  <c r="H109" i="40"/>
  <c r="AY103" i="40"/>
  <c r="AR117" i="40"/>
  <c r="AT117" i="40" s="1"/>
  <c r="AV117" i="40" s="1"/>
  <c r="AY117" i="40" s="1"/>
  <c r="AV119" i="40"/>
  <c r="AY119" i="40" s="1"/>
  <c r="AQ108" i="40"/>
  <c r="AR107" i="40"/>
  <c r="AT107" i="40" s="1"/>
  <c r="AU107" i="40"/>
  <c r="AU109" i="40"/>
  <c r="AY110" i="40"/>
  <c r="AX110" i="40"/>
  <c r="AW110" i="40"/>
  <c r="AX106" i="40"/>
  <c r="AW106" i="40"/>
  <c r="AX108" i="40"/>
  <c r="AW108" i="40"/>
  <c r="AY105" i="40"/>
  <c r="AX105" i="40"/>
  <c r="AW105" i="40"/>
  <c r="AR109" i="40"/>
  <c r="AT109" i="40"/>
  <c r="AR106" i="40"/>
  <c r="AT106" i="40" s="1"/>
  <c r="AV106" i="40" s="1"/>
  <c r="AY106" i="40" s="1"/>
  <c r="AR108" i="40"/>
  <c r="AT108" i="40" s="1"/>
  <c r="AV108" i="40" s="1"/>
  <c r="AY108" i="40" s="1"/>
  <c r="AW107" i="40"/>
  <c r="AX107" i="40"/>
  <c r="AX109" i="40"/>
  <c r="AW109" i="40"/>
  <c r="AY95" i="40"/>
  <c r="AX95" i="40"/>
  <c r="AW95" i="40"/>
  <c r="AX97" i="40"/>
  <c r="AW97" i="40"/>
  <c r="AV97" i="40"/>
  <c r="AY97" i="40" s="1"/>
  <c r="AW93" i="40"/>
  <c r="AX93" i="40"/>
  <c r="AY93" i="40"/>
  <c r="AY86" i="40"/>
  <c r="AV87" i="40"/>
  <c r="AY87" i="40" s="1"/>
  <c r="AU76" i="40"/>
  <c r="AV76" i="40" s="1"/>
  <c r="AY76" i="40" s="1"/>
  <c r="AU77" i="40"/>
  <c r="AV77" i="40" s="1"/>
  <c r="AY77" i="40" s="1"/>
  <c r="AV75" i="40"/>
  <c r="AY75" i="40" s="1"/>
  <c r="AV67" i="40"/>
  <c r="AY67" i="40" s="1"/>
  <c r="AT45" i="40"/>
  <c r="AV45" i="40" s="1"/>
  <c r="AY45" i="40" s="1"/>
  <c r="AU24" i="40"/>
  <c r="AX23" i="40"/>
  <c r="AW27" i="40"/>
  <c r="AR57" i="40"/>
  <c r="AT57" i="40" s="1"/>
  <c r="AV57" i="40" s="1"/>
  <c r="AY57" i="40" s="1"/>
  <c r="AX4" i="40"/>
  <c r="AQ4" i="40"/>
  <c r="AR4" i="40" s="1"/>
  <c r="AT4" i="40" s="1"/>
  <c r="AV44" i="40"/>
  <c r="AY44" i="40" s="1"/>
  <c r="AW57" i="40"/>
  <c r="AV14" i="40"/>
  <c r="AY14" i="40" s="1"/>
  <c r="AX46" i="40"/>
  <c r="AQ25" i="40"/>
  <c r="AR25" i="40" s="1"/>
  <c r="AT25" i="40" s="1"/>
  <c r="AU47" i="40"/>
  <c r="AY46" i="40"/>
  <c r="AX3" i="40"/>
  <c r="AT34" i="40"/>
  <c r="AV34" i="40" s="1"/>
  <c r="AY34" i="40" s="1"/>
  <c r="AV47" i="40"/>
  <c r="AY47" i="40" s="1"/>
  <c r="AV25" i="40"/>
  <c r="AY25" i="40" s="1"/>
  <c r="AV23" i="40"/>
  <c r="AY23" i="40" s="1"/>
  <c r="AX25" i="40"/>
  <c r="AW25" i="40"/>
  <c r="AV24" i="40"/>
  <c r="AY24" i="40" s="1"/>
  <c r="AY6" i="40"/>
  <c r="AR15" i="40"/>
  <c r="AT15" i="40"/>
  <c r="AV15" i="40" s="1"/>
  <c r="AY15" i="40" s="1"/>
  <c r="AV17" i="40"/>
  <c r="AY17" i="40" s="1"/>
  <c r="AQ3" i="40"/>
  <c r="AR3" i="40" s="1"/>
  <c r="AT3" i="40" s="1"/>
  <c r="AV3" i="40" s="1"/>
  <c r="AY3" i="40" s="1"/>
  <c r="AT5" i="40"/>
  <c r="AV5" i="40" s="1"/>
  <c r="AY5" i="40" s="1"/>
  <c r="AW7" i="40"/>
  <c r="AX6" i="40"/>
  <c r="AV4" i="40"/>
  <c r="AY4" i="40" s="1"/>
  <c r="AV7" i="40"/>
  <c r="AY7" i="40" s="1"/>
  <c r="AU7" i="46"/>
  <c r="AV7" i="46" s="1"/>
  <c r="AY7" i="46" s="1"/>
  <c r="J7" i="46"/>
  <c r="AU6" i="46"/>
  <c r="AV6" i="46" s="1"/>
  <c r="AY6" i="46" s="1"/>
  <c r="AV3" i="46"/>
  <c r="AY3" i="46" s="1"/>
  <c r="AU16" i="46"/>
  <c r="AV16" i="46" s="1"/>
  <c r="AY16" i="46" s="1"/>
  <c r="J17" i="46"/>
  <c r="AU17" i="46"/>
  <c r="AV17" i="46" s="1"/>
  <c r="AY17" i="46" s="1"/>
  <c r="AV14" i="46"/>
  <c r="AY14" i="46" s="1"/>
  <c r="AV652" i="40" l="1"/>
  <c r="AY652" i="40" s="1"/>
  <c r="AU656" i="40"/>
  <c r="AV656" i="40" s="1"/>
  <c r="AY656" i="40" s="1"/>
  <c r="AU657" i="40"/>
  <c r="AV657" i="40" s="1"/>
  <c r="AY657" i="40" s="1"/>
  <c r="AV654" i="40"/>
  <c r="AY654" i="40" s="1"/>
  <c r="AV653" i="40"/>
  <c r="AY653" i="40" s="1"/>
  <c r="AU646" i="40"/>
  <c r="AV646" i="40" s="1"/>
  <c r="AY646" i="40" s="1"/>
  <c r="AU647" i="40"/>
  <c r="AV647" i="40" s="1"/>
  <c r="AY647" i="40" s="1"/>
  <c r="AR645" i="40"/>
  <c r="AT645" i="40"/>
  <c r="AV645" i="40" s="1"/>
  <c r="AY645" i="40" s="1"/>
  <c r="AV587" i="40"/>
  <c r="AY587" i="40" s="1"/>
  <c r="AV586" i="40"/>
  <c r="AY586" i="40" s="1"/>
  <c r="AV546" i="40"/>
  <c r="AY546" i="40" s="1"/>
  <c r="AV542" i="40"/>
  <c r="AY542" i="40" s="1"/>
  <c r="AV544" i="40"/>
  <c r="AY544" i="40" s="1"/>
  <c r="AV543" i="40"/>
  <c r="AY543" i="40" s="1"/>
  <c r="AV547" i="40"/>
  <c r="AY547" i="40" s="1"/>
  <c r="AV503" i="40"/>
  <c r="AY503" i="40" s="1"/>
  <c r="AV502" i="40"/>
  <c r="AY502" i="40" s="1"/>
  <c r="AV504" i="40"/>
  <c r="AY504" i="40" s="1"/>
  <c r="AU506" i="40"/>
  <c r="AV506" i="40" s="1"/>
  <c r="AY506" i="40" s="1"/>
  <c r="AU507" i="40"/>
  <c r="AV507" i="40" s="1"/>
  <c r="AY507" i="40" s="1"/>
  <c r="AU443" i="40"/>
  <c r="AV443" i="40" s="1"/>
  <c r="AY443" i="40" s="1"/>
  <c r="AU444" i="40"/>
  <c r="AV444" i="40" s="1"/>
  <c r="AY444" i="40" s="1"/>
  <c r="AR445" i="40"/>
  <c r="AT445" i="40"/>
  <c r="AV445" i="40" s="1"/>
  <c r="AY445" i="40" s="1"/>
  <c r="AR425" i="40"/>
  <c r="AT425" i="40"/>
  <c r="AV425" i="40" s="1"/>
  <c r="AY425" i="40" s="1"/>
  <c r="AR405" i="40"/>
  <c r="AT405" i="40"/>
  <c r="AV405" i="40" s="1"/>
  <c r="AY405" i="40" s="1"/>
  <c r="AU403" i="40"/>
  <c r="AV403" i="40" s="1"/>
  <c r="AY403" i="40" s="1"/>
  <c r="AU404" i="40"/>
  <c r="AV404" i="40" s="1"/>
  <c r="AY404" i="40" s="1"/>
  <c r="AU317" i="40"/>
  <c r="AV317" i="40" s="1"/>
  <c r="AY317" i="40" s="1"/>
  <c r="AU316" i="40"/>
  <c r="AV316" i="40" s="1"/>
  <c r="AY316" i="40" s="1"/>
  <c r="AV312" i="40"/>
  <c r="AY312" i="40" s="1"/>
  <c r="AR315" i="40"/>
  <c r="AT315" i="40" s="1"/>
  <c r="AV315" i="40" s="1"/>
  <c r="AY315" i="40" s="1"/>
  <c r="AX315" i="40"/>
  <c r="AW315" i="40"/>
  <c r="AX317" i="40"/>
  <c r="AW317" i="40"/>
  <c r="AV283" i="40"/>
  <c r="AY283" i="40" s="1"/>
  <c r="AV284" i="40"/>
  <c r="AY284" i="40" s="1"/>
  <c r="AU286" i="40"/>
  <c r="AV286" i="40" s="1"/>
  <c r="AY286" i="40" s="1"/>
  <c r="AU287" i="40"/>
  <c r="AV287" i="40" s="1"/>
  <c r="AY287" i="40" s="1"/>
  <c r="AR285" i="40"/>
  <c r="AT285" i="40"/>
  <c r="AV285" i="40" s="1"/>
  <c r="AY285" i="40" s="1"/>
  <c r="AV263" i="40"/>
  <c r="AY263" i="40" s="1"/>
  <c r="AV264" i="40"/>
  <c r="AY264" i="40" s="1"/>
  <c r="AV262" i="40"/>
  <c r="AY262" i="40" s="1"/>
  <c r="AV243" i="40"/>
  <c r="AY243" i="40" s="1"/>
  <c r="AU246" i="40"/>
  <c r="AV246" i="40" s="1"/>
  <c r="AY246" i="40" s="1"/>
  <c r="AU247" i="40"/>
  <c r="AV247" i="40" s="1"/>
  <c r="AY247" i="40" s="1"/>
  <c r="AV245" i="40"/>
  <c r="AY245" i="40" s="1"/>
  <c r="AU226" i="40"/>
  <c r="AV226" i="40" s="1"/>
  <c r="AY226" i="40" s="1"/>
  <c r="AU227" i="40"/>
  <c r="AV227" i="40" s="1"/>
  <c r="AY227" i="40" s="1"/>
  <c r="AU206" i="40"/>
  <c r="AV206" i="40" s="1"/>
  <c r="AY206" i="40" s="1"/>
  <c r="AU207" i="40"/>
  <c r="AV207" i="40" s="1"/>
  <c r="AY207" i="40" s="1"/>
  <c r="AV202" i="40"/>
  <c r="AY202" i="40" s="1"/>
  <c r="AV204" i="40"/>
  <c r="AY204" i="40" s="1"/>
  <c r="AV203" i="40"/>
  <c r="AY203" i="40" s="1"/>
  <c r="AU156" i="40"/>
  <c r="AV156" i="40" s="1"/>
  <c r="AY156" i="40" s="1"/>
  <c r="AU157" i="40"/>
  <c r="AV157" i="40" s="1"/>
  <c r="AY157" i="40" s="1"/>
  <c r="AR155" i="40"/>
  <c r="AT155" i="40"/>
  <c r="AV155" i="40" s="1"/>
  <c r="AY155" i="40" s="1"/>
  <c r="AV152" i="40"/>
  <c r="AY152" i="40" s="1"/>
  <c r="AV109" i="40"/>
  <c r="AY109" i="40" s="1"/>
  <c r="AV107" i="40"/>
  <c r="AY107" i="40" s="1"/>
  <c r="J166" i="2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M156" i="2"/>
  <c r="AU156" i="2"/>
  <c r="I156" i="2"/>
  <c r="F156" i="2"/>
  <c r="B156" i="2"/>
  <c r="N156" i="2" s="1"/>
  <c r="AS155" i="2"/>
  <c r="AN155" i="2"/>
  <c r="AM155" i="2"/>
  <c r="AL155" i="2"/>
  <c r="O155" i="2"/>
  <c r="M155" i="2"/>
  <c r="I155" i="2"/>
  <c r="J155" i="2" s="1"/>
  <c r="AU155" i="2" s="1"/>
  <c r="F155" i="2"/>
  <c r="B155" i="2"/>
  <c r="N155" i="2" s="1"/>
  <c r="AS154" i="2"/>
  <c r="AN154" i="2"/>
  <c r="AM154" i="2"/>
  <c r="AL154" i="2"/>
  <c r="O154" i="2"/>
  <c r="M154" i="2"/>
  <c r="I154" i="2"/>
  <c r="F154" i="2"/>
  <c r="E154" i="2"/>
  <c r="E156" i="2" s="1"/>
  <c r="B154" i="2"/>
  <c r="N154" i="2" s="1"/>
  <c r="AS153" i="2"/>
  <c r="AN153" i="2"/>
  <c r="AM153" i="2"/>
  <c r="AL153" i="2"/>
  <c r="O153" i="2"/>
  <c r="N153" i="2"/>
  <c r="M153" i="2"/>
  <c r="I153" i="2"/>
  <c r="F153" i="2"/>
  <c r="E153" i="2"/>
  <c r="E155" i="2" s="1"/>
  <c r="B153" i="2"/>
  <c r="AS152" i="2"/>
  <c r="AQ152" i="2"/>
  <c r="O152" i="2"/>
  <c r="N152" i="2"/>
  <c r="M152" i="2"/>
  <c r="L152" i="2"/>
  <c r="J153" i="2" s="1"/>
  <c r="J152" i="2"/>
  <c r="AU152" i="2" s="1"/>
  <c r="H152" i="2"/>
  <c r="AJ11" i="24"/>
  <c r="AE11" i="24" s="1"/>
  <c r="AF11" i="24" s="1"/>
  <c r="U7" i="24"/>
  <c r="U6" i="24"/>
  <c r="J163" i="39"/>
  <c r="AQ154" i="2" l="1"/>
  <c r="H156" i="2"/>
  <c r="AQ153" i="2"/>
  <c r="AR153" i="2" s="1"/>
  <c r="AT153" i="2" s="1"/>
  <c r="AR152" i="2"/>
  <c r="AT152" i="2" s="1"/>
  <c r="AV152" i="2" s="1"/>
  <c r="AY152" i="2" s="1"/>
  <c r="AQ155" i="2"/>
  <c r="H154" i="2"/>
  <c r="AQ157" i="2"/>
  <c r="H155" i="2"/>
  <c r="E157" i="2"/>
  <c r="H157" i="2" s="1"/>
  <c r="AW156" i="2"/>
  <c r="AX156" i="2"/>
  <c r="AR157" i="2"/>
  <c r="AT157" i="2" s="1"/>
  <c r="AR156" i="2"/>
  <c r="AT156" i="2" s="1"/>
  <c r="AV156" i="2" s="1"/>
  <c r="AY156" i="2" s="1"/>
  <c r="AU153" i="2"/>
  <c r="AU154" i="2"/>
  <c r="AW152" i="2"/>
  <c r="AR154" i="2"/>
  <c r="AT154" i="2" s="1"/>
  <c r="AX152" i="2"/>
  <c r="AW154" i="2"/>
  <c r="AU157" i="2"/>
  <c r="H153" i="2"/>
  <c r="AX154" i="2"/>
  <c r="L28" i="8"/>
  <c r="N28" i="8" s="1"/>
  <c r="M28" i="8" s="1"/>
  <c r="U5" i="24"/>
  <c r="AO248" i="39"/>
  <c r="AP248" i="39"/>
  <c r="AO249" i="39"/>
  <c r="AP249" i="39"/>
  <c r="AO250" i="39"/>
  <c r="AP250" i="39"/>
  <c r="AO247" i="39"/>
  <c r="AP247" i="39"/>
  <c r="O1" i="40"/>
  <c r="N1" i="40"/>
  <c r="M1" i="40"/>
  <c r="AS239" i="39"/>
  <c r="AN239" i="39"/>
  <c r="AM239" i="39"/>
  <c r="AL239" i="39"/>
  <c r="O239" i="39"/>
  <c r="M239" i="39"/>
  <c r="I239" i="39"/>
  <c r="F239" i="39"/>
  <c r="H239" i="39" s="1"/>
  <c r="E239" i="39"/>
  <c r="B239" i="39"/>
  <c r="N239" i="39" s="1"/>
  <c r="AS238" i="39"/>
  <c r="AN238" i="39"/>
  <c r="AM238" i="39"/>
  <c r="AL238" i="39"/>
  <c r="O238" i="39"/>
  <c r="M238" i="39"/>
  <c r="I238" i="39"/>
  <c r="F238" i="39"/>
  <c r="E238" i="39"/>
  <c r="B238" i="39"/>
  <c r="N238" i="39" s="1"/>
  <c r="AS237" i="39"/>
  <c r="AM237" i="39"/>
  <c r="AL237" i="39"/>
  <c r="O237" i="39"/>
  <c r="M237" i="39"/>
  <c r="F237" i="39"/>
  <c r="E237" i="39"/>
  <c r="B237" i="39"/>
  <c r="N237" i="39" s="1"/>
  <c r="AS236" i="39"/>
  <c r="AN236" i="39"/>
  <c r="AN237" i="39" s="1"/>
  <c r="AM236" i="39"/>
  <c r="AL236" i="39"/>
  <c r="O236" i="39"/>
  <c r="M236" i="39"/>
  <c r="J236" i="39"/>
  <c r="AU236" i="39" s="1"/>
  <c r="I236" i="39"/>
  <c r="I237" i="39" s="1"/>
  <c r="F236" i="39"/>
  <c r="H236" i="39" s="1"/>
  <c r="AX236" i="39" s="1"/>
  <c r="B236" i="39"/>
  <c r="N236" i="39" s="1"/>
  <c r="AS235" i="39"/>
  <c r="AN235" i="39"/>
  <c r="AM235" i="39"/>
  <c r="AL235" i="39"/>
  <c r="O235" i="39"/>
  <c r="M235" i="39"/>
  <c r="I235" i="39"/>
  <c r="F235" i="39"/>
  <c r="E235" i="39"/>
  <c r="B235" i="39"/>
  <c r="N235" i="39" s="1"/>
  <c r="AS234" i="39"/>
  <c r="AN234" i="39"/>
  <c r="AM234" i="39"/>
  <c r="AL234" i="39"/>
  <c r="O234" i="39"/>
  <c r="M234" i="39"/>
  <c r="J234" i="39"/>
  <c r="J238" i="39" s="1"/>
  <c r="I234" i="39"/>
  <c r="F234" i="39"/>
  <c r="E234" i="39"/>
  <c r="B234" i="39"/>
  <c r="N234" i="39" s="1"/>
  <c r="AS233" i="39"/>
  <c r="AN233" i="39"/>
  <c r="AM233" i="39"/>
  <c r="AL233" i="39"/>
  <c r="O233" i="39"/>
  <c r="M233" i="39"/>
  <c r="J233" i="39"/>
  <c r="AU235" i="39" s="1"/>
  <c r="I233" i="39"/>
  <c r="F233" i="39"/>
  <c r="E233" i="39"/>
  <c r="B233" i="39"/>
  <c r="N233" i="39" s="1"/>
  <c r="AS232" i="39"/>
  <c r="AQ232" i="39"/>
  <c r="O232" i="39"/>
  <c r="N232" i="39"/>
  <c r="M232" i="39"/>
  <c r="J232" i="39"/>
  <c r="AU234" i="39" s="1"/>
  <c r="H232" i="39"/>
  <c r="AS227" i="39"/>
  <c r="AN227" i="39"/>
  <c r="AM227" i="39"/>
  <c r="O227" i="39"/>
  <c r="M227" i="39"/>
  <c r="I227" i="39"/>
  <c r="F227" i="39"/>
  <c r="E227" i="39"/>
  <c r="B227" i="39"/>
  <c r="N227" i="39" s="1"/>
  <c r="AS226" i="39"/>
  <c r="AN226" i="39"/>
  <c r="AM226" i="39"/>
  <c r="O226" i="39"/>
  <c r="M226" i="39"/>
  <c r="J226" i="39"/>
  <c r="AU226" i="39" s="1"/>
  <c r="I226" i="39"/>
  <c r="F226" i="39"/>
  <c r="E226" i="39"/>
  <c r="B226" i="39"/>
  <c r="N226" i="39" s="1"/>
  <c r="AS225" i="39"/>
  <c r="AN225" i="39"/>
  <c r="AM225" i="39"/>
  <c r="AL225" i="39"/>
  <c r="O225" i="39"/>
  <c r="M225" i="39"/>
  <c r="I225" i="39"/>
  <c r="F225" i="39"/>
  <c r="H225" i="39" s="1"/>
  <c r="AX225" i="39" s="1"/>
  <c r="B225" i="39"/>
  <c r="N225" i="39" s="1"/>
  <c r="AU224" i="39"/>
  <c r="AS224" i="39"/>
  <c r="AN224" i="39"/>
  <c r="AM224" i="39"/>
  <c r="AL224" i="39"/>
  <c r="AL227" i="39" s="1"/>
  <c r="O224" i="39"/>
  <c r="M224" i="39"/>
  <c r="I224" i="39"/>
  <c r="F224" i="39"/>
  <c r="E224" i="39"/>
  <c r="B224" i="39"/>
  <c r="N224" i="39" s="1"/>
  <c r="AU223" i="39"/>
  <c r="AS223" i="39"/>
  <c r="AN223" i="39"/>
  <c r="AM223" i="39"/>
  <c r="AL223" i="39"/>
  <c r="AL226" i="39" s="1"/>
  <c r="O223" i="39"/>
  <c r="M223" i="39"/>
  <c r="I223" i="39"/>
  <c r="F223" i="39"/>
  <c r="E223" i="39"/>
  <c r="B223" i="39"/>
  <c r="N223" i="39" s="1"/>
  <c r="AS222" i="39"/>
  <c r="AQ222" i="39"/>
  <c r="O222" i="39"/>
  <c r="N222" i="39"/>
  <c r="M222" i="39"/>
  <c r="J222" i="39"/>
  <c r="AU222" i="39" s="1"/>
  <c r="H222" i="39"/>
  <c r="AX222" i="39" s="1"/>
  <c r="AS217" i="39"/>
  <c r="AN217" i="39"/>
  <c r="AM217" i="39"/>
  <c r="O217" i="39"/>
  <c r="M217" i="39"/>
  <c r="I217" i="39"/>
  <c r="F217" i="39"/>
  <c r="E217" i="39"/>
  <c r="B217" i="39"/>
  <c r="N217" i="39" s="1"/>
  <c r="AS216" i="39"/>
  <c r="AN216" i="39"/>
  <c r="AM216" i="39"/>
  <c r="O216" i="39"/>
  <c r="M216" i="39"/>
  <c r="J216" i="39"/>
  <c r="AU217" i="39" s="1"/>
  <c r="I216" i="39"/>
  <c r="F216" i="39"/>
  <c r="E216" i="39"/>
  <c r="B216" i="39"/>
  <c r="N216" i="39" s="1"/>
  <c r="AS215" i="39"/>
  <c r="AN215" i="39"/>
  <c r="AM215" i="39"/>
  <c r="AL215" i="39"/>
  <c r="O215" i="39"/>
  <c r="M215" i="39"/>
  <c r="J215" i="39"/>
  <c r="AU215" i="39" s="1"/>
  <c r="I215" i="39"/>
  <c r="F215" i="39"/>
  <c r="H215" i="39" s="1"/>
  <c r="AX215" i="39" s="1"/>
  <c r="B215" i="39"/>
  <c r="N215" i="39" s="1"/>
  <c r="AU214" i="39"/>
  <c r="AS214" i="39"/>
  <c r="AN214" i="39"/>
  <c r="AM214" i="39"/>
  <c r="AL214" i="39"/>
  <c r="AL217" i="39" s="1"/>
  <c r="O214" i="39"/>
  <c r="M214" i="39"/>
  <c r="I214" i="39"/>
  <c r="F214" i="39"/>
  <c r="E214" i="39"/>
  <c r="B214" i="39"/>
  <c r="N214" i="39" s="1"/>
  <c r="AU213" i="39"/>
  <c r="AS213" i="39"/>
  <c r="AN213" i="39"/>
  <c r="AM213" i="39"/>
  <c r="AL213" i="39"/>
  <c r="AL216" i="39" s="1"/>
  <c r="O213" i="39"/>
  <c r="M213" i="39"/>
  <c r="I213" i="39"/>
  <c r="F213" i="39"/>
  <c r="E213" i="39"/>
  <c r="B213" i="39"/>
  <c r="N213" i="39" s="1"/>
  <c r="AX212" i="39"/>
  <c r="AS212" i="39"/>
  <c r="AQ212" i="39"/>
  <c r="AR212" i="39" s="1"/>
  <c r="O212" i="39"/>
  <c r="N212" i="39"/>
  <c r="M212" i="39"/>
  <c r="J212" i="39"/>
  <c r="AU212" i="39" s="1"/>
  <c r="H212" i="39"/>
  <c r="AS207" i="39"/>
  <c r="AN207" i="39"/>
  <c r="AM207" i="39"/>
  <c r="O207" i="39"/>
  <c r="M207" i="39"/>
  <c r="I207" i="39"/>
  <c r="F207" i="39"/>
  <c r="E207" i="39"/>
  <c r="B207" i="39"/>
  <c r="N207" i="39" s="1"/>
  <c r="AS206" i="39"/>
  <c r="AN206" i="39"/>
  <c r="AM206" i="39"/>
  <c r="O206" i="39"/>
  <c r="M206" i="39"/>
  <c r="J206" i="39"/>
  <c r="I206" i="39"/>
  <c r="F206" i="39"/>
  <c r="E206" i="39"/>
  <c r="B206" i="39"/>
  <c r="N206" i="39" s="1"/>
  <c r="AS205" i="39"/>
  <c r="AN205" i="39"/>
  <c r="AM205" i="39"/>
  <c r="AL205" i="39"/>
  <c r="O205" i="39"/>
  <c r="M205" i="39"/>
  <c r="I205" i="39"/>
  <c r="J205" i="39" s="1"/>
  <c r="AU205" i="39" s="1"/>
  <c r="F205" i="39"/>
  <c r="H205" i="39" s="1"/>
  <c r="AX205" i="39" s="1"/>
  <c r="B205" i="39"/>
  <c r="N205" i="39" s="1"/>
  <c r="AU204" i="39"/>
  <c r="AS204" i="39"/>
  <c r="AN204" i="39"/>
  <c r="AM204" i="39"/>
  <c r="AL204" i="39"/>
  <c r="AL207" i="39" s="1"/>
  <c r="O204" i="39"/>
  <c r="M204" i="39"/>
  <c r="I204" i="39"/>
  <c r="F204" i="39"/>
  <c r="E204" i="39"/>
  <c r="B204" i="39"/>
  <c r="N204" i="39" s="1"/>
  <c r="AU203" i="39"/>
  <c r="AS203" i="39"/>
  <c r="AN203" i="39"/>
  <c r="AM203" i="39"/>
  <c r="AL203" i="39"/>
  <c r="O203" i="39"/>
  <c r="M203" i="39"/>
  <c r="I203" i="39"/>
  <c r="F203" i="39"/>
  <c r="E203" i="39"/>
  <c r="B203" i="39"/>
  <c r="N203" i="39" s="1"/>
  <c r="AS202" i="39"/>
  <c r="AQ202" i="39"/>
  <c r="AR202" i="39" s="1"/>
  <c r="O202" i="39"/>
  <c r="N202" i="39"/>
  <c r="M202" i="39"/>
  <c r="J202" i="39"/>
  <c r="AU202" i="39" s="1"/>
  <c r="H202" i="39"/>
  <c r="AX202" i="39" s="1"/>
  <c r="AS197" i="39"/>
  <c r="AN197" i="39"/>
  <c r="AM197" i="39"/>
  <c r="O197" i="39"/>
  <c r="M197" i="39"/>
  <c r="I197" i="39"/>
  <c r="F197" i="39"/>
  <c r="E197" i="39"/>
  <c r="H197" i="39" s="1"/>
  <c r="B197" i="39"/>
  <c r="N197" i="39" s="1"/>
  <c r="AS196" i="39"/>
  <c r="AN196" i="39"/>
  <c r="AM196" i="39"/>
  <c r="O196" i="39"/>
  <c r="M196" i="39"/>
  <c r="J196" i="39"/>
  <c r="I196" i="39"/>
  <c r="F196" i="39"/>
  <c r="H196" i="39" s="1"/>
  <c r="AX196" i="39" s="1"/>
  <c r="E196" i="39"/>
  <c r="B196" i="39"/>
  <c r="N196" i="39" s="1"/>
  <c r="AS195" i="39"/>
  <c r="AN195" i="39"/>
  <c r="AM195" i="39"/>
  <c r="AL195" i="39"/>
  <c r="O195" i="39"/>
  <c r="M195" i="39"/>
  <c r="I195" i="39"/>
  <c r="J195" i="39" s="1"/>
  <c r="AU195" i="39" s="1"/>
  <c r="F195" i="39"/>
  <c r="H195" i="39" s="1"/>
  <c r="B195" i="39"/>
  <c r="N195" i="39" s="1"/>
  <c r="AU194" i="39"/>
  <c r="AS194" i="39"/>
  <c r="AN194" i="39"/>
  <c r="AM194" i="39"/>
  <c r="AL194" i="39"/>
  <c r="AL197" i="39" s="1"/>
  <c r="O194" i="39"/>
  <c r="M194" i="39"/>
  <c r="I194" i="39"/>
  <c r="F194" i="39"/>
  <c r="E194" i="39"/>
  <c r="B194" i="39"/>
  <c r="N194" i="39" s="1"/>
  <c r="AU193" i="39"/>
  <c r="AS193" i="39"/>
  <c r="AN193" i="39"/>
  <c r="AM193" i="39"/>
  <c r="AQ193" i="39" s="1"/>
  <c r="AL193" i="39"/>
  <c r="AL196" i="39" s="1"/>
  <c r="O193" i="39"/>
  <c r="M193" i="39"/>
  <c r="I193" i="39"/>
  <c r="F193" i="39"/>
  <c r="E193" i="39"/>
  <c r="H193" i="39" s="1"/>
  <c r="AX193" i="39" s="1"/>
  <c r="B193" i="39"/>
  <c r="N193" i="39" s="1"/>
  <c r="AS192" i="39"/>
  <c r="AQ192" i="39"/>
  <c r="AR192" i="39" s="1"/>
  <c r="AT192" i="39" s="1"/>
  <c r="O192" i="39"/>
  <c r="N192" i="39"/>
  <c r="M192" i="39"/>
  <c r="J192" i="39"/>
  <c r="AU192" i="39" s="1"/>
  <c r="H192" i="39"/>
  <c r="AX192" i="39" s="1"/>
  <c r="AS187" i="39"/>
  <c r="AN187" i="39"/>
  <c r="AM187" i="39"/>
  <c r="O187" i="39"/>
  <c r="M187" i="39"/>
  <c r="I187" i="39"/>
  <c r="F187" i="39"/>
  <c r="E187" i="39"/>
  <c r="B187" i="39"/>
  <c r="N187" i="39" s="1"/>
  <c r="AS186" i="39"/>
  <c r="AN186" i="39"/>
  <c r="AM186" i="39"/>
  <c r="O186" i="39"/>
  <c r="M186" i="39"/>
  <c r="J186" i="39"/>
  <c r="AU186" i="39" s="1"/>
  <c r="I186" i="39"/>
  <c r="F186" i="39"/>
  <c r="E186" i="39"/>
  <c r="H186" i="39" s="1"/>
  <c r="B186" i="39"/>
  <c r="N186" i="39" s="1"/>
  <c r="AS185" i="39"/>
  <c r="AN185" i="39"/>
  <c r="AM185" i="39"/>
  <c r="AL185" i="39"/>
  <c r="O185" i="39"/>
  <c r="M185" i="39"/>
  <c r="I185" i="39"/>
  <c r="J185" i="39" s="1"/>
  <c r="AU185" i="39" s="1"/>
  <c r="F185" i="39"/>
  <c r="H185" i="39" s="1"/>
  <c r="B185" i="39"/>
  <c r="N185" i="39" s="1"/>
  <c r="AU184" i="39"/>
  <c r="AS184" i="39"/>
  <c r="AN184" i="39"/>
  <c r="AM184" i="39"/>
  <c r="AL184" i="39"/>
  <c r="AL187" i="39" s="1"/>
  <c r="O184" i="39"/>
  <c r="M184" i="39"/>
  <c r="I184" i="39"/>
  <c r="F184" i="39"/>
  <c r="E184" i="39"/>
  <c r="H184" i="39" s="1"/>
  <c r="AW184" i="39" s="1"/>
  <c r="B184" i="39"/>
  <c r="N184" i="39" s="1"/>
  <c r="AU183" i="39"/>
  <c r="AS183" i="39"/>
  <c r="AN183" i="39"/>
  <c r="AM183" i="39"/>
  <c r="AL183" i="39"/>
  <c r="AL186" i="39" s="1"/>
  <c r="O183" i="39"/>
  <c r="M183" i="39"/>
  <c r="I183" i="39"/>
  <c r="F183" i="39"/>
  <c r="E183" i="39"/>
  <c r="B183" i="39"/>
  <c r="N183" i="39" s="1"/>
  <c r="AS182" i="39"/>
  <c r="AQ182" i="39"/>
  <c r="AR182" i="39" s="1"/>
  <c r="O182" i="39"/>
  <c r="N182" i="39"/>
  <c r="M182" i="39"/>
  <c r="J182" i="39"/>
  <c r="AU182" i="39" s="1"/>
  <c r="H182" i="39"/>
  <c r="AX182" i="39" s="1"/>
  <c r="AS177" i="39"/>
  <c r="AN177" i="39"/>
  <c r="AM177" i="39"/>
  <c r="O177" i="39"/>
  <c r="M177" i="39"/>
  <c r="I177" i="39"/>
  <c r="F177" i="39"/>
  <c r="E177" i="39"/>
  <c r="B177" i="39"/>
  <c r="N177" i="39" s="1"/>
  <c r="AS176" i="39"/>
  <c r="AN176" i="39"/>
  <c r="AM176" i="39"/>
  <c r="O176" i="39"/>
  <c r="M176" i="39"/>
  <c r="J176" i="39"/>
  <c r="AU176" i="39" s="1"/>
  <c r="I176" i="39"/>
  <c r="F176" i="39"/>
  <c r="E176" i="39"/>
  <c r="B176" i="39"/>
  <c r="N176" i="39" s="1"/>
  <c r="AS175" i="39"/>
  <c r="AN175" i="39"/>
  <c r="AM175" i="39"/>
  <c r="AL175" i="39"/>
  <c r="O175" i="39"/>
  <c r="M175" i="39"/>
  <c r="I175" i="39"/>
  <c r="J175" i="39" s="1"/>
  <c r="AU175" i="39" s="1"/>
  <c r="F175" i="39"/>
  <c r="H175" i="39" s="1"/>
  <c r="B175" i="39"/>
  <c r="N175" i="39" s="1"/>
  <c r="AU174" i="39"/>
  <c r="AS174" i="39"/>
  <c r="AN174" i="39"/>
  <c r="AM174" i="39"/>
  <c r="AL174" i="39"/>
  <c r="AL177" i="39" s="1"/>
  <c r="O174" i="39"/>
  <c r="M174" i="39"/>
  <c r="I174" i="39"/>
  <c r="F174" i="39"/>
  <c r="E174" i="39"/>
  <c r="B174" i="39"/>
  <c r="N174" i="39" s="1"/>
  <c r="AU173" i="39"/>
  <c r="AS173" i="39"/>
  <c r="AN173" i="39"/>
  <c r="AM173" i="39"/>
  <c r="AL173" i="39"/>
  <c r="AL176" i="39" s="1"/>
  <c r="O173" i="39"/>
  <c r="M173" i="39"/>
  <c r="I173" i="39"/>
  <c r="F173" i="39"/>
  <c r="E173" i="39"/>
  <c r="B173" i="39"/>
  <c r="N173" i="39" s="1"/>
  <c r="AS172" i="39"/>
  <c r="AR172" i="39"/>
  <c r="AT172" i="39" s="1"/>
  <c r="AQ172" i="39"/>
  <c r="O172" i="39"/>
  <c r="N172" i="39"/>
  <c r="M172" i="39"/>
  <c r="J172" i="39"/>
  <c r="AU172" i="39" s="1"/>
  <c r="H172" i="39"/>
  <c r="AS169" i="39"/>
  <c r="AN169" i="39"/>
  <c r="AM169" i="39"/>
  <c r="AL169" i="39"/>
  <c r="O169" i="39"/>
  <c r="M169" i="39"/>
  <c r="I169" i="39"/>
  <c r="F169" i="39"/>
  <c r="E169" i="39"/>
  <c r="B169" i="39"/>
  <c r="N169" i="39" s="1"/>
  <c r="AS168" i="39"/>
  <c r="AN168" i="39"/>
  <c r="AM168" i="39"/>
  <c r="AL168" i="39"/>
  <c r="O168" i="39"/>
  <c r="M168" i="39"/>
  <c r="I168" i="39"/>
  <c r="F168" i="39"/>
  <c r="E168" i="39"/>
  <c r="B168" i="39"/>
  <c r="N168" i="39" s="1"/>
  <c r="AS167" i="39"/>
  <c r="AM167" i="39"/>
  <c r="AL167" i="39"/>
  <c r="O167" i="39"/>
  <c r="M167" i="39"/>
  <c r="F167" i="39"/>
  <c r="E167" i="39"/>
  <c r="B167" i="39"/>
  <c r="N167" i="39" s="1"/>
  <c r="AS166" i="39"/>
  <c r="AN166" i="39"/>
  <c r="AN167" i="39" s="1"/>
  <c r="AM166" i="39"/>
  <c r="AL166" i="39"/>
  <c r="O166" i="39"/>
  <c r="N166" i="39"/>
  <c r="M166" i="39"/>
  <c r="I166" i="39"/>
  <c r="I167" i="39" s="1"/>
  <c r="F166" i="39"/>
  <c r="H166" i="39" s="1"/>
  <c r="AX166" i="39" s="1"/>
  <c r="B166" i="39"/>
  <c r="AS165" i="39"/>
  <c r="AN165" i="39"/>
  <c r="AM165" i="39"/>
  <c r="AL165" i="39"/>
  <c r="O165" i="39"/>
  <c r="M165" i="39"/>
  <c r="I165" i="39"/>
  <c r="F165" i="39"/>
  <c r="E165" i="39"/>
  <c r="B165" i="39"/>
  <c r="N165" i="39" s="1"/>
  <c r="AS164" i="39"/>
  <c r="AN164" i="39"/>
  <c r="AM164" i="39"/>
  <c r="AL164" i="39"/>
  <c r="O164" i="39"/>
  <c r="M164" i="39"/>
  <c r="J164" i="39"/>
  <c r="J168" i="39" s="1"/>
  <c r="I164" i="39"/>
  <c r="F164" i="39"/>
  <c r="E164" i="39"/>
  <c r="B164" i="39"/>
  <c r="N164" i="39" s="1"/>
  <c r="AS163" i="39"/>
  <c r="AN163" i="39"/>
  <c r="AM163" i="39"/>
  <c r="AL163" i="39"/>
  <c r="O163" i="39"/>
  <c r="M163" i="39"/>
  <c r="I163" i="39"/>
  <c r="F163" i="39"/>
  <c r="E163" i="39"/>
  <c r="B163" i="39"/>
  <c r="N163" i="39" s="1"/>
  <c r="AS162" i="39"/>
  <c r="AQ162" i="39"/>
  <c r="AR162" i="39" s="1"/>
  <c r="O162" i="39"/>
  <c r="N162" i="39"/>
  <c r="M162" i="39"/>
  <c r="J162" i="39"/>
  <c r="H162" i="39"/>
  <c r="AS157" i="39"/>
  <c r="AN157" i="39"/>
  <c r="AM157" i="39"/>
  <c r="AL157" i="39"/>
  <c r="O157" i="39"/>
  <c r="N157" i="39"/>
  <c r="M157" i="39"/>
  <c r="I157" i="39"/>
  <c r="F157" i="39"/>
  <c r="E157" i="39"/>
  <c r="B157" i="39"/>
  <c r="AS156" i="39"/>
  <c r="AN156" i="39"/>
  <c r="AM156" i="39"/>
  <c r="AL156" i="39"/>
  <c r="O156" i="39"/>
  <c r="M156" i="39"/>
  <c r="I156" i="39"/>
  <c r="F156" i="39"/>
  <c r="E156" i="39"/>
  <c r="B156" i="39"/>
  <c r="N156" i="39" s="1"/>
  <c r="AS155" i="39"/>
  <c r="AN155" i="39"/>
  <c r="AM155" i="39"/>
  <c r="AL155" i="39"/>
  <c r="O155" i="39"/>
  <c r="M155" i="39"/>
  <c r="I155" i="39"/>
  <c r="F155" i="39"/>
  <c r="H155" i="39" s="1"/>
  <c r="B155" i="39"/>
  <c r="N155" i="39" s="1"/>
  <c r="AS154" i="39"/>
  <c r="AN154" i="39"/>
  <c r="AM154" i="39"/>
  <c r="AL154" i="39"/>
  <c r="O154" i="39"/>
  <c r="M154" i="39"/>
  <c r="I154" i="39"/>
  <c r="F154" i="39"/>
  <c r="E154" i="39"/>
  <c r="H154" i="39" s="1"/>
  <c r="B154" i="39"/>
  <c r="N154" i="39" s="1"/>
  <c r="AS153" i="39"/>
  <c r="AN153" i="39"/>
  <c r="AM153" i="39"/>
  <c r="AL153" i="39"/>
  <c r="O153" i="39"/>
  <c r="M153" i="39"/>
  <c r="J153" i="39"/>
  <c r="AU153" i="39" s="1"/>
  <c r="I153" i="39"/>
  <c r="AQ153" i="39" s="1"/>
  <c r="AR153" i="39" s="1"/>
  <c r="F153" i="39"/>
  <c r="E153" i="39"/>
  <c r="H153" i="39" s="1"/>
  <c r="AW153" i="39" s="1"/>
  <c r="B153" i="39"/>
  <c r="N153" i="39" s="1"/>
  <c r="AS152" i="39"/>
  <c r="AQ152" i="39"/>
  <c r="AR152" i="39" s="1"/>
  <c r="O152" i="39"/>
  <c r="N152" i="39"/>
  <c r="M152" i="39"/>
  <c r="J152" i="39"/>
  <c r="AU152" i="39" s="1"/>
  <c r="H152" i="39"/>
  <c r="AX152" i="39" s="1"/>
  <c r="AS147" i="39"/>
  <c r="AN147" i="39"/>
  <c r="AM147" i="39"/>
  <c r="AL147" i="39"/>
  <c r="O147" i="39"/>
  <c r="M147" i="39"/>
  <c r="I147" i="39"/>
  <c r="F147" i="39"/>
  <c r="E147" i="39"/>
  <c r="B147" i="39"/>
  <c r="N147" i="39" s="1"/>
  <c r="AS146" i="39"/>
  <c r="AN146" i="39"/>
  <c r="AM146" i="39"/>
  <c r="AL146" i="39"/>
  <c r="O146" i="39"/>
  <c r="M146" i="39"/>
  <c r="I146" i="39"/>
  <c r="F146" i="39"/>
  <c r="E146" i="39"/>
  <c r="B146" i="39"/>
  <c r="N146" i="39" s="1"/>
  <c r="AS145" i="39"/>
  <c r="AN145" i="39"/>
  <c r="AM145" i="39"/>
  <c r="AL145" i="39"/>
  <c r="O145" i="39"/>
  <c r="M145" i="39"/>
  <c r="I145" i="39"/>
  <c r="H145" i="39"/>
  <c r="AW145" i="39" s="1"/>
  <c r="F145" i="39"/>
  <c r="B145" i="39"/>
  <c r="N145" i="39" s="1"/>
  <c r="AU144" i="39"/>
  <c r="AS144" i="39"/>
  <c r="AN144" i="39"/>
  <c r="AM144" i="39"/>
  <c r="AL144" i="39"/>
  <c r="O144" i="39"/>
  <c r="M144" i="39"/>
  <c r="I144" i="39"/>
  <c r="F144" i="39"/>
  <c r="E144" i="39"/>
  <c r="B144" i="39"/>
  <c r="N144" i="39" s="1"/>
  <c r="AU143" i="39"/>
  <c r="AS143" i="39"/>
  <c r="AN143" i="39"/>
  <c r="AM143" i="39"/>
  <c r="AL143" i="39"/>
  <c r="O143" i="39"/>
  <c r="M143" i="39"/>
  <c r="J143" i="39"/>
  <c r="I143" i="39"/>
  <c r="F143" i="39"/>
  <c r="E143" i="39"/>
  <c r="H143" i="39" s="1"/>
  <c r="AW143" i="39" s="1"/>
  <c r="B143" i="39"/>
  <c r="N143" i="39" s="1"/>
  <c r="AX142" i="39"/>
  <c r="AS142" i="39"/>
  <c r="AQ142" i="39"/>
  <c r="O142" i="39"/>
  <c r="N142" i="39"/>
  <c r="M142" i="39"/>
  <c r="J142" i="39"/>
  <c r="AU142" i="39" s="1"/>
  <c r="H142" i="39"/>
  <c r="AW142" i="39" s="1"/>
  <c r="AS137" i="39"/>
  <c r="AN137" i="39"/>
  <c r="AM137" i="39"/>
  <c r="O137" i="39"/>
  <c r="N137" i="39"/>
  <c r="M137" i="39"/>
  <c r="I137" i="39"/>
  <c r="F137" i="39"/>
  <c r="E137" i="39"/>
  <c r="B137" i="39"/>
  <c r="AS136" i="39"/>
  <c r="AN136" i="39"/>
  <c r="AM136" i="39"/>
  <c r="O136" i="39"/>
  <c r="N136" i="39"/>
  <c r="M136" i="39"/>
  <c r="J136" i="39"/>
  <c r="I136" i="39"/>
  <c r="F136" i="39"/>
  <c r="E136" i="39"/>
  <c r="B136" i="39"/>
  <c r="AS135" i="39"/>
  <c r="AN135" i="39"/>
  <c r="AM135" i="39"/>
  <c r="AL135" i="39"/>
  <c r="O135" i="39"/>
  <c r="N135" i="39"/>
  <c r="M135" i="39"/>
  <c r="I135" i="39"/>
  <c r="J135" i="39" s="1"/>
  <c r="AU135" i="39" s="1"/>
  <c r="F135" i="39"/>
  <c r="H135" i="39" s="1"/>
  <c r="B135" i="39"/>
  <c r="AU134" i="39"/>
  <c r="AS134" i="39"/>
  <c r="AN134" i="39"/>
  <c r="AM134" i="39"/>
  <c r="AL134" i="39"/>
  <c r="AL137" i="39" s="1"/>
  <c r="O134" i="39"/>
  <c r="N134" i="39"/>
  <c r="M134" i="39"/>
  <c r="I134" i="39"/>
  <c r="F134" i="39"/>
  <c r="E134" i="39"/>
  <c r="B134" i="39"/>
  <c r="AU133" i="39"/>
  <c r="AS133" i="39"/>
  <c r="AN133" i="39"/>
  <c r="AM133" i="39"/>
  <c r="AL133" i="39"/>
  <c r="AL136" i="39" s="1"/>
  <c r="O133" i="39"/>
  <c r="M133" i="39"/>
  <c r="I133" i="39"/>
  <c r="F133" i="39"/>
  <c r="E133" i="39"/>
  <c r="B133" i="39"/>
  <c r="N133" i="39" s="1"/>
  <c r="AS132" i="39"/>
  <c r="AQ132" i="39"/>
  <c r="AR132" i="39" s="1"/>
  <c r="O132" i="39"/>
  <c r="N132" i="39"/>
  <c r="M132" i="39"/>
  <c r="J132" i="39"/>
  <c r="AU132" i="39" s="1"/>
  <c r="H132" i="39"/>
  <c r="AX132" i="39" s="1"/>
  <c r="AS127" i="39"/>
  <c r="AN127" i="39"/>
  <c r="AM127" i="39"/>
  <c r="O127" i="39"/>
  <c r="M127" i="39"/>
  <c r="I127" i="39"/>
  <c r="H127" i="39"/>
  <c r="F127" i="39"/>
  <c r="E127" i="39"/>
  <c r="B127" i="39"/>
  <c r="N127" i="39" s="1"/>
  <c r="AS126" i="39"/>
  <c r="AN126" i="39"/>
  <c r="AM126" i="39"/>
  <c r="O126" i="39"/>
  <c r="M126" i="39"/>
  <c r="J126" i="39"/>
  <c r="AU127" i="39" s="1"/>
  <c r="I126" i="39"/>
  <c r="F126" i="39"/>
  <c r="E126" i="39"/>
  <c r="B126" i="39"/>
  <c r="N126" i="39" s="1"/>
  <c r="AS125" i="39"/>
  <c r="AN125" i="39"/>
  <c r="AM125" i="39"/>
  <c r="AL125" i="39"/>
  <c r="O125" i="39"/>
  <c r="M125" i="39"/>
  <c r="I125" i="39"/>
  <c r="J125" i="39" s="1"/>
  <c r="AU125" i="39" s="1"/>
  <c r="F125" i="39"/>
  <c r="H125" i="39" s="1"/>
  <c r="AX125" i="39" s="1"/>
  <c r="B125" i="39"/>
  <c r="N125" i="39" s="1"/>
  <c r="AU124" i="39"/>
  <c r="AS124" i="39"/>
  <c r="AN124" i="39"/>
  <c r="AM124" i="39"/>
  <c r="AL124" i="39"/>
  <c r="AL127" i="39" s="1"/>
  <c r="O124" i="39"/>
  <c r="M124" i="39"/>
  <c r="I124" i="39"/>
  <c r="F124" i="39"/>
  <c r="E124" i="39"/>
  <c r="B124" i="39"/>
  <c r="N124" i="39" s="1"/>
  <c r="AU123" i="39"/>
  <c r="AS123" i="39"/>
  <c r="AN123" i="39"/>
  <c r="AM123" i="39"/>
  <c r="AL123" i="39"/>
  <c r="AL126" i="39" s="1"/>
  <c r="O123" i="39"/>
  <c r="M123" i="39"/>
  <c r="I123" i="39"/>
  <c r="F123" i="39"/>
  <c r="E123" i="39"/>
  <c r="B123" i="39"/>
  <c r="N123" i="39" s="1"/>
  <c r="AU122" i="39"/>
  <c r="AS122" i="39"/>
  <c r="AQ122" i="39"/>
  <c r="AR122" i="39" s="1"/>
  <c r="AT122" i="39" s="1"/>
  <c r="O122" i="39"/>
  <c r="N122" i="39"/>
  <c r="M122" i="39"/>
  <c r="J122" i="39"/>
  <c r="H122" i="39"/>
  <c r="AX122" i="39" s="1"/>
  <c r="AS120" i="39"/>
  <c r="AM120" i="39"/>
  <c r="AL120" i="39"/>
  <c r="M120" i="39"/>
  <c r="I120" i="39"/>
  <c r="J120" i="39" s="1"/>
  <c r="AU120" i="39" s="1"/>
  <c r="B120" i="39"/>
  <c r="AS119" i="39"/>
  <c r="AN119" i="39"/>
  <c r="AM119" i="39"/>
  <c r="O119" i="39"/>
  <c r="M119" i="39"/>
  <c r="B119" i="39"/>
  <c r="N119" i="39" s="1"/>
  <c r="AS118" i="39"/>
  <c r="AN118" i="39"/>
  <c r="AM118" i="39"/>
  <c r="O118" i="39"/>
  <c r="M118" i="39"/>
  <c r="B118" i="39"/>
  <c r="N118" i="39" s="1"/>
  <c r="AS117" i="39"/>
  <c r="AM117" i="39"/>
  <c r="O117" i="39"/>
  <c r="M117" i="39"/>
  <c r="B117" i="39"/>
  <c r="N117" i="39" s="1"/>
  <c r="AU116" i="39"/>
  <c r="AS116" i="39"/>
  <c r="AN116" i="39"/>
  <c r="AN117" i="39" s="1"/>
  <c r="AM116" i="39"/>
  <c r="O116" i="39"/>
  <c r="M116" i="39"/>
  <c r="I116" i="39"/>
  <c r="E116" i="39"/>
  <c r="E117" i="39" s="1"/>
  <c r="B116" i="39"/>
  <c r="N116" i="39" s="1"/>
  <c r="AS115" i="39"/>
  <c r="AN115" i="39"/>
  <c r="AL115" i="39"/>
  <c r="AL118" i="39" s="1"/>
  <c r="O115" i="39"/>
  <c r="M115" i="39"/>
  <c r="I115" i="39"/>
  <c r="I118" i="39" s="1"/>
  <c r="J118" i="39" s="1"/>
  <c r="AU118" i="39" s="1"/>
  <c r="B115" i="39"/>
  <c r="N115" i="39" s="1"/>
  <c r="AS114" i="39"/>
  <c r="AN114" i="39"/>
  <c r="AM114" i="39"/>
  <c r="AL114" i="39"/>
  <c r="AL117" i="39" s="1"/>
  <c r="O114" i="39"/>
  <c r="M114" i="39"/>
  <c r="I114" i="39"/>
  <c r="E114" i="39"/>
  <c r="B114" i="39"/>
  <c r="N114" i="39" s="1"/>
  <c r="AU113" i="39"/>
  <c r="AS113" i="39"/>
  <c r="AN113" i="39"/>
  <c r="AM113" i="39"/>
  <c r="AL113" i="39"/>
  <c r="AL116" i="39" s="1"/>
  <c r="AL119" i="39" s="1"/>
  <c r="O113" i="39"/>
  <c r="M113" i="39"/>
  <c r="I113" i="39"/>
  <c r="F113" i="39"/>
  <c r="F114" i="39" s="1"/>
  <c r="F115" i="39" s="1"/>
  <c r="E113" i="39"/>
  <c r="B113" i="39"/>
  <c r="N113" i="39" s="1"/>
  <c r="AU112" i="39"/>
  <c r="AS112" i="39"/>
  <c r="AQ112" i="39"/>
  <c r="AR112" i="39" s="1"/>
  <c r="O112" i="39"/>
  <c r="N112" i="39"/>
  <c r="M112" i="39"/>
  <c r="J112" i="39"/>
  <c r="AU114" i="39" s="1"/>
  <c r="H112" i="39"/>
  <c r="AS110" i="39"/>
  <c r="AM110" i="39"/>
  <c r="AL110" i="39"/>
  <c r="M110" i="39"/>
  <c r="J110" i="39"/>
  <c r="AU110" i="39" s="1"/>
  <c r="I110" i="39"/>
  <c r="B110" i="39"/>
  <c r="AS109" i="39"/>
  <c r="AN109" i="39"/>
  <c r="AM109" i="39"/>
  <c r="O109" i="39"/>
  <c r="M109" i="39"/>
  <c r="B109" i="39"/>
  <c r="N109" i="39" s="1"/>
  <c r="AS108" i="39"/>
  <c r="AN108" i="39"/>
  <c r="AM108" i="39"/>
  <c r="O108" i="39"/>
  <c r="M108" i="39"/>
  <c r="B108" i="39"/>
  <c r="N108" i="39" s="1"/>
  <c r="AS107" i="39"/>
  <c r="AM107" i="39"/>
  <c r="O107" i="39"/>
  <c r="M107" i="39"/>
  <c r="B107" i="39"/>
  <c r="N107" i="39" s="1"/>
  <c r="AU106" i="39"/>
  <c r="AS106" i="39"/>
  <c r="AN106" i="39"/>
  <c r="AN107" i="39" s="1"/>
  <c r="AM106" i="39"/>
  <c r="O106" i="39"/>
  <c r="M106" i="39"/>
  <c r="I106" i="39"/>
  <c r="E106" i="39"/>
  <c r="B106" i="39"/>
  <c r="N106" i="39" s="1"/>
  <c r="AS105" i="39"/>
  <c r="AN105" i="39"/>
  <c r="AL105" i="39"/>
  <c r="AL108" i="39" s="1"/>
  <c r="O105" i="39"/>
  <c r="M105" i="39"/>
  <c r="I105" i="39"/>
  <c r="I108" i="39" s="1"/>
  <c r="J108" i="39" s="1"/>
  <c r="AU108" i="39" s="1"/>
  <c r="B105" i="39"/>
  <c r="N105" i="39" s="1"/>
  <c r="AS104" i="39"/>
  <c r="AN104" i="39"/>
  <c r="AM104" i="39"/>
  <c r="AL104" i="39"/>
  <c r="AL107" i="39" s="1"/>
  <c r="O104" i="39"/>
  <c r="M104" i="39"/>
  <c r="I104" i="39"/>
  <c r="E104" i="39"/>
  <c r="B104" i="39"/>
  <c r="N104" i="39" s="1"/>
  <c r="AU103" i="39"/>
  <c r="AS103" i="39"/>
  <c r="AN103" i="39"/>
  <c r="AM103" i="39"/>
  <c r="AM105" i="39" s="1"/>
  <c r="AL103" i="39"/>
  <c r="AL106" i="39" s="1"/>
  <c r="O103" i="39"/>
  <c r="M103" i="39"/>
  <c r="I103" i="39"/>
  <c r="F103" i="39"/>
  <c r="E103" i="39"/>
  <c r="B103" i="39"/>
  <c r="N103" i="39" s="1"/>
  <c r="AS102" i="39"/>
  <c r="AQ102" i="39"/>
  <c r="AR102" i="39" s="1"/>
  <c r="O102" i="39"/>
  <c r="N102" i="39"/>
  <c r="M102" i="39"/>
  <c r="J102" i="39"/>
  <c r="AU104" i="39" s="1"/>
  <c r="H102" i="39"/>
  <c r="AS100" i="39"/>
  <c r="AM100" i="39"/>
  <c r="AL100" i="39"/>
  <c r="M100" i="39"/>
  <c r="I100" i="39"/>
  <c r="J100" i="39" s="1"/>
  <c r="AU100" i="39" s="1"/>
  <c r="B100" i="39"/>
  <c r="AS99" i="39"/>
  <c r="AN99" i="39"/>
  <c r="AM99" i="39"/>
  <c r="O99" i="39"/>
  <c r="M99" i="39"/>
  <c r="B99" i="39"/>
  <c r="N99" i="39" s="1"/>
  <c r="AS98" i="39"/>
  <c r="AN98" i="39"/>
  <c r="AM98" i="39"/>
  <c r="O98" i="39"/>
  <c r="M98" i="39"/>
  <c r="B98" i="39"/>
  <c r="N98" i="39" s="1"/>
  <c r="AS97" i="39"/>
  <c r="AM97" i="39"/>
  <c r="O97" i="39"/>
  <c r="M97" i="39"/>
  <c r="B97" i="39"/>
  <c r="N97" i="39" s="1"/>
  <c r="AU96" i="39"/>
  <c r="AS96" i="39"/>
  <c r="AN96" i="39"/>
  <c r="AN97" i="39" s="1"/>
  <c r="AM96" i="39"/>
  <c r="O96" i="39"/>
  <c r="M96" i="39"/>
  <c r="I96" i="39"/>
  <c r="E96" i="39"/>
  <c r="B96" i="39"/>
  <c r="N96" i="39" s="1"/>
  <c r="AS95" i="39"/>
  <c r="AN95" i="39"/>
  <c r="AL95" i="39"/>
  <c r="AL98" i="39" s="1"/>
  <c r="O95" i="39"/>
  <c r="M95" i="39"/>
  <c r="I95" i="39"/>
  <c r="J95" i="39" s="1"/>
  <c r="AU95" i="39" s="1"/>
  <c r="B95" i="39"/>
  <c r="N95" i="39" s="1"/>
  <c r="AS94" i="39"/>
  <c r="AN94" i="39"/>
  <c r="AM94" i="39"/>
  <c r="AL94" i="39"/>
  <c r="AL97" i="39" s="1"/>
  <c r="O94" i="39"/>
  <c r="M94" i="39"/>
  <c r="I94" i="39"/>
  <c r="E94" i="39"/>
  <c r="B94" i="39"/>
  <c r="N94" i="39" s="1"/>
  <c r="AU93" i="39"/>
  <c r="AS93" i="39"/>
  <c r="AN93" i="39"/>
  <c r="AM93" i="39"/>
  <c r="AM95" i="39" s="1"/>
  <c r="AL93" i="39"/>
  <c r="AL96" i="39" s="1"/>
  <c r="AL99" i="39" s="1"/>
  <c r="O93" i="39"/>
  <c r="M93" i="39"/>
  <c r="I93" i="39"/>
  <c r="F93" i="39"/>
  <c r="F94" i="39" s="1"/>
  <c r="E93" i="39"/>
  <c r="B93" i="39"/>
  <c r="N93" i="39" s="1"/>
  <c r="AU92" i="39"/>
  <c r="AS92" i="39"/>
  <c r="AQ92" i="39"/>
  <c r="AR92" i="39" s="1"/>
  <c r="O92" i="39"/>
  <c r="N92" i="39"/>
  <c r="M92" i="39"/>
  <c r="J92" i="39"/>
  <c r="AU94" i="39" s="1"/>
  <c r="H92" i="39"/>
  <c r="AX92" i="39" s="1"/>
  <c r="AS87" i="39"/>
  <c r="AN87" i="39"/>
  <c r="AM87" i="39"/>
  <c r="AQ87" i="39" s="1"/>
  <c r="O87" i="39"/>
  <c r="M87" i="39"/>
  <c r="I87" i="39"/>
  <c r="F87" i="39"/>
  <c r="E87" i="39"/>
  <c r="B87" i="39"/>
  <c r="N87" i="39" s="1"/>
  <c r="AS86" i="39"/>
  <c r="AN86" i="39"/>
  <c r="AM86" i="39"/>
  <c r="O86" i="39"/>
  <c r="M86" i="39"/>
  <c r="J86" i="39"/>
  <c r="AU86" i="39" s="1"/>
  <c r="I86" i="39"/>
  <c r="F86" i="39"/>
  <c r="E86" i="39"/>
  <c r="B86" i="39"/>
  <c r="N86" i="39" s="1"/>
  <c r="AS85" i="39"/>
  <c r="AN85" i="39"/>
  <c r="AM85" i="39"/>
  <c r="AL85" i="39"/>
  <c r="O85" i="39"/>
  <c r="M85" i="39"/>
  <c r="I85" i="39"/>
  <c r="J85" i="39" s="1"/>
  <c r="AU85" i="39" s="1"/>
  <c r="F85" i="39"/>
  <c r="H85" i="39" s="1"/>
  <c r="AX85" i="39" s="1"/>
  <c r="B85" i="39"/>
  <c r="N85" i="39" s="1"/>
  <c r="AU84" i="39"/>
  <c r="AS84" i="39"/>
  <c r="AN84" i="39"/>
  <c r="AM84" i="39"/>
  <c r="AL84" i="39"/>
  <c r="AL87" i="39" s="1"/>
  <c r="O84" i="39"/>
  <c r="M84" i="39"/>
  <c r="I84" i="39"/>
  <c r="F84" i="39"/>
  <c r="E84" i="39"/>
  <c r="B84" i="39"/>
  <c r="N84" i="39" s="1"/>
  <c r="AU83" i="39"/>
  <c r="AS83" i="39"/>
  <c r="AN83" i="39"/>
  <c r="AM83" i="39"/>
  <c r="AL83" i="39"/>
  <c r="O83" i="39"/>
  <c r="M83" i="39"/>
  <c r="I83" i="39"/>
  <c r="F83" i="39"/>
  <c r="E83" i="39"/>
  <c r="H83" i="39" s="1"/>
  <c r="B83" i="39"/>
  <c r="N83" i="39" s="1"/>
  <c r="AS82" i="39"/>
  <c r="AQ82" i="39"/>
  <c r="O82" i="39"/>
  <c r="N82" i="39"/>
  <c r="M82" i="39"/>
  <c r="J82" i="39"/>
  <c r="AU82" i="39" s="1"/>
  <c r="H82" i="39"/>
  <c r="AS77" i="39"/>
  <c r="AN77" i="39"/>
  <c r="AM77" i="39"/>
  <c r="O77" i="39"/>
  <c r="M77" i="39"/>
  <c r="I77" i="39"/>
  <c r="F77" i="39"/>
  <c r="E77" i="39"/>
  <c r="B77" i="39"/>
  <c r="N77" i="39" s="1"/>
  <c r="AS76" i="39"/>
  <c r="AN76" i="39"/>
  <c r="AM76" i="39"/>
  <c r="O76" i="39"/>
  <c r="M76" i="39"/>
  <c r="J76" i="39"/>
  <c r="AU76" i="39" s="1"/>
  <c r="I76" i="39"/>
  <c r="F76" i="39"/>
  <c r="E76" i="39"/>
  <c r="H76" i="39" s="1"/>
  <c r="AW76" i="39" s="1"/>
  <c r="B76" i="39"/>
  <c r="N76" i="39" s="1"/>
  <c r="AS75" i="39"/>
  <c r="AN75" i="39"/>
  <c r="AM75" i="39"/>
  <c r="AL75" i="39"/>
  <c r="O75" i="39"/>
  <c r="M75" i="39"/>
  <c r="I75" i="39"/>
  <c r="J75" i="39" s="1"/>
  <c r="AU75" i="39" s="1"/>
  <c r="F75" i="39"/>
  <c r="H75" i="39" s="1"/>
  <c r="B75" i="39"/>
  <c r="N75" i="39" s="1"/>
  <c r="AU74" i="39"/>
  <c r="AS74" i="39"/>
  <c r="AN74" i="39"/>
  <c r="AM74" i="39"/>
  <c r="AL74" i="39"/>
  <c r="AL77" i="39" s="1"/>
  <c r="O74" i="39"/>
  <c r="M74" i="39"/>
  <c r="I74" i="39"/>
  <c r="F74" i="39"/>
  <c r="E74" i="39"/>
  <c r="H74" i="39" s="1"/>
  <c r="B74" i="39"/>
  <c r="N74" i="39" s="1"/>
  <c r="AU73" i="39"/>
  <c r="AS73" i="39"/>
  <c r="AN73" i="39"/>
  <c r="AM73" i="39"/>
  <c r="AL73" i="39"/>
  <c r="AL76" i="39" s="1"/>
  <c r="O73" i="39"/>
  <c r="M73" i="39"/>
  <c r="I73" i="39"/>
  <c r="F73" i="39"/>
  <c r="E73" i="39"/>
  <c r="B73" i="39"/>
  <c r="N73" i="39" s="1"/>
  <c r="AU72" i="39"/>
  <c r="AS72" i="39"/>
  <c r="AQ72" i="39"/>
  <c r="O72" i="39"/>
  <c r="N72" i="39"/>
  <c r="M72" i="39"/>
  <c r="J72" i="39"/>
  <c r="H72" i="39"/>
  <c r="AW72" i="39" s="1"/>
  <c r="AS67" i="39"/>
  <c r="AN67" i="39"/>
  <c r="AM67" i="39"/>
  <c r="AL67" i="39"/>
  <c r="O67" i="39"/>
  <c r="M67" i="39"/>
  <c r="I67" i="39"/>
  <c r="F67" i="39"/>
  <c r="E67" i="39"/>
  <c r="B67" i="39"/>
  <c r="N67" i="39" s="1"/>
  <c r="AS66" i="39"/>
  <c r="AN66" i="39"/>
  <c r="AM66" i="39"/>
  <c r="O66" i="39"/>
  <c r="M66" i="39"/>
  <c r="J66" i="39"/>
  <c r="AU67" i="39" s="1"/>
  <c r="I66" i="39"/>
  <c r="F66" i="39"/>
  <c r="E66" i="39"/>
  <c r="B66" i="39"/>
  <c r="N66" i="39" s="1"/>
  <c r="AS65" i="39"/>
  <c r="AN65" i="39"/>
  <c r="AM65" i="39"/>
  <c r="AL65" i="39"/>
  <c r="O65" i="39"/>
  <c r="M65" i="39"/>
  <c r="I65" i="39"/>
  <c r="J65" i="39" s="1"/>
  <c r="AU65" i="39" s="1"/>
  <c r="F65" i="39"/>
  <c r="H65" i="39" s="1"/>
  <c r="AW65" i="39" s="1"/>
  <c r="B65" i="39"/>
  <c r="N65" i="39" s="1"/>
  <c r="AU64" i="39"/>
  <c r="AS64" i="39"/>
  <c r="AN64" i="39"/>
  <c r="AM64" i="39"/>
  <c r="AQ64" i="39" s="1"/>
  <c r="AL64" i="39"/>
  <c r="O64" i="39"/>
  <c r="M64" i="39"/>
  <c r="I64" i="39"/>
  <c r="F64" i="39"/>
  <c r="E64" i="39"/>
  <c r="B64" i="39"/>
  <c r="N64" i="39" s="1"/>
  <c r="AU63" i="39"/>
  <c r="AS63" i="39"/>
  <c r="AN63" i="39"/>
  <c r="AM63" i="39"/>
  <c r="AL63" i="39"/>
  <c r="AL66" i="39" s="1"/>
  <c r="O63" i="39"/>
  <c r="M63" i="39"/>
  <c r="I63" i="39"/>
  <c r="F63" i="39"/>
  <c r="E63" i="39"/>
  <c r="B63" i="39"/>
  <c r="N63" i="39" s="1"/>
  <c r="AS62" i="39"/>
  <c r="AQ62" i="39"/>
  <c r="AR62" i="39" s="1"/>
  <c r="O62" i="39"/>
  <c r="N62" i="39"/>
  <c r="M62" i="39"/>
  <c r="J62" i="39"/>
  <c r="AU62" i="39" s="1"/>
  <c r="H62" i="39"/>
  <c r="AW62" i="39" s="1"/>
  <c r="AS60" i="39"/>
  <c r="AM60" i="39"/>
  <c r="AL60" i="39"/>
  <c r="M60" i="39"/>
  <c r="I60" i="39"/>
  <c r="J60" i="39" s="1"/>
  <c r="AU60" i="39" s="1"/>
  <c r="B60" i="39"/>
  <c r="AS59" i="39"/>
  <c r="AN59" i="39"/>
  <c r="AM59" i="39"/>
  <c r="O59" i="39"/>
  <c r="M59" i="39"/>
  <c r="B59" i="39"/>
  <c r="N59" i="39" s="1"/>
  <c r="AS58" i="39"/>
  <c r="AN58" i="39"/>
  <c r="AM58" i="39"/>
  <c r="O58" i="39"/>
  <c r="M58" i="39"/>
  <c r="B58" i="39"/>
  <c r="N58" i="39" s="1"/>
  <c r="AS57" i="39"/>
  <c r="AM57" i="39"/>
  <c r="O57" i="39"/>
  <c r="M57" i="39"/>
  <c r="B57" i="39"/>
  <c r="N57" i="39" s="1"/>
  <c r="AU56" i="39"/>
  <c r="AS56" i="39"/>
  <c r="AN56" i="39"/>
  <c r="AN57" i="39" s="1"/>
  <c r="AM56" i="39"/>
  <c r="O56" i="39"/>
  <c r="M56" i="39"/>
  <c r="I56" i="39"/>
  <c r="E56" i="39"/>
  <c r="E57" i="39" s="1"/>
  <c r="B56" i="39"/>
  <c r="N56" i="39" s="1"/>
  <c r="AS55" i="39"/>
  <c r="AN55" i="39"/>
  <c r="AL55" i="39"/>
  <c r="AL58" i="39" s="1"/>
  <c r="O55" i="39"/>
  <c r="M55" i="39"/>
  <c r="I55" i="39"/>
  <c r="I57" i="39" s="1"/>
  <c r="B55" i="39"/>
  <c r="N55" i="39" s="1"/>
  <c r="AS54" i="39"/>
  <c r="AN54" i="39"/>
  <c r="AM54" i="39"/>
  <c r="AL54" i="39"/>
  <c r="AL57" i="39" s="1"/>
  <c r="O54" i="39"/>
  <c r="M54" i="39"/>
  <c r="I54" i="39"/>
  <c r="F54" i="39"/>
  <c r="F55" i="39" s="1"/>
  <c r="F56" i="39" s="1"/>
  <c r="F57" i="39" s="1"/>
  <c r="F58" i="39" s="1"/>
  <c r="F59" i="39" s="1"/>
  <c r="F60" i="39" s="1"/>
  <c r="H60" i="39" s="1"/>
  <c r="E54" i="39"/>
  <c r="B54" i="39"/>
  <c r="N54" i="39" s="1"/>
  <c r="AU53" i="39"/>
  <c r="AS53" i="39"/>
  <c r="AN53" i="39"/>
  <c r="AM53" i="39"/>
  <c r="AM55" i="39" s="1"/>
  <c r="AL53" i="39"/>
  <c r="AL56" i="39" s="1"/>
  <c r="AL59" i="39" s="1"/>
  <c r="O53" i="39"/>
  <c r="M53" i="39"/>
  <c r="I53" i="39"/>
  <c r="F53" i="39"/>
  <c r="E53" i="39"/>
  <c r="B53" i="39"/>
  <c r="N53" i="39" s="1"/>
  <c r="AU52" i="39"/>
  <c r="AS52" i="39"/>
  <c r="AQ52" i="39"/>
  <c r="AR52" i="39" s="1"/>
  <c r="O52" i="39"/>
  <c r="N52" i="39"/>
  <c r="M52" i="39"/>
  <c r="J52" i="39"/>
  <c r="AU54" i="39" s="1"/>
  <c r="H52" i="39"/>
  <c r="AS47" i="39"/>
  <c r="AN47" i="39"/>
  <c r="AM47" i="39"/>
  <c r="O47" i="39"/>
  <c r="M47" i="39"/>
  <c r="I47" i="39"/>
  <c r="F47" i="39"/>
  <c r="E47" i="39"/>
  <c r="B47" i="39"/>
  <c r="N47" i="39" s="1"/>
  <c r="AS46" i="39"/>
  <c r="AN46" i="39"/>
  <c r="AM46" i="39"/>
  <c r="O46" i="39"/>
  <c r="M46" i="39"/>
  <c r="J46" i="39"/>
  <c r="AU47" i="39" s="1"/>
  <c r="I46" i="39"/>
  <c r="F46" i="39"/>
  <c r="E46" i="39"/>
  <c r="H46" i="39" s="1"/>
  <c r="B46" i="39"/>
  <c r="N46" i="39" s="1"/>
  <c r="AS45" i="39"/>
  <c r="AN45" i="39"/>
  <c r="AM45" i="39"/>
  <c r="AL45" i="39"/>
  <c r="O45" i="39"/>
  <c r="M45" i="39"/>
  <c r="I45" i="39"/>
  <c r="J45" i="39" s="1"/>
  <c r="AU45" i="39" s="1"/>
  <c r="F45" i="39"/>
  <c r="H45" i="39" s="1"/>
  <c r="AX45" i="39" s="1"/>
  <c r="B45" i="39"/>
  <c r="N45" i="39" s="1"/>
  <c r="AU44" i="39"/>
  <c r="AS44" i="39"/>
  <c r="AN44" i="39"/>
  <c r="AM44" i="39"/>
  <c r="AL44" i="39"/>
  <c r="AL47" i="39" s="1"/>
  <c r="O44" i="39"/>
  <c r="M44" i="39"/>
  <c r="I44" i="39"/>
  <c r="F44" i="39"/>
  <c r="E44" i="39"/>
  <c r="H44" i="39" s="1"/>
  <c r="B44" i="39"/>
  <c r="N44" i="39" s="1"/>
  <c r="AU43" i="39"/>
  <c r="AS43" i="39"/>
  <c r="AN43" i="39"/>
  <c r="AM43" i="39"/>
  <c r="AL43" i="39"/>
  <c r="AL46" i="39" s="1"/>
  <c r="O43" i="39"/>
  <c r="M43" i="39"/>
  <c r="I43" i="39"/>
  <c r="F43" i="39"/>
  <c r="E43" i="39"/>
  <c r="B43" i="39"/>
  <c r="N43" i="39" s="1"/>
  <c r="AS42" i="39"/>
  <c r="AQ42" i="39"/>
  <c r="O42" i="39"/>
  <c r="N42" i="39"/>
  <c r="M42" i="39"/>
  <c r="J42" i="39"/>
  <c r="AU42" i="39" s="1"/>
  <c r="H42" i="39"/>
  <c r="AW42" i="39" s="1"/>
  <c r="AS37" i="39"/>
  <c r="AN37" i="39"/>
  <c r="AM37" i="39"/>
  <c r="O37" i="39"/>
  <c r="M37" i="39"/>
  <c r="I37" i="39"/>
  <c r="F37" i="39"/>
  <c r="E37" i="39"/>
  <c r="B37" i="39"/>
  <c r="N37" i="39" s="1"/>
  <c r="AU36" i="39"/>
  <c r="AS36" i="39"/>
  <c r="AN36" i="39"/>
  <c r="AM36" i="39"/>
  <c r="O36" i="39"/>
  <c r="M36" i="39"/>
  <c r="J36" i="39"/>
  <c r="AU37" i="39" s="1"/>
  <c r="I36" i="39"/>
  <c r="F36" i="39"/>
  <c r="E36" i="39"/>
  <c r="B36" i="39"/>
  <c r="N36" i="39" s="1"/>
  <c r="AS35" i="39"/>
  <c r="AN35" i="39"/>
  <c r="AM35" i="39"/>
  <c r="AL35" i="39"/>
  <c r="O35" i="39"/>
  <c r="M35" i="39"/>
  <c r="I35" i="39"/>
  <c r="F35" i="39"/>
  <c r="H35" i="39" s="1"/>
  <c r="B35" i="39"/>
  <c r="N35" i="39" s="1"/>
  <c r="AU34" i="39"/>
  <c r="AS34" i="39"/>
  <c r="AN34" i="39"/>
  <c r="AM34" i="39"/>
  <c r="AL34" i="39"/>
  <c r="AL37" i="39" s="1"/>
  <c r="O34" i="39"/>
  <c r="M34" i="39"/>
  <c r="I34" i="39"/>
  <c r="F34" i="39"/>
  <c r="E34" i="39"/>
  <c r="H34" i="39" s="1"/>
  <c r="AX34" i="39" s="1"/>
  <c r="B34" i="39"/>
  <c r="N34" i="39" s="1"/>
  <c r="AU33" i="39"/>
  <c r="AS33" i="39"/>
  <c r="AN33" i="39"/>
  <c r="AM33" i="39"/>
  <c r="AL33" i="39"/>
  <c r="AL36" i="39" s="1"/>
  <c r="O33" i="39"/>
  <c r="M33" i="39"/>
  <c r="I33" i="39"/>
  <c r="F33" i="39"/>
  <c r="E33" i="39"/>
  <c r="B33" i="39"/>
  <c r="N33" i="39" s="1"/>
  <c r="AS32" i="39"/>
  <c r="AQ32" i="39"/>
  <c r="AR32" i="39" s="1"/>
  <c r="O32" i="39"/>
  <c r="N32" i="39"/>
  <c r="M32" i="39"/>
  <c r="J32" i="39"/>
  <c r="AU32" i="39" s="1"/>
  <c r="H32" i="39"/>
  <c r="AX32" i="39" s="1"/>
  <c r="AS30" i="39"/>
  <c r="AM30" i="39"/>
  <c r="AL30" i="39"/>
  <c r="O30" i="39"/>
  <c r="M30" i="39"/>
  <c r="I30" i="39"/>
  <c r="H30" i="39"/>
  <c r="B30" i="39"/>
  <c r="N30" i="39" s="1"/>
  <c r="AS29" i="39"/>
  <c r="AN29" i="39"/>
  <c r="AM29" i="39"/>
  <c r="O29" i="39"/>
  <c r="M29" i="39"/>
  <c r="F29" i="39"/>
  <c r="B29" i="39"/>
  <c r="N29" i="39" s="1"/>
  <c r="AS28" i="39"/>
  <c r="AN28" i="39"/>
  <c r="AM28" i="39"/>
  <c r="O28" i="39"/>
  <c r="M28" i="39"/>
  <c r="F28" i="39"/>
  <c r="B28" i="39"/>
  <c r="N28" i="39" s="1"/>
  <c r="AS27" i="39"/>
  <c r="AM27" i="39"/>
  <c r="O27" i="39"/>
  <c r="M27" i="39"/>
  <c r="I27" i="39"/>
  <c r="I28" i="39" s="1"/>
  <c r="J28" i="39" s="1"/>
  <c r="AU28" i="39" s="1"/>
  <c r="B27" i="39"/>
  <c r="N27" i="39" s="1"/>
  <c r="AU26" i="39"/>
  <c r="AS26" i="39"/>
  <c r="AN26" i="39"/>
  <c r="AN27" i="39" s="1"/>
  <c r="AM26" i="39"/>
  <c r="O26" i="39"/>
  <c r="M26" i="39"/>
  <c r="J26" i="39"/>
  <c r="I26" i="39"/>
  <c r="F26" i="39"/>
  <c r="E26" i="39"/>
  <c r="E27" i="39" s="1"/>
  <c r="H27" i="39" s="1"/>
  <c r="B26" i="39"/>
  <c r="N26" i="39" s="1"/>
  <c r="AS25" i="39"/>
  <c r="AN25" i="39"/>
  <c r="AL25" i="39"/>
  <c r="AL28" i="39" s="1"/>
  <c r="O25" i="39"/>
  <c r="M25" i="39"/>
  <c r="I25" i="39"/>
  <c r="J25" i="39" s="1"/>
  <c r="AU25" i="39" s="1"/>
  <c r="F25" i="39"/>
  <c r="H25" i="39" s="1"/>
  <c r="B25" i="39"/>
  <c r="N25" i="39" s="1"/>
  <c r="AS24" i="39"/>
  <c r="AN24" i="39"/>
  <c r="AM24" i="39"/>
  <c r="AL24" i="39"/>
  <c r="AL27" i="39" s="1"/>
  <c r="O24" i="39"/>
  <c r="M24" i="39"/>
  <c r="J24" i="39"/>
  <c r="I24" i="39"/>
  <c r="F24" i="39"/>
  <c r="E24" i="39"/>
  <c r="B24" i="39"/>
  <c r="N24" i="39" s="1"/>
  <c r="AU23" i="39"/>
  <c r="AS23" i="39"/>
  <c r="AN23" i="39"/>
  <c r="AM23" i="39"/>
  <c r="AM25" i="39" s="1"/>
  <c r="AL23" i="39"/>
  <c r="AL26" i="39" s="1"/>
  <c r="AL29" i="39" s="1"/>
  <c r="O23" i="39"/>
  <c r="M23" i="39"/>
  <c r="I23" i="39"/>
  <c r="F23" i="39"/>
  <c r="E23" i="39"/>
  <c r="B23" i="39"/>
  <c r="N23" i="39" s="1"/>
  <c r="AW22" i="39"/>
  <c r="AS22" i="39"/>
  <c r="AQ22" i="39"/>
  <c r="O22" i="39"/>
  <c r="N22" i="39"/>
  <c r="M22" i="39"/>
  <c r="J22" i="39"/>
  <c r="AU24" i="39" s="1"/>
  <c r="H22" i="39"/>
  <c r="AX22" i="39" s="1"/>
  <c r="AS20" i="39"/>
  <c r="AM20" i="39"/>
  <c r="AL20" i="39"/>
  <c r="O20" i="39"/>
  <c r="N20" i="39"/>
  <c r="M20" i="39"/>
  <c r="I20" i="39"/>
  <c r="H20" i="39"/>
  <c r="AX20" i="39" s="1"/>
  <c r="B20" i="39"/>
  <c r="AS19" i="39"/>
  <c r="AN19" i="39"/>
  <c r="AM19" i="39"/>
  <c r="AL19" i="39"/>
  <c r="O19" i="39"/>
  <c r="M19" i="39"/>
  <c r="F19" i="39"/>
  <c r="B19" i="39"/>
  <c r="N19" i="39" s="1"/>
  <c r="AS18" i="39"/>
  <c r="AN18" i="39"/>
  <c r="AM18" i="39"/>
  <c r="AL18" i="39"/>
  <c r="O18" i="39"/>
  <c r="M18" i="39"/>
  <c r="F18" i="39"/>
  <c r="B18" i="39"/>
  <c r="N18" i="39" s="1"/>
  <c r="AS17" i="39"/>
  <c r="AM17" i="39"/>
  <c r="AL17" i="39"/>
  <c r="O17" i="39"/>
  <c r="M17" i="39"/>
  <c r="I17" i="39"/>
  <c r="I18" i="39" s="1"/>
  <c r="B17" i="39"/>
  <c r="N17" i="39" s="1"/>
  <c r="AU16" i="39"/>
  <c r="AS16" i="39"/>
  <c r="AN16" i="39"/>
  <c r="AN17" i="39" s="1"/>
  <c r="AM16" i="39"/>
  <c r="AL16" i="39"/>
  <c r="O16" i="39"/>
  <c r="M16" i="39"/>
  <c r="J16" i="39"/>
  <c r="I16" i="39"/>
  <c r="F16" i="39"/>
  <c r="E16" i="39"/>
  <c r="E19" i="39" s="1"/>
  <c r="B16" i="39"/>
  <c r="N16" i="39" s="1"/>
  <c r="AS15" i="39"/>
  <c r="AN15" i="39"/>
  <c r="AL15" i="39"/>
  <c r="O15" i="39"/>
  <c r="M15" i="39"/>
  <c r="I15" i="39"/>
  <c r="J15" i="39" s="1"/>
  <c r="AU15" i="39" s="1"/>
  <c r="F15" i="39"/>
  <c r="H15" i="39" s="1"/>
  <c r="B15" i="39"/>
  <c r="N15" i="39" s="1"/>
  <c r="AS14" i="39"/>
  <c r="AN14" i="39"/>
  <c r="AM14" i="39"/>
  <c r="AL14" i="39"/>
  <c r="O14" i="39"/>
  <c r="M14" i="39"/>
  <c r="J14" i="39"/>
  <c r="I14" i="39"/>
  <c r="F14" i="39"/>
  <c r="E14" i="39"/>
  <c r="B14" i="39"/>
  <c r="N14" i="39" s="1"/>
  <c r="AU13" i="39"/>
  <c r="AS13" i="39"/>
  <c r="AN13" i="39"/>
  <c r="AM13" i="39"/>
  <c r="AM15" i="39" s="1"/>
  <c r="AL13" i="39"/>
  <c r="O13" i="39"/>
  <c r="M13" i="39"/>
  <c r="I13" i="39"/>
  <c r="F13" i="39"/>
  <c r="E13" i="39"/>
  <c r="B13" i="39"/>
  <c r="N13" i="39" s="1"/>
  <c r="AS12" i="39"/>
  <c r="AQ12" i="39"/>
  <c r="O12" i="39"/>
  <c r="N12" i="39"/>
  <c r="M12" i="39"/>
  <c r="J12" i="39"/>
  <c r="H12" i="39"/>
  <c r="AX12" i="39" s="1"/>
  <c r="AS10" i="39"/>
  <c r="AM10" i="39"/>
  <c r="AL10" i="39"/>
  <c r="O10" i="39"/>
  <c r="M10" i="39"/>
  <c r="I10" i="39"/>
  <c r="H10" i="39"/>
  <c r="AW10" i="39" s="1"/>
  <c r="B10" i="39"/>
  <c r="N10" i="39" s="1"/>
  <c r="AS9" i="39"/>
  <c r="AN9" i="39"/>
  <c r="AM9" i="39"/>
  <c r="AL9" i="39"/>
  <c r="O9" i="39"/>
  <c r="M9" i="39"/>
  <c r="F9" i="39"/>
  <c r="B9" i="39"/>
  <c r="N9" i="39" s="1"/>
  <c r="AS8" i="39"/>
  <c r="AN8" i="39"/>
  <c r="AM8" i="39"/>
  <c r="AL8" i="39"/>
  <c r="O8" i="39"/>
  <c r="M8" i="39"/>
  <c r="F8" i="39"/>
  <c r="B8" i="39"/>
  <c r="N8" i="39" s="1"/>
  <c r="AS7" i="39"/>
  <c r="AM7" i="39"/>
  <c r="AL7" i="39"/>
  <c r="O7" i="39"/>
  <c r="M7" i="39"/>
  <c r="I7" i="39"/>
  <c r="J7" i="39" s="1"/>
  <c r="B7" i="39"/>
  <c r="N7" i="39" s="1"/>
  <c r="AU6" i="39"/>
  <c r="AS6" i="39"/>
  <c r="AN6" i="39"/>
  <c r="AN7" i="39" s="1"/>
  <c r="AM6" i="39"/>
  <c r="AL6" i="39"/>
  <c r="O6" i="39"/>
  <c r="M6" i="39"/>
  <c r="J6" i="39"/>
  <c r="I6" i="39"/>
  <c r="F6" i="39"/>
  <c r="E6" i="39"/>
  <c r="E9" i="39" s="1"/>
  <c r="B6" i="39"/>
  <c r="N6" i="39" s="1"/>
  <c r="AS5" i="39"/>
  <c r="AN5" i="39"/>
  <c r="AL5" i="39"/>
  <c r="O5" i="39"/>
  <c r="M5" i="39"/>
  <c r="I5" i="39"/>
  <c r="J5" i="39" s="1"/>
  <c r="AU5" i="39" s="1"/>
  <c r="F5" i="39"/>
  <c r="H5" i="39" s="1"/>
  <c r="AX5" i="39" s="1"/>
  <c r="B5" i="39"/>
  <c r="N5" i="39" s="1"/>
  <c r="AS4" i="39"/>
  <c r="AN4" i="39"/>
  <c r="AM4" i="39"/>
  <c r="AL4" i="39"/>
  <c r="O4" i="39"/>
  <c r="M4" i="39"/>
  <c r="J4" i="39"/>
  <c r="I4" i="39"/>
  <c r="F4" i="39"/>
  <c r="E4" i="39"/>
  <c r="B4" i="39"/>
  <c r="N4" i="39" s="1"/>
  <c r="AU3" i="39"/>
  <c r="AS3" i="39"/>
  <c r="AN3" i="39"/>
  <c r="AM3" i="39"/>
  <c r="AM5" i="39" s="1"/>
  <c r="AL3" i="39"/>
  <c r="O3" i="39"/>
  <c r="M3" i="39"/>
  <c r="I3" i="39"/>
  <c r="F3" i="39"/>
  <c r="E3" i="39"/>
  <c r="B3" i="39"/>
  <c r="N3" i="39" s="1"/>
  <c r="AS2" i="39"/>
  <c r="AQ2" i="39"/>
  <c r="O2" i="39"/>
  <c r="N2" i="39"/>
  <c r="M2" i="39"/>
  <c r="L2" i="39"/>
  <c r="J2" i="39"/>
  <c r="H2" i="39"/>
  <c r="AW2" i="39" s="1"/>
  <c r="O1" i="39"/>
  <c r="N1" i="39"/>
  <c r="M1" i="39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Q4" i="39" l="1"/>
  <c r="H84" i="39"/>
  <c r="H94" i="39"/>
  <c r="H234" i="39"/>
  <c r="J237" i="39"/>
  <c r="AU237" i="39" s="1"/>
  <c r="H16" i="2"/>
  <c r="AW16" i="2" s="1"/>
  <c r="H6" i="39"/>
  <c r="H64" i="39"/>
  <c r="H128" i="2"/>
  <c r="H14" i="39"/>
  <c r="H36" i="39"/>
  <c r="AQ94" i="39"/>
  <c r="H168" i="39"/>
  <c r="H194" i="39"/>
  <c r="AU126" i="39"/>
  <c r="J17" i="39"/>
  <c r="I9" i="39"/>
  <c r="H43" i="39"/>
  <c r="AQ134" i="39"/>
  <c r="AQ194" i="39"/>
  <c r="H4" i="39"/>
  <c r="H33" i="39"/>
  <c r="AX33" i="39" s="1"/>
  <c r="H157" i="39"/>
  <c r="AX157" i="39" s="1"/>
  <c r="AV122" i="39"/>
  <c r="AQ215" i="39"/>
  <c r="AQ24" i="39"/>
  <c r="AR24" i="39" s="1"/>
  <c r="H77" i="39"/>
  <c r="AQ113" i="39"/>
  <c r="E118" i="39"/>
  <c r="H136" i="39"/>
  <c r="AW136" i="39" s="1"/>
  <c r="AX145" i="39"/>
  <c r="H156" i="39"/>
  <c r="AU216" i="39"/>
  <c r="H227" i="39"/>
  <c r="AX227" i="39" s="1"/>
  <c r="AU168" i="39"/>
  <c r="AU169" i="39"/>
  <c r="AR155" i="2"/>
  <c r="AT155" i="2" s="1"/>
  <c r="AV155" i="2" s="1"/>
  <c r="AY155" i="2" s="1"/>
  <c r="AQ224" i="39"/>
  <c r="AR224" i="39" s="1"/>
  <c r="AT224" i="39" s="1"/>
  <c r="AV224" i="39" s="1"/>
  <c r="AQ17" i="39"/>
  <c r="AR17" i="39" s="1"/>
  <c r="AT17" i="39" s="1"/>
  <c r="AV17" i="39" s="1"/>
  <c r="AY17" i="39" s="1"/>
  <c r="E28" i="39"/>
  <c r="H28" i="39" s="1"/>
  <c r="AW28" i="39" s="1"/>
  <c r="H73" i="39"/>
  <c r="AW73" i="39" s="1"/>
  <c r="H93" i="39"/>
  <c r="H113" i="39"/>
  <c r="AW202" i="39"/>
  <c r="H14" i="2"/>
  <c r="AW14" i="2" s="1"/>
  <c r="H3" i="39"/>
  <c r="AQ16" i="39"/>
  <c r="AR16" i="39" s="1"/>
  <c r="AT16" i="39" s="1"/>
  <c r="AV16" i="39" s="1"/>
  <c r="I109" i="39"/>
  <c r="AQ109" i="39" s="1"/>
  <c r="AQ154" i="39"/>
  <c r="AR154" i="39" s="1"/>
  <c r="AT154" i="39" s="1"/>
  <c r="AW225" i="39"/>
  <c r="AQ6" i="39"/>
  <c r="AR6" i="39" s="1"/>
  <c r="AQ45" i="39"/>
  <c r="AU77" i="39"/>
  <c r="AQ93" i="39"/>
  <c r="AM115" i="39"/>
  <c r="AQ115" i="39" s="1"/>
  <c r="AQ163" i="39"/>
  <c r="AQ233" i="39"/>
  <c r="I8" i="39"/>
  <c r="J8" i="39" s="1"/>
  <c r="AU8" i="39" s="1"/>
  <c r="AQ9" i="39"/>
  <c r="AX10" i="39"/>
  <c r="AQ127" i="39"/>
  <c r="AR127" i="39" s="1"/>
  <c r="AT127" i="39" s="1"/>
  <c r="AV127" i="39" s="1"/>
  <c r="AY127" i="39" s="1"/>
  <c r="H169" i="39"/>
  <c r="H226" i="39"/>
  <c r="AX226" i="39" s="1"/>
  <c r="AQ234" i="39"/>
  <c r="AR234" i="39" s="1"/>
  <c r="AQ76" i="39"/>
  <c r="I99" i="39"/>
  <c r="AW132" i="39"/>
  <c r="AU154" i="39"/>
  <c r="AQ183" i="39"/>
  <c r="AQ184" i="39"/>
  <c r="AR184" i="39" s="1"/>
  <c r="AT184" i="39" s="1"/>
  <c r="AV184" i="39" s="1"/>
  <c r="AY184" i="39" s="1"/>
  <c r="AW45" i="39"/>
  <c r="AQ114" i="39"/>
  <c r="AT162" i="39"/>
  <c r="H187" i="39"/>
  <c r="H223" i="39"/>
  <c r="AU233" i="39"/>
  <c r="E17" i="39"/>
  <c r="H17" i="39" s="1"/>
  <c r="AX17" i="39" s="1"/>
  <c r="AQ55" i="39"/>
  <c r="AR55" i="39" s="1"/>
  <c r="AT55" i="39" s="1"/>
  <c r="AQ5" i="39"/>
  <c r="AR5" i="39" s="1"/>
  <c r="AT5" i="39" s="1"/>
  <c r="AV5" i="39" s="1"/>
  <c r="AY5" i="39" s="1"/>
  <c r="H9" i="39"/>
  <c r="AT52" i="39"/>
  <c r="H66" i="39"/>
  <c r="H87" i="39"/>
  <c r="H133" i="39"/>
  <c r="AX133" i="39" s="1"/>
  <c r="H164" i="39"/>
  <c r="AX164" i="39" s="1"/>
  <c r="J166" i="39"/>
  <c r="AU166" i="39" s="1"/>
  <c r="H86" i="39"/>
  <c r="AX86" i="39" s="1"/>
  <c r="H163" i="39"/>
  <c r="H233" i="39"/>
  <c r="AX233" i="39" s="1"/>
  <c r="AV157" i="2"/>
  <c r="AY157" i="2"/>
  <c r="AX157" i="2"/>
  <c r="AW157" i="2"/>
  <c r="AV154" i="2"/>
  <c r="AY154" i="2" s="1"/>
  <c r="AX155" i="2"/>
  <c r="AW155" i="2"/>
  <c r="AV153" i="2"/>
  <c r="AY153" i="2" s="1"/>
  <c r="AW153" i="2"/>
  <c r="AX153" i="2"/>
  <c r="AW12" i="2"/>
  <c r="AW4" i="39"/>
  <c r="AX4" i="39"/>
  <c r="J20" i="39"/>
  <c r="AU20" i="39" s="1"/>
  <c r="AU12" i="39"/>
  <c r="AX82" i="39"/>
  <c r="AW82" i="39"/>
  <c r="H103" i="39"/>
  <c r="F104" i="39"/>
  <c r="AQ14" i="39"/>
  <c r="AR14" i="39" s="1"/>
  <c r="AT14" i="39" s="1"/>
  <c r="AR42" i="39"/>
  <c r="AT42" i="39" s="1"/>
  <c r="AV42" i="39" s="1"/>
  <c r="AY42" i="39" s="1"/>
  <c r="AX76" i="39"/>
  <c r="AQ144" i="39"/>
  <c r="AR144" i="39" s="1"/>
  <c r="AW102" i="39"/>
  <c r="AX102" i="39"/>
  <c r="E107" i="39"/>
  <c r="E108" i="39"/>
  <c r="E109" i="39"/>
  <c r="H115" i="39"/>
  <c r="AW115" i="39" s="1"/>
  <c r="F116" i="39"/>
  <c r="AU17" i="39"/>
  <c r="J19" i="39"/>
  <c r="AU19" i="39"/>
  <c r="J35" i="39"/>
  <c r="AU35" i="39" s="1"/>
  <c r="AQ35" i="39"/>
  <c r="AW25" i="39"/>
  <c r="AX25" i="39"/>
  <c r="AL206" i="39"/>
  <c r="AQ203" i="39"/>
  <c r="H24" i="39"/>
  <c r="AQ133" i="39"/>
  <c r="AR133" i="39" s="1"/>
  <c r="H13" i="39"/>
  <c r="AX13" i="39" s="1"/>
  <c r="AU4" i="39"/>
  <c r="J10" i="39"/>
  <c r="AU10" i="39" s="1"/>
  <c r="AU2" i="39"/>
  <c r="AU165" i="39"/>
  <c r="J167" i="39"/>
  <c r="AU167" i="39" s="1"/>
  <c r="AU163" i="39"/>
  <c r="J127" i="2"/>
  <c r="AU127" i="2" s="1"/>
  <c r="I128" i="2"/>
  <c r="J128" i="2" s="1"/>
  <c r="AU128" i="2" s="1"/>
  <c r="I129" i="2"/>
  <c r="AW113" i="39"/>
  <c r="AX113" i="39"/>
  <c r="AU197" i="39"/>
  <c r="AU196" i="39"/>
  <c r="AQ127" i="2"/>
  <c r="AQ123" i="39"/>
  <c r="AR123" i="39" s="1"/>
  <c r="AQ167" i="39"/>
  <c r="AQ60" i="39"/>
  <c r="H63" i="39"/>
  <c r="H67" i="39"/>
  <c r="H144" i="39"/>
  <c r="H173" i="39"/>
  <c r="AX173" i="39" s="1"/>
  <c r="H177" i="39"/>
  <c r="AW177" i="39" s="1"/>
  <c r="H206" i="39"/>
  <c r="AX206" i="39" s="1"/>
  <c r="H207" i="39"/>
  <c r="AW207" i="39" s="1"/>
  <c r="AQ214" i="39"/>
  <c r="AR214" i="39" s="1"/>
  <c r="AW222" i="39"/>
  <c r="AQ227" i="39"/>
  <c r="AU232" i="39"/>
  <c r="AQ235" i="39"/>
  <c r="AR235" i="39" s="1"/>
  <c r="AQ236" i="39"/>
  <c r="AR236" i="39" s="1"/>
  <c r="AQ126" i="2"/>
  <c r="AR126" i="2" s="1"/>
  <c r="AT126" i="2" s="1"/>
  <c r="AV126" i="2" s="1"/>
  <c r="H13" i="2"/>
  <c r="AX13" i="2" s="1"/>
  <c r="AQ15" i="39"/>
  <c r="AR15" i="39" s="1"/>
  <c r="AQ25" i="39"/>
  <c r="AR25" i="39" s="1"/>
  <c r="AT25" i="39" s="1"/>
  <c r="AV25" i="39" s="1"/>
  <c r="AY25" i="39" s="1"/>
  <c r="AQ77" i="39"/>
  <c r="AR77" i="39" s="1"/>
  <c r="AT77" i="39" s="1"/>
  <c r="AV77" i="39" s="1"/>
  <c r="AY77" i="39" s="1"/>
  <c r="AQ75" i="39"/>
  <c r="AR75" i="39" s="1"/>
  <c r="AT75" i="39" s="1"/>
  <c r="AV75" i="39" s="1"/>
  <c r="AY75" i="39" s="1"/>
  <c r="AT102" i="39"/>
  <c r="H114" i="39"/>
  <c r="AX114" i="39" s="1"/>
  <c r="H134" i="39"/>
  <c r="H146" i="39"/>
  <c r="AW146" i="39" s="1"/>
  <c r="H176" i="39"/>
  <c r="AT182" i="39"/>
  <c r="AQ197" i="39"/>
  <c r="AT212" i="39"/>
  <c r="AQ238" i="39"/>
  <c r="AQ14" i="2"/>
  <c r="AR14" i="2" s="1"/>
  <c r="AT14" i="2" s="1"/>
  <c r="AV14" i="2" s="1"/>
  <c r="AY14" i="2" s="1"/>
  <c r="AQ44" i="39"/>
  <c r="AQ63" i="39"/>
  <c r="AQ7" i="39"/>
  <c r="AQ10" i="39"/>
  <c r="AR10" i="39" s="1"/>
  <c r="AT10" i="39" s="1"/>
  <c r="AW12" i="39"/>
  <c r="I19" i="39"/>
  <c r="AQ19" i="39" s="1"/>
  <c r="AQ23" i="39"/>
  <c r="AQ27" i="39"/>
  <c r="AR27" i="39" s="1"/>
  <c r="E29" i="39"/>
  <c r="H29" i="39" s="1"/>
  <c r="AX29" i="39" s="1"/>
  <c r="H57" i="39"/>
  <c r="E119" i="39"/>
  <c r="AQ120" i="39"/>
  <c r="AT152" i="39"/>
  <c r="AV152" i="39" s="1"/>
  <c r="AY152" i="39" s="1"/>
  <c r="AV172" i="39"/>
  <c r="AY172" i="39" s="1"/>
  <c r="AQ185" i="39"/>
  <c r="AQ187" i="39"/>
  <c r="AR187" i="39" s="1"/>
  <c r="AW196" i="39"/>
  <c r="H203" i="39"/>
  <c r="H204" i="39"/>
  <c r="H224" i="39"/>
  <c r="AX224" i="39" s="1"/>
  <c r="AX2" i="39"/>
  <c r="AQ26" i="39"/>
  <c r="AR26" i="39" s="1"/>
  <c r="AT26" i="39" s="1"/>
  <c r="AV26" i="39" s="1"/>
  <c r="H37" i="39"/>
  <c r="AW37" i="39" s="1"/>
  <c r="AU102" i="39"/>
  <c r="AV102" i="39" s="1"/>
  <c r="AY102" i="39" s="1"/>
  <c r="AQ104" i="39"/>
  <c r="AR104" i="39" s="1"/>
  <c r="AT104" i="39" s="1"/>
  <c r="AV104" i="39" s="1"/>
  <c r="H124" i="39"/>
  <c r="AW124" i="39" s="1"/>
  <c r="H126" i="39"/>
  <c r="AQ156" i="39"/>
  <c r="H167" i="39"/>
  <c r="AX167" i="39" s="1"/>
  <c r="AQ168" i="39"/>
  <c r="AR168" i="39" s="1"/>
  <c r="H183" i="39"/>
  <c r="AW183" i="39" s="1"/>
  <c r="AW215" i="39"/>
  <c r="AW236" i="39"/>
  <c r="H19" i="39"/>
  <c r="AX19" i="39" s="1"/>
  <c r="E18" i="39"/>
  <c r="H18" i="39" s="1"/>
  <c r="AQ30" i="39"/>
  <c r="AR30" i="39" s="1"/>
  <c r="AT92" i="39"/>
  <c r="AV92" i="39" s="1"/>
  <c r="AY92" i="39" s="1"/>
  <c r="H165" i="39"/>
  <c r="AW165" i="39" s="1"/>
  <c r="AQ169" i="39"/>
  <c r="AR169" i="39" s="1"/>
  <c r="AT169" i="39" s="1"/>
  <c r="AV169" i="39" s="1"/>
  <c r="AY169" i="39" s="1"/>
  <c r="AQ186" i="39"/>
  <c r="H213" i="39"/>
  <c r="H238" i="39"/>
  <c r="AX238" i="39" s="1"/>
  <c r="AQ13" i="2"/>
  <c r="H17" i="2"/>
  <c r="AX17" i="2" s="1"/>
  <c r="AQ20" i="39"/>
  <c r="AR20" i="39" s="1"/>
  <c r="AT20" i="39" s="1"/>
  <c r="AV20" i="39" s="1"/>
  <c r="AY20" i="39" s="1"/>
  <c r="H23" i="39"/>
  <c r="AW23" i="39" s="1"/>
  <c r="AT24" i="39"/>
  <c r="AV24" i="39" s="1"/>
  <c r="AY24" i="39" s="1"/>
  <c r="AQ33" i="39"/>
  <c r="AR33" i="39" s="1"/>
  <c r="AT33" i="39" s="1"/>
  <c r="AV33" i="39" s="1"/>
  <c r="AY33" i="39" s="1"/>
  <c r="H53" i="39"/>
  <c r="AW53" i="39" s="1"/>
  <c r="H54" i="39"/>
  <c r="AX54" i="39" s="1"/>
  <c r="E58" i="39"/>
  <c r="H58" i="39" s="1"/>
  <c r="AQ65" i="39"/>
  <c r="AR65" i="39" s="1"/>
  <c r="AT65" i="39" s="1"/>
  <c r="AV65" i="39" s="1"/>
  <c r="AY65" i="39" s="1"/>
  <c r="AQ110" i="39"/>
  <c r="AR110" i="39" s="1"/>
  <c r="AT112" i="39"/>
  <c r="AQ147" i="39"/>
  <c r="AT153" i="39"/>
  <c r="AV153" i="39" s="1"/>
  <c r="AY153" i="39" s="1"/>
  <c r="AQ173" i="39"/>
  <c r="AR173" i="39" s="1"/>
  <c r="AQ174" i="39"/>
  <c r="AR174" i="39" s="1"/>
  <c r="AT174" i="39" s="1"/>
  <c r="AV174" i="39" s="1"/>
  <c r="AQ176" i="39"/>
  <c r="AR176" i="39" s="1"/>
  <c r="AT176" i="39" s="1"/>
  <c r="AV176" i="39" s="1"/>
  <c r="AY176" i="39" s="1"/>
  <c r="AQ195" i="39"/>
  <c r="AR195" i="39" s="1"/>
  <c r="AT195" i="39" s="1"/>
  <c r="AV195" i="39" s="1"/>
  <c r="AY195" i="39" s="1"/>
  <c r="AQ196" i="39"/>
  <c r="AR196" i="39" s="1"/>
  <c r="AT196" i="39" s="1"/>
  <c r="AQ205" i="39"/>
  <c r="AR205" i="39" s="1"/>
  <c r="AT205" i="39" s="1"/>
  <c r="AV205" i="39" s="1"/>
  <c r="AY205" i="39" s="1"/>
  <c r="H217" i="39"/>
  <c r="H237" i="39"/>
  <c r="AX237" i="39" s="1"/>
  <c r="AQ3" i="39"/>
  <c r="E7" i="39"/>
  <c r="H7" i="39" s="1"/>
  <c r="E8" i="39"/>
  <c r="H8" i="39" s="1"/>
  <c r="AW20" i="39"/>
  <c r="AQ53" i="39"/>
  <c r="AR53" i="39" s="1"/>
  <c r="AT53" i="39" s="1"/>
  <c r="AV53" i="39" s="1"/>
  <c r="AQ54" i="39"/>
  <c r="AQ83" i="39"/>
  <c r="AR83" i="39" s="1"/>
  <c r="AT83" i="39" s="1"/>
  <c r="AV83" i="39" s="1"/>
  <c r="AY83" i="39" s="1"/>
  <c r="AQ84" i="39"/>
  <c r="AR84" i="39" s="1"/>
  <c r="AQ85" i="39"/>
  <c r="AR85" i="39" s="1"/>
  <c r="AT85" i="39" s="1"/>
  <c r="AV85" i="39" s="1"/>
  <c r="AY85" i="39" s="1"/>
  <c r="AQ103" i="39"/>
  <c r="AQ175" i="39"/>
  <c r="AR175" i="39" s="1"/>
  <c r="AV182" i="39"/>
  <c r="AY182" i="39" s="1"/>
  <c r="H26" i="39"/>
  <c r="H47" i="39"/>
  <c r="AW47" i="39" s="1"/>
  <c r="AU66" i="39"/>
  <c r="AQ74" i="39"/>
  <c r="AR74" i="39" s="1"/>
  <c r="AX143" i="39"/>
  <c r="AW205" i="39"/>
  <c r="AQ223" i="39"/>
  <c r="AR232" i="39"/>
  <c r="AT232" i="39" s="1"/>
  <c r="AQ239" i="39"/>
  <c r="AR239" i="39" s="1"/>
  <c r="AT239" i="39" s="1"/>
  <c r="AX6" i="39"/>
  <c r="AW6" i="39"/>
  <c r="AR76" i="39"/>
  <c r="AT76" i="39" s="1"/>
  <c r="AV76" i="39" s="1"/>
  <c r="AY76" i="39" s="1"/>
  <c r="AR7" i="39"/>
  <c r="AT7" i="39" s="1"/>
  <c r="AX36" i="39"/>
  <c r="AW36" i="39"/>
  <c r="AX84" i="39"/>
  <c r="AW84" i="39"/>
  <c r="AW86" i="39"/>
  <c r="AR115" i="39"/>
  <c r="AT115" i="39" s="1"/>
  <c r="AX3" i="39"/>
  <c r="AW3" i="39"/>
  <c r="AX23" i="39"/>
  <c r="AX83" i="39"/>
  <c r="AR3" i="39"/>
  <c r="AT3" i="39" s="1"/>
  <c r="AV3" i="39" s="1"/>
  <c r="AY3" i="39" s="1"/>
  <c r="AQ8" i="39"/>
  <c r="AQ37" i="39"/>
  <c r="AR114" i="39"/>
  <c r="AT114" i="39" s="1"/>
  <c r="AV114" i="39" s="1"/>
  <c r="AR134" i="39"/>
  <c r="AT134" i="39" s="1"/>
  <c r="AV134" i="39" s="1"/>
  <c r="AY134" i="39" s="1"/>
  <c r="AX194" i="39"/>
  <c r="AW194" i="39"/>
  <c r="AR9" i="39"/>
  <c r="AT9" i="39" s="1"/>
  <c r="AT15" i="39"/>
  <c r="AV15" i="39" s="1"/>
  <c r="AY15" i="39" s="1"/>
  <c r="AL109" i="39"/>
  <c r="AQ106" i="39"/>
  <c r="AX24" i="39"/>
  <c r="AW24" i="39"/>
  <c r="AX156" i="39"/>
  <c r="AW156" i="39"/>
  <c r="AR64" i="39"/>
  <c r="AT64" i="39" s="1"/>
  <c r="AV64" i="39" s="1"/>
  <c r="AY64" i="39" s="1"/>
  <c r="AW77" i="39"/>
  <c r="AX77" i="39"/>
  <c r="AR94" i="39"/>
  <c r="AT94" i="39" s="1"/>
  <c r="AV94" i="39" s="1"/>
  <c r="AY94" i="39" s="1"/>
  <c r="AQ34" i="39"/>
  <c r="AR45" i="39"/>
  <c r="AT45" i="39" s="1"/>
  <c r="AV45" i="39" s="1"/>
  <c r="AY45" i="39" s="1"/>
  <c r="AQ47" i="39"/>
  <c r="AR60" i="39"/>
  <c r="AT60" i="39" s="1"/>
  <c r="AV60" i="39" s="1"/>
  <c r="AY60" i="39" s="1"/>
  <c r="AX63" i="39"/>
  <c r="AW63" i="39"/>
  <c r="AU22" i="39"/>
  <c r="J30" i="39"/>
  <c r="AU30" i="39" s="1"/>
  <c r="AT32" i="39"/>
  <c r="AV32" i="39" s="1"/>
  <c r="AY32" i="39" s="1"/>
  <c r="AR2" i="39"/>
  <c r="AT2" i="39" s="1"/>
  <c r="AX8" i="39"/>
  <c r="AW8" i="39"/>
  <c r="AX9" i="39"/>
  <c r="AW9" i="39"/>
  <c r="AX14" i="39"/>
  <c r="AW14" i="39"/>
  <c r="AQ36" i="39"/>
  <c r="AQ43" i="39"/>
  <c r="AW57" i="39"/>
  <c r="AX57" i="39"/>
  <c r="E99" i="39"/>
  <c r="E97" i="39"/>
  <c r="E98" i="39"/>
  <c r="AQ99" i="39"/>
  <c r="AW155" i="39"/>
  <c r="AX155" i="39"/>
  <c r="AU7" i="39"/>
  <c r="J9" i="39"/>
  <c r="AU9" i="39"/>
  <c r="AX15" i="39"/>
  <c r="AW15" i="39"/>
  <c r="AR19" i="39"/>
  <c r="AT19" i="39" s="1"/>
  <c r="AV19" i="39" s="1"/>
  <c r="AY19" i="39" s="1"/>
  <c r="AX26" i="39"/>
  <c r="AW26" i="39"/>
  <c r="AX27" i="39"/>
  <c r="AW27" i="39"/>
  <c r="AR35" i="39"/>
  <c r="AT35" i="39" s="1"/>
  <c r="AV35" i="39" s="1"/>
  <c r="AY35" i="39" s="1"/>
  <c r="AQ46" i="39"/>
  <c r="AV52" i="39"/>
  <c r="AY52" i="39" s="1"/>
  <c r="AQ56" i="39"/>
  <c r="AR63" i="39"/>
  <c r="AW66" i="39"/>
  <c r="AX66" i="39"/>
  <c r="J155" i="39"/>
  <c r="AU155" i="39" s="1"/>
  <c r="J156" i="39"/>
  <c r="AR4" i="39"/>
  <c r="AT4" i="39" s="1"/>
  <c r="AX18" i="39"/>
  <c r="AW18" i="39"/>
  <c r="AQ28" i="39"/>
  <c r="J57" i="39"/>
  <c r="AQ57" i="39"/>
  <c r="AX135" i="39"/>
  <c r="AW135" i="39"/>
  <c r="AX53" i="39"/>
  <c r="AR72" i="39"/>
  <c r="AT72" i="39" s="1"/>
  <c r="AV72" i="39" s="1"/>
  <c r="AY72" i="39" s="1"/>
  <c r="AR93" i="39"/>
  <c r="AT93" i="39" s="1"/>
  <c r="AV93" i="39" s="1"/>
  <c r="AQ18" i="39"/>
  <c r="J18" i="39"/>
  <c r="AU18" i="39" s="1"/>
  <c r="AR23" i="39"/>
  <c r="AT23" i="39" s="1"/>
  <c r="AV23" i="39" s="1"/>
  <c r="AY23" i="39" s="1"/>
  <c r="AX60" i="39"/>
  <c r="AW60" i="39"/>
  <c r="AW83" i="39"/>
  <c r="AW125" i="39"/>
  <c r="AX35" i="39"/>
  <c r="AW35" i="39"/>
  <c r="AX44" i="39"/>
  <c r="AW44" i="39"/>
  <c r="AX46" i="39"/>
  <c r="AW46" i="39"/>
  <c r="AX47" i="39"/>
  <c r="AR54" i="39"/>
  <c r="AT54" i="39" s="1"/>
  <c r="AV54" i="39" s="1"/>
  <c r="AW58" i="39"/>
  <c r="AX58" i="39"/>
  <c r="AX87" i="39"/>
  <c r="AW87" i="39"/>
  <c r="AX42" i="39"/>
  <c r="AX74" i="39"/>
  <c r="AW74" i="39"/>
  <c r="AR87" i="39"/>
  <c r="AT87" i="39" s="1"/>
  <c r="AQ96" i="39"/>
  <c r="AX126" i="39"/>
  <c r="AW126" i="39"/>
  <c r="J225" i="39"/>
  <c r="AU225" i="39" s="1"/>
  <c r="AQ225" i="39"/>
  <c r="J27" i="39"/>
  <c r="AW52" i="39"/>
  <c r="H56" i="39"/>
  <c r="I58" i="39"/>
  <c r="J58" i="39" s="1"/>
  <c r="AU58" i="39" s="1"/>
  <c r="AQ95" i="39"/>
  <c r="J105" i="39"/>
  <c r="AU105" i="39" s="1"/>
  <c r="AQ13" i="39"/>
  <c r="AW30" i="39"/>
  <c r="AX52" i="39"/>
  <c r="AV62" i="39"/>
  <c r="AY62" i="39" s="1"/>
  <c r="AW64" i="39"/>
  <c r="AW67" i="39"/>
  <c r="AR82" i="39"/>
  <c r="AT82" i="39" s="1"/>
  <c r="AV82" i="39" s="1"/>
  <c r="AY82" i="39" s="1"/>
  <c r="AW94" i="39"/>
  <c r="AT144" i="39"/>
  <c r="AR163" i="39"/>
  <c r="AT163" i="39" s="1"/>
  <c r="AV163" i="39" s="1"/>
  <c r="AY163" i="39" s="1"/>
  <c r="AR167" i="39"/>
  <c r="AT167" i="39" s="1"/>
  <c r="AV167" i="39" s="1"/>
  <c r="AY167" i="39" s="1"/>
  <c r="AU14" i="39"/>
  <c r="AR22" i="39"/>
  <c r="AT22" i="39" s="1"/>
  <c r="AX30" i="39"/>
  <c r="E59" i="39"/>
  <c r="H59" i="39" s="1"/>
  <c r="AX62" i="39"/>
  <c r="AX64" i="39"/>
  <c r="AX67" i="39"/>
  <c r="AQ73" i="39"/>
  <c r="AL86" i="39"/>
  <c r="AQ86" i="39" s="1"/>
  <c r="AU87" i="39"/>
  <c r="AX94" i="39"/>
  <c r="AQ108" i="39"/>
  <c r="AQ118" i="39"/>
  <c r="AT123" i="39"/>
  <c r="AV123" i="39" s="1"/>
  <c r="AW133" i="39"/>
  <c r="AX144" i="39"/>
  <c r="AW144" i="39"/>
  <c r="AQ155" i="39"/>
  <c r="AR203" i="39"/>
  <c r="AT203" i="39" s="1"/>
  <c r="AV203" i="39" s="1"/>
  <c r="AY203" i="39" s="1"/>
  <c r="AT62" i="39"/>
  <c r="AW238" i="39"/>
  <c r="AW32" i="39"/>
  <c r="AU46" i="39"/>
  <c r="AQ67" i="39"/>
  <c r="AT110" i="39"/>
  <c r="AV110" i="39" s="1"/>
  <c r="AQ116" i="39"/>
  <c r="AX127" i="39"/>
  <c r="AW127" i="39"/>
  <c r="AR147" i="39"/>
  <c r="AT147" i="39" s="1"/>
  <c r="AW5" i="39"/>
  <c r="H55" i="39"/>
  <c r="I59" i="39"/>
  <c r="AQ59" i="39" s="1"/>
  <c r="AQ66" i="39"/>
  <c r="AX72" i="39"/>
  <c r="AW85" i="39"/>
  <c r="F95" i="39"/>
  <c r="AR156" i="39"/>
  <c r="AX168" i="39"/>
  <c r="AW168" i="39"/>
  <c r="AX172" i="39"/>
  <c r="AW172" i="39"/>
  <c r="AR197" i="39"/>
  <c r="AT197" i="39" s="1"/>
  <c r="AR227" i="39"/>
  <c r="AT227" i="39" s="1"/>
  <c r="AR233" i="39"/>
  <c r="AT233" i="39" s="1"/>
  <c r="AV233" i="39" s="1"/>
  <c r="I29" i="39"/>
  <c r="AQ29" i="39" s="1"/>
  <c r="AQ58" i="39"/>
  <c r="AX65" i="39"/>
  <c r="I117" i="39"/>
  <c r="J117" i="39" s="1"/>
  <c r="J115" i="39"/>
  <c r="AU115" i="39" s="1"/>
  <c r="I119" i="39"/>
  <c r="AQ119" i="39" s="1"/>
  <c r="AY122" i="39"/>
  <c r="AW122" i="39"/>
  <c r="AQ126" i="39"/>
  <c r="AX146" i="39"/>
  <c r="AX153" i="39"/>
  <c r="AR12" i="39"/>
  <c r="AT12" i="39" s="1"/>
  <c r="AV12" i="39" s="1"/>
  <c r="AY12" i="39" s="1"/>
  <c r="H16" i="39"/>
  <c r="AW43" i="39"/>
  <c r="J55" i="39"/>
  <c r="AU55" i="39" s="1"/>
  <c r="AW92" i="39"/>
  <c r="I97" i="39"/>
  <c r="I98" i="39"/>
  <c r="AQ105" i="39"/>
  <c r="AV112" i="39"/>
  <c r="AY112" i="39" s="1"/>
  <c r="AR113" i="39"/>
  <c r="AT113" i="39" s="1"/>
  <c r="AV113" i="39" s="1"/>
  <c r="AY113" i="39" s="1"/>
  <c r="AW134" i="39"/>
  <c r="AX134" i="39"/>
  <c r="AR142" i="39"/>
  <c r="AT142" i="39" s="1"/>
  <c r="AV142" i="39" s="1"/>
  <c r="AY142" i="39" s="1"/>
  <c r="J145" i="39"/>
  <c r="AU145" i="39" s="1"/>
  <c r="J146" i="39"/>
  <c r="AQ145" i="39"/>
  <c r="AW162" i="39"/>
  <c r="AX162" i="39"/>
  <c r="AW164" i="39"/>
  <c r="AT168" i="39"/>
  <c r="AV168" i="39" s="1"/>
  <c r="AY168" i="39" s="1"/>
  <c r="AW169" i="39"/>
  <c r="AX169" i="39"/>
  <c r="AX204" i="39"/>
  <c r="AW204" i="39"/>
  <c r="AW29" i="39"/>
  <c r="AW34" i="39"/>
  <c r="AX43" i="39"/>
  <c r="AW75" i="39"/>
  <c r="I107" i="39"/>
  <c r="J107" i="39" s="1"/>
  <c r="AW112" i="39"/>
  <c r="AT132" i="39"/>
  <c r="AV132" i="39" s="1"/>
  <c r="AY132" i="39" s="1"/>
  <c r="AQ143" i="39"/>
  <c r="AU164" i="39"/>
  <c r="AU162" i="39"/>
  <c r="AV162" i="39" s="1"/>
  <c r="AY162" i="39" s="1"/>
  <c r="AQ177" i="39"/>
  <c r="AX73" i="39"/>
  <c r="AX75" i="39"/>
  <c r="AX112" i="39"/>
  <c r="AQ137" i="39"/>
  <c r="AX195" i="39"/>
  <c r="AW195" i="39"/>
  <c r="AQ166" i="39"/>
  <c r="AX184" i="39"/>
  <c r="AT194" i="39"/>
  <c r="AV194" i="39" s="1"/>
  <c r="AY194" i="39" s="1"/>
  <c r="AR194" i="39"/>
  <c r="AQ204" i="39"/>
  <c r="AR222" i="39"/>
  <c r="AT222" i="39" s="1"/>
  <c r="AV222" i="39" s="1"/>
  <c r="AY222" i="39" s="1"/>
  <c r="AQ125" i="39"/>
  <c r="H174" i="39"/>
  <c r="AR223" i="39"/>
  <c r="AT223" i="39" s="1"/>
  <c r="AV223" i="39" s="1"/>
  <c r="AY223" i="39" s="1"/>
  <c r="AU238" i="39"/>
  <c r="AU239" i="39"/>
  <c r="AX185" i="39"/>
  <c r="AW185" i="39"/>
  <c r="AX213" i="39"/>
  <c r="AW213" i="39"/>
  <c r="AQ217" i="39"/>
  <c r="AV144" i="39"/>
  <c r="AY144" i="39" s="1"/>
  <c r="AQ157" i="39"/>
  <c r="AW163" i="39"/>
  <c r="AW186" i="39"/>
  <c r="AR193" i="39"/>
  <c r="AT193" i="39" s="1"/>
  <c r="AV193" i="39" s="1"/>
  <c r="AY193" i="39" s="1"/>
  <c r="AX203" i="39"/>
  <c r="AW203" i="39"/>
  <c r="AW227" i="39"/>
  <c r="AQ135" i="39"/>
  <c r="AU136" i="39"/>
  <c r="AU137" i="39"/>
  <c r="AX163" i="39"/>
  <c r="AQ164" i="39"/>
  <c r="AR183" i="39"/>
  <c r="AT183" i="39" s="1"/>
  <c r="AV183" i="39" s="1"/>
  <c r="AX186" i="39"/>
  <c r="AW212" i="39"/>
  <c r="H214" i="39"/>
  <c r="AR215" i="39"/>
  <c r="AT215" i="39" s="1"/>
  <c r="AV215" i="39" s="1"/>
  <c r="AY215" i="39" s="1"/>
  <c r="AQ216" i="39"/>
  <c r="AT234" i="39"/>
  <c r="AV234" i="39" s="1"/>
  <c r="AY234" i="39" s="1"/>
  <c r="AT236" i="39"/>
  <c r="AV236" i="39" s="1"/>
  <c r="AY236" i="39" s="1"/>
  <c r="H137" i="39"/>
  <c r="H147" i="39"/>
  <c r="AW166" i="39"/>
  <c r="AX197" i="39"/>
  <c r="AW197" i="39"/>
  <c r="AV212" i="39"/>
  <c r="AY212" i="39" s="1"/>
  <c r="AT235" i="39"/>
  <c r="AV235" i="39" s="1"/>
  <c r="AR238" i="39"/>
  <c r="AT238" i="39" s="1"/>
  <c r="AW154" i="39"/>
  <c r="AW175" i="39"/>
  <c r="AX175" i="39"/>
  <c r="AX187" i="39"/>
  <c r="AW187" i="39"/>
  <c r="AV192" i="39"/>
  <c r="AY192" i="39" s="1"/>
  <c r="AX234" i="39"/>
  <c r="AW234" i="39"/>
  <c r="AQ237" i="39"/>
  <c r="AQ100" i="39"/>
  <c r="H123" i="39"/>
  <c r="AQ124" i="39"/>
  <c r="AX154" i="39"/>
  <c r="AQ165" i="39"/>
  <c r="AQ206" i="39"/>
  <c r="AQ207" i="39"/>
  <c r="AX223" i="39"/>
  <c r="AW223" i="39"/>
  <c r="H235" i="39"/>
  <c r="AW167" i="39"/>
  <c r="AU206" i="39"/>
  <c r="AU207" i="39"/>
  <c r="AQ136" i="39"/>
  <c r="AQ146" i="39"/>
  <c r="AT173" i="39"/>
  <c r="AV173" i="39" s="1"/>
  <c r="AT202" i="39"/>
  <c r="AV202" i="39" s="1"/>
  <c r="AY202" i="39" s="1"/>
  <c r="AQ213" i="39"/>
  <c r="H216" i="39"/>
  <c r="AQ226" i="39"/>
  <c r="AU187" i="39"/>
  <c r="AW193" i="39"/>
  <c r="AW152" i="39"/>
  <c r="AW192" i="39"/>
  <c r="AU227" i="39"/>
  <c r="AU177" i="39"/>
  <c r="AW232" i="39"/>
  <c r="AW239" i="39"/>
  <c r="AW182" i="39"/>
  <c r="AX232" i="39"/>
  <c r="AX239" i="39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H124" i="2"/>
  <c r="AX124" i="2" s="1"/>
  <c r="AQ124" i="2"/>
  <c r="AQ129" i="2"/>
  <c r="AR129" i="2" s="1"/>
  <c r="AT129" i="2" s="1"/>
  <c r="AQ16" i="2"/>
  <c r="AR16" i="2" s="1"/>
  <c r="AT16" i="2" s="1"/>
  <c r="AQ17" i="2"/>
  <c r="AR17" i="2" s="1"/>
  <c r="AT17" i="2" s="1"/>
  <c r="AV17" i="2" s="1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X177" i="39" l="1"/>
  <c r="AW206" i="39"/>
  <c r="AW17" i="39"/>
  <c r="AY53" i="39"/>
  <c r="AX16" i="2"/>
  <c r="AW33" i="39"/>
  <c r="AW13" i="39"/>
  <c r="AX136" i="39"/>
  <c r="AW19" i="39"/>
  <c r="AW157" i="39"/>
  <c r="AQ117" i="39"/>
  <c r="AT133" i="39"/>
  <c r="AV133" i="39" s="1"/>
  <c r="AY133" i="39" s="1"/>
  <c r="AR44" i="39"/>
  <c r="AT44" i="39" s="1"/>
  <c r="AV44" i="39" s="1"/>
  <c r="AY44" i="39" s="1"/>
  <c r="AT156" i="39"/>
  <c r="AX115" i="39"/>
  <c r="AV197" i="39"/>
  <c r="AY197" i="39" s="1"/>
  <c r="AT63" i="39"/>
  <c r="AV63" i="39" s="1"/>
  <c r="AY63" i="39" s="1"/>
  <c r="AV154" i="39"/>
  <c r="AY154" i="39" s="1"/>
  <c r="AW93" i="39"/>
  <c r="AX93" i="39"/>
  <c r="AX207" i="39"/>
  <c r="AY93" i="39"/>
  <c r="AW54" i="39"/>
  <c r="AV9" i="39"/>
  <c r="AY9" i="39" s="1"/>
  <c r="AT187" i="39"/>
  <c r="AV187" i="39" s="1"/>
  <c r="AY187" i="39" s="1"/>
  <c r="AX165" i="39"/>
  <c r="AY233" i="39"/>
  <c r="AX124" i="39"/>
  <c r="AW237" i="39"/>
  <c r="AX28" i="39"/>
  <c r="AT6" i="39"/>
  <c r="AV6" i="39" s="1"/>
  <c r="AY6" i="39" s="1"/>
  <c r="AY26" i="39"/>
  <c r="AV196" i="39"/>
  <c r="AY196" i="39" s="1"/>
  <c r="AY54" i="39"/>
  <c r="AV4" i="39"/>
  <c r="AY4" i="39" s="1"/>
  <c r="AT84" i="39"/>
  <c r="AV84" i="39" s="1"/>
  <c r="AY84" i="39" s="1"/>
  <c r="AW233" i="39"/>
  <c r="AW226" i="39"/>
  <c r="AW114" i="39"/>
  <c r="AW124" i="2"/>
  <c r="AV2" i="39"/>
  <c r="AY2" i="39" s="1"/>
  <c r="AV10" i="39"/>
  <c r="AY10" i="39" s="1"/>
  <c r="AR120" i="39"/>
  <c r="AT120" i="39" s="1"/>
  <c r="AV120" i="39" s="1"/>
  <c r="AX183" i="39"/>
  <c r="AR103" i="39"/>
  <c r="AT103" i="39" s="1"/>
  <c r="AV103" i="39" s="1"/>
  <c r="AY103" i="39" s="1"/>
  <c r="AY183" i="39"/>
  <c r="AT175" i="39"/>
  <c r="AV175" i="39" s="1"/>
  <c r="AY175" i="39" s="1"/>
  <c r="AY114" i="39"/>
  <c r="AY173" i="39"/>
  <c r="AW224" i="39"/>
  <c r="AW173" i="39"/>
  <c r="AX37" i="39"/>
  <c r="AT74" i="39"/>
  <c r="AV74" i="39" s="1"/>
  <c r="AY74" i="39" s="1"/>
  <c r="H104" i="39"/>
  <c r="AY104" i="39" s="1"/>
  <c r="F105" i="39"/>
  <c r="AV227" i="39"/>
  <c r="AY227" i="39" s="1"/>
  <c r="AR186" i="39"/>
  <c r="AT186" i="39" s="1"/>
  <c r="AV186" i="39" s="1"/>
  <c r="AY186" i="39" s="1"/>
  <c r="AW103" i="39"/>
  <c r="AX103" i="39"/>
  <c r="AX123" i="2"/>
  <c r="AY17" i="2"/>
  <c r="AY224" i="39"/>
  <c r="AT30" i="39"/>
  <c r="AV30" i="39" s="1"/>
  <c r="AY30" i="39" s="1"/>
  <c r="H116" i="39"/>
  <c r="F117" i="39"/>
  <c r="AW17" i="2"/>
  <c r="AY123" i="2"/>
  <c r="AX7" i="39"/>
  <c r="AW7" i="39"/>
  <c r="AX217" i="39"/>
  <c r="AW217" i="39"/>
  <c r="AR185" i="39"/>
  <c r="AT185" i="39" s="1"/>
  <c r="AV185" i="39" s="1"/>
  <c r="AY185" i="39" s="1"/>
  <c r="AX176" i="39"/>
  <c r="AW176" i="39"/>
  <c r="AV232" i="39"/>
  <c r="AY232" i="39" s="1"/>
  <c r="AT130" i="2"/>
  <c r="AV130" i="2" s="1"/>
  <c r="AY130" i="2" s="1"/>
  <c r="AT214" i="39"/>
  <c r="AV214" i="39" s="1"/>
  <c r="AY214" i="39" s="1"/>
  <c r="AV122" i="2"/>
  <c r="AY122" i="2" s="1"/>
  <c r="AT27" i="39"/>
  <c r="AR29" i="39"/>
  <c r="AT29" i="39" s="1"/>
  <c r="AR119" i="39"/>
  <c r="AT119" i="39" s="1"/>
  <c r="AR237" i="39"/>
  <c r="AT237" i="39" s="1"/>
  <c r="AV237" i="39" s="1"/>
  <c r="AY237" i="39" s="1"/>
  <c r="AR217" i="39"/>
  <c r="AT217" i="39" s="1"/>
  <c r="AV217" i="39" s="1"/>
  <c r="AY217" i="39" s="1"/>
  <c r="AV239" i="39"/>
  <c r="AY239" i="39" s="1"/>
  <c r="AR204" i="39"/>
  <c r="AT204" i="39"/>
  <c r="AV204" i="39" s="1"/>
  <c r="AY204" i="39" s="1"/>
  <c r="AV55" i="39"/>
  <c r="AT86" i="39"/>
  <c r="AV86" i="39" s="1"/>
  <c r="AY86" i="39" s="1"/>
  <c r="AR86" i="39"/>
  <c r="AR57" i="39"/>
  <c r="AT57" i="39" s="1"/>
  <c r="AR56" i="39"/>
  <c r="AT56" i="39" s="1"/>
  <c r="AV56" i="39" s="1"/>
  <c r="AY56" i="39" s="1"/>
  <c r="AV238" i="39"/>
  <c r="AY238" i="39" s="1"/>
  <c r="AR73" i="39"/>
  <c r="AT73" i="39" s="1"/>
  <c r="AV73" i="39" s="1"/>
  <c r="AY73" i="39" s="1"/>
  <c r="AR95" i="39"/>
  <c r="AT95" i="39" s="1"/>
  <c r="AV95" i="39" s="1"/>
  <c r="AU59" i="39"/>
  <c r="AU57" i="39"/>
  <c r="AU157" i="39"/>
  <c r="AU156" i="39"/>
  <c r="AV156" i="39" s="1"/>
  <c r="AY156" i="39" s="1"/>
  <c r="AR207" i="39"/>
  <c r="AT207" i="39" s="1"/>
  <c r="AV207" i="39" s="1"/>
  <c r="AY207" i="39" s="1"/>
  <c r="AR143" i="39"/>
  <c r="AT143" i="39" s="1"/>
  <c r="AV143" i="39" s="1"/>
  <c r="AY143" i="39" s="1"/>
  <c r="AY16" i="39"/>
  <c r="AX16" i="39"/>
  <c r="AW16" i="39"/>
  <c r="AQ107" i="39"/>
  <c r="AR206" i="39"/>
  <c r="AT206" i="39" s="1"/>
  <c r="AV206" i="39" s="1"/>
  <c r="AY206" i="39" s="1"/>
  <c r="AR157" i="39"/>
  <c r="AT157" i="39" s="1"/>
  <c r="AV115" i="39"/>
  <c r="AY115" i="39" s="1"/>
  <c r="H95" i="39"/>
  <c r="F96" i="39"/>
  <c r="AR96" i="39"/>
  <c r="AT96" i="39" s="1"/>
  <c r="AV96" i="39" s="1"/>
  <c r="AR28" i="39"/>
  <c r="AT28" i="39" s="1"/>
  <c r="AV28" i="39" s="1"/>
  <c r="AY28" i="39" s="1"/>
  <c r="AR46" i="39"/>
  <c r="AT46" i="39" s="1"/>
  <c r="AV46" i="39" s="1"/>
  <c r="AY46" i="39" s="1"/>
  <c r="AV22" i="39"/>
  <c r="AY22" i="39" s="1"/>
  <c r="AR8" i="39"/>
  <c r="AT8" i="39" s="1"/>
  <c r="AV8" i="39" s="1"/>
  <c r="AY8" i="39" s="1"/>
  <c r="AR164" i="39"/>
  <c r="AT164" i="39" s="1"/>
  <c r="AV164" i="39" s="1"/>
  <c r="AY164" i="39" s="1"/>
  <c r="AU117" i="39"/>
  <c r="AU119" i="39"/>
  <c r="AR99" i="39"/>
  <c r="AT99" i="39" s="1"/>
  <c r="AR145" i="39"/>
  <c r="AT145" i="39" s="1"/>
  <c r="AV145" i="39" s="1"/>
  <c r="AY145" i="39" s="1"/>
  <c r="AR105" i="39"/>
  <c r="AT105" i="39" s="1"/>
  <c r="AV105" i="39" s="1"/>
  <c r="AX59" i="39"/>
  <c r="AW59" i="39"/>
  <c r="AR13" i="39"/>
  <c r="AT13" i="39" s="1"/>
  <c r="AV13" i="39" s="1"/>
  <c r="AY13" i="39" s="1"/>
  <c r="AW56" i="39"/>
  <c r="AX56" i="39"/>
  <c r="AR43" i="39"/>
  <c r="AT43" i="39" s="1"/>
  <c r="AV43" i="39" s="1"/>
  <c r="AY43" i="39" s="1"/>
  <c r="AR146" i="39"/>
  <c r="AT146" i="39" s="1"/>
  <c r="AW235" i="39"/>
  <c r="AY235" i="39"/>
  <c r="AX235" i="39"/>
  <c r="AR216" i="39"/>
  <c r="AT216" i="39" s="1"/>
  <c r="AV216" i="39" s="1"/>
  <c r="AY216" i="39" s="1"/>
  <c r="AR109" i="39"/>
  <c r="AT109" i="39" s="1"/>
  <c r="AY174" i="39"/>
  <c r="AX174" i="39"/>
  <c r="AW174" i="39"/>
  <c r="AR166" i="39"/>
  <c r="AT166" i="39" s="1"/>
  <c r="AV166" i="39" s="1"/>
  <c r="AY166" i="39" s="1"/>
  <c r="AU146" i="39"/>
  <c r="AU147" i="39"/>
  <c r="AV147" i="39" s="1"/>
  <c r="AY147" i="39" s="1"/>
  <c r="AR116" i="39"/>
  <c r="AT116" i="39" s="1"/>
  <c r="AV116" i="39" s="1"/>
  <c r="AY116" i="39" s="1"/>
  <c r="AR36" i="39"/>
  <c r="AT36" i="39" s="1"/>
  <c r="AV36" i="39" s="1"/>
  <c r="AY36" i="39" s="1"/>
  <c r="AR47" i="39"/>
  <c r="AT47" i="39" s="1"/>
  <c r="AV47" i="39" s="1"/>
  <c r="AY47" i="39" s="1"/>
  <c r="AR136" i="39"/>
  <c r="AT136" i="39" s="1"/>
  <c r="AV136" i="39" s="1"/>
  <c r="AY136" i="39" s="1"/>
  <c r="AR165" i="39"/>
  <c r="AT165" i="39" s="1"/>
  <c r="AV165" i="39" s="1"/>
  <c r="AY165" i="39" s="1"/>
  <c r="AU109" i="39"/>
  <c r="AU107" i="39"/>
  <c r="J98" i="39"/>
  <c r="AU98" i="39" s="1"/>
  <c r="AQ98" i="39"/>
  <c r="AR226" i="39"/>
  <c r="AT226" i="39" s="1"/>
  <c r="AV226" i="39" s="1"/>
  <c r="AY226" i="39" s="1"/>
  <c r="AW214" i="39"/>
  <c r="AX214" i="39"/>
  <c r="AR135" i="39"/>
  <c r="AT135" i="39" s="1"/>
  <c r="AV135" i="39" s="1"/>
  <c r="AY135" i="39" s="1"/>
  <c r="AR125" i="39"/>
  <c r="AT125" i="39" s="1"/>
  <c r="AV125" i="39" s="1"/>
  <c r="AY125" i="39" s="1"/>
  <c r="J97" i="39"/>
  <c r="AQ97" i="39"/>
  <c r="AR66" i="39"/>
  <c r="AT66" i="39" s="1"/>
  <c r="AV66" i="39" s="1"/>
  <c r="AY66" i="39" s="1"/>
  <c r="AR118" i="39"/>
  <c r="AT118" i="39" s="1"/>
  <c r="AV118" i="39" s="1"/>
  <c r="AV14" i="39"/>
  <c r="AY14" i="39" s="1"/>
  <c r="J29" i="39"/>
  <c r="AU29" i="39"/>
  <c r="AU27" i="39"/>
  <c r="AX216" i="39"/>
  <c r="AW216" i="39"/>
  <c r="AR117" i="39"/>
  <c r="AT117" i="39" s="1"/>
  <c r="AR124" i="39"/>
  <c r="AT124" i="39" s="1"/>
  <c r="AV124" i="39" s="1"/>
  <c r="AY124" i="39" s="1"/>
  <c r="AR177" i="39"/>
  <c r="AT177" i="39" s="1"/>
  <c r="AV177" i="39" s="1"/>
  <c r="AY177" i="39" s="1"/>
  <c r="AR58" i="39"/>
  <c r="AT58" i="39" s="1"/>
  <c r="AV58" i="39" s="1"/>
  <c r="AY58" i="39" s="1"/>
  <c r="AR67" i="39"/>
  <c r="AT67" i="39"/>
  <c r="AV67" i="39" s="1"/>
  <c r="AY67" i="39" s="1"/>
  <c r="AR108" i="39"/>
  <c r="AT108" i="39" s="1"/>
  <c r="AV108" i="39" s="1"/>
  <c r="AR225" i="39"/>
  <c r="AT225" i="39" s="1"/>
  <c r="AV225" i="39" s="1"/>
  <c r="AY225" i="39" s="1"/>
  <c r="AR18" i="39"/>
  <c r="AT18" i="39" s="1"/>
  <c r="AV18" i="39" s="1"/>
  <c r="AY18" i="39" s="1"/>
  <c r="AV7" i="39"/>
  <c r="AY7" i="39" s="1"/>
  <c r="AR34" i="39"/>
  <c r="AT34" i="39" s="1"/>
  <c r="AV34" i="39" s="1"/>
  <c r="AY34" i="39" s="1"/>
  <c r="AY123" i="39"/>
  <c r="AW123" i="39"/>
  <c r="AX123" i="39"/>
  <c r="AX147" i="39"/>
  <c r="AW147" i="39"/>
  <c r="AR126" i="39"/>
  <c r="AT126" i="39" s="1"/>
  <c r="AV126" i="39" s="1"/>
  <c r="AY126" i="39" s="1"/>
  <c r="AR59" i="39"/>
  <c r="AT59" i="39" s="1"/>
  <c r="AR155" i="39"/>
  <c r="AT155" i="39" s="1"/>
  <c r="AV155" i="39" s="1"/>
  <c r="AY155" i="39" s="1"/>
  <c r="AR106" i="39"/>
  <c r="AT106" i="39" s="1"/>
  <c r="AV106" i="39" s="1"/>
  <c r="AR37" i="39"/>
  <c r="AT37" i="39" s="1"/>
  <c r="AV37" i="39" s="1"/>
  <c r="AY37" i="39" s="1"/>
  <c r="AR213" i="39"/>
  <c r="AT213" i="39" s="1"/>
  <c r="AV213" i="39" s="1"/>
  <c r="AY213" i="39" s="1"/>
  <c r="AR100" i="39"/>
  <c r="AT100" i="39" s="1"/>
  <c r="AV100" i="39" s="1"/>
  <c r="AW137" i="39"/>
  <c r="AX137" i="39"/>
  <c r="AR137" i="39"/>
  <c r="AT137" i="39" s="1"/>
  <c r="AV137" i="39" s="1"/>
  <c r="AY137" i="39" s="1"/>
  <c r="AX55" i="39"/>
  <c r="AW55" i="39"/>
  <c r="AY55" i="39"/>
  <c r="AV87" i="39"/>
  <c r="AY87" i="39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AV27" i="39" l="1"/>
  <c r="AY27" i="39" s="1"/>
  <c r="F106" i="39"/>
  <c r="H105" i="39"/>
  <c r="AW104" i="39"/>
  <c r="AX104" i="39"/>
  <c r="F118" i="39"/>
  <c r="H117" i="39"/>
  <c r="AX116" i="39"/>
  <c r="AW116" i="39"/>
  <c r="AV119" i="39"/>
  <c r="AV157" i="39"/>
  <c r="AY157" i="39" s="1"/>
  <c r="AV57" i="39"/>
  <c r="AY57" i="39" s="1"/>
  <c r="AR98" i="39"/>
  <c r="AT98" i="39" s="1"/>
  <c r="AV98" i="39" s="1"/>
  <c r="AV59" i="39"/>
  <c r="AY59" i="39" s="1"/>
  <c r="AR97" i="39"/>
  <c r="AT97" i="39" s="1"/>
  <c r="AR107" i="39"/>
  <c r="AT107" i="39" s="1"/>
  <c r="AV107" i="39" s="1"/>
  <c r="AU97" i="39"/>
  <c r="AU99" i="39"/>
  <c r="AV99" i="39" s="1"/>
  <c r="AV109" i="39"/>
  <c r="AV117" i="39"/>
  <c r="AY117" i="39" s="1"/>
  <c r="F97" i="39"/>
  <c r="H96" i="39"/>
  <c r="AV29" i="39"/>
  <c r="AY29" i="39" s="1"/>
  <c r="AV146" i="39"/>
  <c r="AY146" i="39" s="1"/>
  <c r="AY95" i="39"/>
  <c r="AW95" i="39"/>
  <c r="AX95" i="39"/>
  <c r="O234" i="2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X117" i="39" l="1"/>
  <c r="AW117" i="39"/>
  <c r="F119" i="39"/>
  <c r="H118" i="39"/>
  <c r="AW105" i="39"/>
  <c r="AX105" i="39"/>
  <c r="H106" i="39"/>
  <c r="F107" i="39"/>
  <c r="AY105" i="39"/>
  <c r="AV97" i="39"/>
  <c r="AY96" i="39"/>
  <c r="AW96" i="39"/>
  <c r="AX96" i="39"/>
  <c r="F98" i="39"/>
  <c r="H97" i="39"/>
  <c r="AQ226" i="2"/>
  <c r="H224" i="2"/>
  <c r="AW224" i="2" s="1"/>
  <c r="AQ223" i="2"/>
  <c r="AR223" i="2" s="1"/>
  <c r="AT223" i="2" s="1"/>
  <c r="AV223" i="2" s="1"/>
  <c r="H227" i="2"/>
  <c r="AX227" i="2" s="1"/>
  <c r="AU224" i="2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T222" i="2"/>
  <c r="AV222" i="2" s="1"/>
  <c r="AY222" i="2" s="1"/>
  <c r="AX222" i="2"/>
  <c r="AU227" i="2"/>
  <c r="AV226" i="2" l="1"/>
  <c r="AY226" i="2"/>
  <c r="AW226" i="2"/>
  <c r="F108" i="39"/>
  <c r="H107" i="39"/>
  <c r="AX106" i="39"/>
  <c r="AY106" i="39"/>
  <c r="AW106" i="39"/>
  <c r="AX224" i="2"/>
  <c r="AX118" i="39"/>
  <c r="AW118" i="39"/>
  <c r="AY118" i="39"/>
  <c r="F120" i="39"/>
  <c r="H120" i="39" s="1"/>
  <c r="H119" i="39"/>
  <c r="AX97" i="39"/>
  <c r="AY97" i="39"/>
  <c r="AW97" i="39"/>
  <c r="F99" i="39"/>
  <c r="H98" i="39"/>
  <c r="AW227" i="2"/>
  <c r="AX223" i="2"/>
  <c r="AY233" i="2"/>
  <c r="AV224" i="2"/>
  <c r="AY224" i="2" s="1"/>
  <c r="AW233" i="2"/>
  <c r="AY223" i="2"/>
  <c r="AV227" i="2"/>
  <c r="AY227" i="2" s="1"/>
  <c r="AW120" i="39" l="1"/>
  <c r="AY120" i="39"/>
  <c r="AX120" i="39"/>
  <c r="AX119" i="39"/>
  <c r="AW119" i="39"/>
  <c r="AY119" i="39"/>
  <c r="AY107" i="39"/>
  <c r="AX107" i="39"/>
  <c r="AW107" i="39"/>
  <c r="F109" i="39"/>
  <c r="H108" i="39"/>
  <c r="AX98" i="39"/>
  <c r="AW98" i="39"/>
  <c r="AY98" i="39"/>
  <c r="F100" i="39"/>
  <c r="H100" i="39" s="1"/>
  <c r="H99" i="39"/>
  <c r="AX108" i="39" l="1"/>
  <c r="AW108" i="39"/>
  <c r="AY108" i="39"/>
  <c r="F110" i="39"/>
  <c r="H110" i="39" s="1"/>
  <c r="H109" i="39"/>
  <c r="AW99" i="39"/>
  <c r="AY99" i="39"/>
  <c r="AX99" i="39"/>
  <c r="AY100" i="39"/>
  <c r="AW100" i="39"/>
  <c r="AX100" i="39"/>
  <c r="I49" i="2"/>
  <c r="I48" i="2"/>
  <c r="I46" i="2"/>
  <c r="J46" i="2" s="1"/>
  <c r="I45" i="2"/>
  <c r="I44" i="2"/>
  <c r="J43" i="2"/>
  <c r="J47" i="2" s="1"/>
  <c r="I43" i="2"/>
  <c r="J42" i="2"/>
  <c r="AX109" i="39" l="1"/>
  <c r="AY109" i="39"/>
  <c r="AW109" i="39"/>
  <c r="AX110" i="39"/>
  <c r="AW110" i="39"/>
  <c r="AY110" i="39"/>
  <c r="J44" i="2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X196" i="2"/>
  <c r="AW196" i="2"/>
  <c r="AU189" i="2"/>
  <c r="AU188" i="2"/>
  <c r="AR186" i="2"/>
  <c r="AT186" i="2" s="1"/>
  <c r="AW198" i="2"/>
  <c r="AX186" i="2"/>
  <c r="AX187" i="2"/>
  <c r="AU192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V193" i="2" l="1"/>
  <c r="AY193" i="2" s="1"/>
  <c r="AX193" i="2"/>
  <c r="AW183" i="2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R209" i="2" s="1"/>
  <c r="AT209" i="2" s="1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G37" i="27"/>
  <c r="G33" i="27"/>
  <c r="G29" i="27"/>
  <c r="G25" i="27"/>
  <c r="G23" i="27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G17" i="27"/>
  <c r="G13" i="27"/>
  <c r="G9" i="27"/>
  <c r="G5" i="27"/>
  <c r="G3" i="27"/>
  <c r="AT172" i="2" l="1"/>
  <c r="AU142" i="2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AU97" i="2"/>
  <c r="F96" i="2"/>
  <c r="B96" i="2"/>
  <c r="N96" i="2" s="1"/>
  <c r="AS95" i="2"/>
  <c r="AN95" i="2"/>
  <c r="AM95" i="2"/>
  <c r="AL95" i="2"/>
  <c r="O95" i="2"/>
  <c r="M95" i="2"/>
  <c r="AU95" i="2"/>
  <c r="F95" i="2"/>
  <c r="H95" i="2" s="1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U93" i="2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AU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U96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U4" i="24" l="1"/>
  <c r="U3" i="24"/>
  <c r="H26" i="22" l="1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R2" i="2" l="1"/>
  <c r="AT2" i="2" s="1"/>
  <c r="AR3" i="2"/>
  <c r="AT3" i="2" s="1"/>
  <c r="AR4" i="2"/>
  <c r="AT4" i="2" s="1"/>
  <c r="I28" i="3"/>
  <c r="G4" i="8" l="1"/>
  <c r="G5" i="8"/>
  <c r="G6" i="8"/>
  <c r="G7" i="8"/>
  <c r="G8" i="8"/>
  <c r="G9" i="8"/>
  <c r="G10" i="8"/>
  <c r="G3" i="8"/>
  <c r="G11" i="8" l="1"/>
  <c r="AV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<sst xmlns="http://schemas.openxmlformats.org/spreadsheetml/2006/main" count="20097" uniqueCount="657">
  <si>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</si>
  <si>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</si>
  <si>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</si>
  <si>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</si>
  <si>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</si>
  <si>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</si>
  <si>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</si>
  <si>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</si>
  <si>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</si>
  <si>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</si>
  <si>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</si>
  <si>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</si>
  <si>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</si>
  <si>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</si>
  <si>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</si>
  <si>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</si>
  <si>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</si>
  <si>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</si>
  <si>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</si>
  <si>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</si>
  <si>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</si>
  <si>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</si>
  <si>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</si>
  <si>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</si>
  <si>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</si>
  <si>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</si>
  <si>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</si>
  <si>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</si>
  <si>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</si>
  <si>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</si>
  <si>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</si>
  <si>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</si>
  <si>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</si>
  <si>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</si>
  <si>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</si>
  <si>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</si>
  <si>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</si>
  <si>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</si>
  <si>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</si>
  <si>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</si>
  <si>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</si>
  <si>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</si>
  <si>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</si>
  <si>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</si>
  <si>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</si>
  <si>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</si>
  <si>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</si>
  <si>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</si>
  <si>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</si>
  <si>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</si>
  <si>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</si>
  <si>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</si>
  <si>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</si>
  <si>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</si>
  <si>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</si>
  <si>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</si>
  <si>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</si>
  <si>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</si>
  <si>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</si>
  <si>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</si>
  <si>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</si>
  <si>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</si>
  <si>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</si>
  <si>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</si>
  <si>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</si>
  <si>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</si>
  <si>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</si>
  <si>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</si>
  <si>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</si>
  <si>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</si>
  <si>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</si>
  <si>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</si>
  <si>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</si>
  <si>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</si>
  <si>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</si>
  <si>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</si>
  <si>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</si>
  <si>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</si>
  <si>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</si>
  <si>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</si>
  <si>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</si>
  <si>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</si>
  <si>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</si>
  <si>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</si>
  <si>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</si>
  <si>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</si>
  <si>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</si>
  <si>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</si>
  <si>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</si>
  <si>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</si>
  <si>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</si>
  <si>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</si>
  <si>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</si>
  <si>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</si>
  <si>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</si>
  <si>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</si>
  <si>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</si>
  <si>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</si>
  <si>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</si>
  <si>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</si>
  <si>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</si>
  <si>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</si>
  <si>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</si>
  <si>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</si>
  <si>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</si>
  <si>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</si>
  <si>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</si>
  <si>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</si>
  <si>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</si>
  <si>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</si>
  <si>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</si>
  <si>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</si>
  <si>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</si>
  <si>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</si>
  <si>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</si>
  <si>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</si>
  <si>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</si>
  <si>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</si>
  <si>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</si>
  <si>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</si>
  <si>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</si>
  <si>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</si>
  <si>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</si>
  <si>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</si>
  <si>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</si>
  <si>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</si>
  <si>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</si>
  <si>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</si>
  <si>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</si>
  <si>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</si>
  <si>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</si>
  <si>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</si>
  <si>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</si>
  <si>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</si>
  <si>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</si>
  <si>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</si>
  <si>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</si>
  <si>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</si>
  <si>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</si>
  <si>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</si>
  <si>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</si>
  <si>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</si>
  <si>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</si>
  <si>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</si>
  <si>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</si>
  <si>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</si>
  <si>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</si>
  <si>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</si>
  <si>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</si>
  <si>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</si>
  <si>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</si>
  <si>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</si>
  <si>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</si>
  <si>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</si>
  <si>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</si>
  <si>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</si>
  <si>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</si>
  <si>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</si>
  <si>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</si>
  <si>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</si>
  <si>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</si>
  <si>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</si>
  <si>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</si>
  <si>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</si>
  <si>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</si>
  <si>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</si>
  <si>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</si>
  <si>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</si>
  <si>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</si>
  <si>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</si>
  <si>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</si>
  <si>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</si>
  <si>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</si>
  <si>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</si>
  <si>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</si>
  <si>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</si>
  <si>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</si>
  <si>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</si>
  <si>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</si>
  <si>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</si>
  <si>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</si>
  <si>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</si>
  <si>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</si>
  <si>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</si>
  <si>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</si>
  <si>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</si>
  <si>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</si>
  <si>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</si>
  <si>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</si>
  <si>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</si>
  <si>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</si>
  <si>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</si>
  <si>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</si>
  <si>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</si>
  <si>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</si>
  <si>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</si>
  <si>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</si>
  <si>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</si>
  <si>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</si>
  <si>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</si>
  <si>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</si>
  <si>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</si>
  <si>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</si>
  <si>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</si>
  <si>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</si>
  <si>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</si>
  <si>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</si>
  <si>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</si>
  <si>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</si>
  <si>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</si>
  <si>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</si>
  <si>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</si>
  <si>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</si>
  <si>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</si>
  <si>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</si>
  <si>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</si>
  <si>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</si>
  <si>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</si>
  <si>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</si>
  <si>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</si>
  <si>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</si>
  <si>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</si>
  <si>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</si>
  <si>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</si>
  <si>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</si>
  <si>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</si>
  <si>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</si>
  <si>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</si>
  <si>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</si>
  <si>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</si>
  <si>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</si>
  <si>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</si>
  <si>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</si>
  <si>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</si>
  <si>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</si>
  <si>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</si>
  <si>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</si>
  <si>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</si>
  <si>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</si>
  <si>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</si>
  <si>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</si>
  <si>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</si>
  <si>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</si>
  <si>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</si>
  <si>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</si>
  <si>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</si>
  <si>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</si>
  <si>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</si>
  <si>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</si>
  <si>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</si>
  <si>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</si>
  <si>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</si>
  <si>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</si>
  <si>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</si>
  <si>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</si>
  <si>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</si>
  <si>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</si>
  <si>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</si>
  <si>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</si>
  <si>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</si>
  <si>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</si>
  <si>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</si>
  <si>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</si>
  <si>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</si>
  <si>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</si>
  <si>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</si>
  <si>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</si>
  <si>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</si>
  <si>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</si>
  <si>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</si>
  <si>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</si>
  <si>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</si>
  <si>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</si>
  <si>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</si>
  <si>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</si>
  <si>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</si>
  <si>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</si>
  <si>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</si>
  <si>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</si>
  <si>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</si>
  <si>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</si>
  <si>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</si>
  <si>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</si>
  <si>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</si>
  <si>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</si>
  <si>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</si>
  <si>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</si>
  <si>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</si>
  <si>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</si>
  <si>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</si>
  <si>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</si>
  <si>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</si>
  <si>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</si>
  <si>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</si>
  <si>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</si>
  <si>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</si>
  <si>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</si>
  <si>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</si>
  <si>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</si>
  <si>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</si>
  <si>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</si>
  <si>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</si>
  <si>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</si>
  <si>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</si>
  <si>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</si>
  <si>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</si>
  <si>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</si>
  <si>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</si>
  <si>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</si>
  <si>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</si>
  <si>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</si>
  <si>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</si>
  <si>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</si>
  <si>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</si>
  <si>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</si>
  <si>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</si>
  <si>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</si>
  <si>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</si>
  <si>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</si>
  <si>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</si>
  <si>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</si>
  <si>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</si>
  <si>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</si>
  <si>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Пожар и взрыв</t>
  </si>
  <si>
    <t xml:space="preserve">При проведении ремонтных работ возник пожар. Пожар перекинулся на резервуар с нефтью. Произошел взрыв резервуара, предназначенного для содержания нефти. </t>
  </si>
  <si>
    <t>Уничтожены 2 резервуара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</si>
  <si>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</si>
  <si>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</si>
  <si>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</si>
  <si>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</si>
  <si>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</si>
  <si>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</si>
  <si>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</si>
  <si>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</si>
  <si>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</si>
  <si>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</si>
  <si>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</si>
  <si>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</si>
  <si>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</si>
  <si>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</si>
  <si>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На трубопроводе «Транснефти» у села Красноармейское произошел прорыв. Разлившаяся нефть загорелась, и огонь перекинулся на жилые дома. Прорыв мог произойти из-за снижения давления в трубопроводе.</t>
  </si>
  <si>
    <t>По данным сотрудников МЧС, огнем оказалась охвачена площадь более тысячи квадратных метров.</t>
  </si>
  <si>
    <t>В селе Красноармейское под Саратовом сгорели четыре жилых дома.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</si>
  <si>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</si>
  <si>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</si>
  <si>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</si>
  <si>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</si>
  <si>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</si>
  <si>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</si>
  <si>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</si>
  <si>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</si>
  <si>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</si>
  <si>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</si>
  <si>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</si>
  <si>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</si>
  <si>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</si>
  <si>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</si>
  <si>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</si>
  <si>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</si>
  <si>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</si>
  <si>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</si>
  <si>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</si>
  <si>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</si>
  <si>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</si>
  <si>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</si>
  <si>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18.01.2018 г. (село Красноармейское под Саратовом)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</si>
  <si>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</si>
  <si>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</si>
  <si>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</si>
  <si>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</si>
  <si>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</si>
  <si>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</si>
  <si>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</si>
  <si>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</si>
  <si>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03.12.19 г.
Ангарская нефтехимическая компания в Иркутской области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</si>
  <si>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</si>
  <si>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</si>
  <si>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</si>
  <si>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</si>
  <si>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</si>
  <si>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</si>
  <si>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</si>
  <si>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</si>
  <si>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</si>
  <si>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</si>
  <si>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</si>
  <si>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</si>
  <si>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</si>
  <si>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</si>
  <si>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</si>
  <si>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</si>
  <si>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</si>
  <si>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</si>
  <si>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</si>
  <si>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</si>
  <si>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</si>
  <si>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</si>
  <si>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</si>
  <si>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</si>
  <si>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</si>
  <si>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</si>
  <si>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</si>
  <si>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</si>
  <si>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</si>
  <si>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</si>
  <si>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</si>
  <si>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</si>
  <si>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</si>
  <si>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Вероятность ветра</t>
  </si>
  <si>
    <t>Вероятность температурры</t>
  </si>
  <si>
    <t>P=70</t>
  </si>
  <si>
    <t>Р=2</t>
  </si>
  <si>
    <t>Р=14</t>
  </si>
  <si>
    <t>Общее количество человек на ОПО</t>
  </si>
  <si>
    <t>Sum_men</t>
  </si>
  <si>
    <t>Конденсатор серы Т-409 С</t>
  </si>
  <si>
    <t>Конденсатор серы Т-409 А</t>
  </si>
  <si>
    <t>Конденсатор серы Т-405 А</t>
  </si>
  <si>
    <t>Аккумулятор амина V- 210</t>
  </si>
  <si>
    <t xml:space="preserve">Дренажная емкость амина V-214 </t>
  </si>
  <si>
    <t>Сепаратор факельный С-301/1</t>
  </si>
  <si>
    <t xml:space="preserve">Дренажная емкость гликоля V-707 </t>
  </si>
  <si>
    <t>Емкость Е-27</t>
  </si>
  <si>
    <t xml:space="preserve">Емкость Е-100 </t>
  </si>
  <si>
    <t xml:space="preserve">Газосепаратор V-207/1 </t>
  </si>
  <si>
    <t xml:space="preserve">Испаритель И-206/1-А </t>
  </si>
  <si>
    <t>Испаритель И-206/1-В</t>
  </si>
  <si>
    <t xml:space="preserve">Емкость V-210/1 </t>
  </si>
  <si>
    <t xml:space="preserve">Емкость V-216/1 </t>
  </si>
  <si>
    <t xml:space="preserve">Емкость Е-1 </t>
  </si>
  <si>
    <t>Емкость Е-2</t>
  </si>
  <si>
    <t>Емкость подземная Е- 100/3</t>
  </si>
  <si>
    <t>Полное разрушение→ мгновенное воспламенение→ факельное горение</t>
  </si>
  <si>
    <t>Полное разрушениее→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</si>
  <si>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разгерметизация→ мгновенное воспламенение→ факельное горение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</si>
  <si>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</si>
  <si>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пожар-вспышка</t>
  </si>
  <si>
    <t>Абсорбер гликолевый К-301/1</t>
  </si>
  <si>
    <t xml:space="preserve">Емкость регенерированного гликоля Е-301/1 </t>
  </si>
  <si>
    <t>Емкость для приема ТЭГ Е-303/1</t>
  </si>
  <si>
    <t xml:space="preserve">Емкость для освобождения аппаратов 304/1 </t>
  </si>
  <si>
    <t>Емкость керосина Е- 305/1</t>
  </si>
  <si>
    <t>Сборник дренажный V-404N</t>
  </si>
  <si>
    <t>Конвектор трехступенчатый R- 401AN;BN;CN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</si>
  <si>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</si>
  <si>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</si>
  <si>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</si>
  <si>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</si>
  <si>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</si>
  <si>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</si>
  <si>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</si>
  <si>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</si>
  <si>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</si>
  <si>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</si>
  <si>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</si>
  <si>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</si>
  <si>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</si>
  <si>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</si>
  <si>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</si>
  <si>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</si>
  <si>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</si>
  <si>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</si>
  <si>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</si>
  <si>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</si>
  <si>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</si>
  <si>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</si>
  <si>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</si>
  <si>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</si>
  <si>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+5…+10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</si>
  <si>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</si>
  <si>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</si>
  <si>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</si>
  <si>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</si>
  <si>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</si>
  <si>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</si>
  <si>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</si>
  <si>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нефтяной газ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</si>
  <si>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</si>
  <si>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</si>
  <si>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</si>
  <si>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</si>
  <si>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</si>
  <si>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</si>
  <si>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</si>
  <si>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</si>
  <si>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</si>
  <si>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</si>
  <si>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</si>
  <si>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</si>
  <si>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</si>
  <si>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</si>
  <si>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</si>
  <si>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</si>
  <si>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</si>
  <si>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</si>
  <si>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</si>
  <si>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</si>
  <si>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</si>
  <si>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</si>
  <si>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</si>
  <si>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</si>
  <si>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</si>
  <si>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</si>
  <si>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теплоноситель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</si>
  <si>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</si>
  <si>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</si>
  <si>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</si>
  <si>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</si>
  <si>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</si>
  <si>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</si>
  <si>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</si>
  <si>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</si>
  <si>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</si>
  <si>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</si>
  <si>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</si>
  <si>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деэмульгатор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</si>
  <si>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</si>
  <si>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</si>
  <si>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</si>
  <si>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</si>
  <si>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</si>
  <si>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</si>
  <si>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</si>
  <si>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</si>
  <si>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</si>
  <si>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</si>
  <si>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</si>
  <si>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</si>
  <si>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</si>
  <si>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</si>
  <si>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</si>
  <si>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</si>
  <si>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</si>
  <si>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</si>
  <si>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</si>
  <si>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</si>
  <si>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</si>
  <si>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</si>
  <si>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</si>
  <si>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</si>
  <si>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</si>
  <si>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</si>
  <si>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</si>
  <si>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химреагент</t>
  </si>
  <si>
    <t>АО "ГРИЦ"</t>
  </si>
  <si>
    <t>Акционерное общество "Геолого-разведовательный исследовательский центр"</t>
  </si>
  <si>
    <t>Головко Ю.В.</t>
  </si>
  <si>
    <t>423117, Респ. Татарстан, Черемшанский р-н, Промышленная тер., зд. 1</t>
  </si>
  <si>
    <t>(843)264-66-68</t>
  </si>
  <si>
    <t>office@gric-nk.ru</t>
  </si>
  <si>
    <t>ВХ-00-015731</t>
  </si>
  <si>
    <t>Республика Татарстан, Черемшанский  район, Старокутушское сельское поселение, земли СПК им. Чапаева, УПСВ при ДНС-1 Кутуш</t>
  </si>
  <si>
    <t>___</t>
  </si>
  <si>
    <t>Cистема промысловых трубопроводов Максимкинского месторождения</t>
  </si>
  <si>
    <t>А43-04735-0017</t>
  </si>
  <si>
    <t>III</t>
  </si>
  <si>
    <t>ООО "Карбон-Ойл"</t>
  </si>
  <si>
    <t>Общество с ограниченной отвественностью "Карбон-Ойл"</t>
  </si>
  <si>
    <t>Хузин Р.Р.</t>
  </si>
  <si>
    <t>423461, Республика Татарстан (татарстан), р-н Альметьевский, г. Альметьевск, ул Сургутская, д. 25</t>
  </si>
  <si>
    <t>8 (8553)37-47-00</t>
  </si>
  <si>
    <t>8 (8553)37-47-90</t>
  </si>
  <si>
    <t>karbon@tatais.ru</t>
  </si>
  <si>
    <t xml:space="preserve">Российская Федерация, Республика Татарстан, Нурлатский муниципальный район Зареченское сельское поселение </t>
  </si>
  <si>
    <t>Л057-00109-16/00512395</t>
  </si>
  <si>
    <t>Выкидные трубопроводы К-643д</t>
  </si>
  <si>
    <t>Промысловый нефтегазолпровод от К-643д до т.вр</t>
  </si>
  <si>
    <t>123-22</t>
  </si>
  <si>
    <t>123-22-ДПБ1</t>
  </si>
  <si>
    <t>123-22-ДПБ2</t>
  </si>
  <si>
    <t>123-22-ДПБ3</t>
  </si>
  <si>
    <t>123-22-ГОЧС</t>
  </si>
  <si>
    <t>123-22-ПБ</t>
  </si>
  <si>
    <t>«Обустройство К-643д Максимкинского нефтяного месторождения»</t>
  </si>
  <si>
    <t>АО «Меллянефть»</t>
  </si>
  <si>
    <t>Акционерное общество «Меллянефть»</t>
  </si>
  <si>
    <t>Тазиев М.М.</t>
  </si>
  <si>
    <t>423461, Республика Татарстан, м.р-н Альметьевский, г.п. Город Альметьевск, г Альметьевск, пр-кт Строителей, д. 51Б</t>
  </si>
  <si>
    <t>mellyaneft@tatais.ru</t>
  </si>
  <si>
    <t>(8553) 37-22-60</t>
  </si>
  <si>
    <t>ВХ-00-016738</t>
  </si>
  <si>
    <t>Система промысловых (межпромысловых) трубопроводов Муслюмовского  месторождения нефти и газа</t>
  </si>
  <si>
    <t>Российская Федерация, Республика Татарстан, Муслюмовский муниципальный район</t>
  </si>
  <si>
    <t>А43-01341-0006</t>
  </si>
  <si>
    <t>Республика Татарстан, Заинский и Альметьевский районы</t>
  </si>
  <si>
    <t>А43-01246-0047</t>
  </si>
  <si>
    <t>Система промысловых трубопроводов "УПН-УСН"</t>
  </si>
  <si>
    <t>Участок нефтепровода "от УПН при ДНС-3010 до 10 км", нефть</t>
  </si>
  <si>
    <t>Участок нефтепровода "от 10 км до 20 км", нефть</t>
  </si>
  <si>
    <t>Участок нефтепровода "от 20 км до 34 км", нефть</t>
  </si>
  <si>
    <t>Участок нефтепровода "от 34 км до УСН", нефть</t>
  </si>
  <si>
    <t>1,5</t>
  </si>
  <si>
    <t>Трубопровод дренажный продукт (рег.№133)</t>
  </si>
  <si>
    <t>Резервуар РВС (8100T0001)</t>
  </si>
  <si>
    <t>Насос центробежный (8120P0002)</t>
  </si>
  <si>
    <t>Трубопровод рег. №1038</t>
  </si>
  <si>
    <t>Резервуар РВС (8206T0001)</t>
  </si>
  <si>
    <t>Резервуар РВС (8207T0001)</t>
  </si>
  <si>
    <t>Трубопровод дизельного топлива на пуск рег.№1029</t>
  </si>
  <si>
    <t>Резервуар РВС (8204T0001)</t>
  </si>
  <si>
    <t>Насос центробежный (8217P0005A)</t>
  </si>
  <si>
    <t>Ёмкость цилиндрическая (8208D0001)</t>
  </si>
  <si>
    <t>Трубопровод Дренажный продукт (СУГ) рег. № 324</t>
  </si>
  <si>
    <t>Трубопровод "Ловушечный нефтепродукт" рег. № 139</t>
  </si>
  <si>
    <t>Резервуар РВС (8216T0001)</t>
  </si>
  <si>
    <t>Трубопровод рег.№1581</t>
  </si>
  <si>
    <t>Резервуар РВС (7810T0002)</t>
  </si>
  <si>
    <t>Резервуар РВС (8311T0001)</t>
  </si>
  <si>
    <t>Резервуар РВС (8704T0001)</t>
  </si>
  <si>
    <t>Трубопровод керосина рег. № 757</t>
  </si>
  <si>
    <t>Насос центробежный (8320P0012B)</t>
  </si>
  <si>
    <t>Емкость (8321D0001)</t>
  </si>
  <si>
    <t>Насос центробежный (8321P0001A)</t>
  </si>
  <si>
    <t>Емкость (8712D0001)</t>
  </si>
  <si>
    <t>Насос центробежный (8712P0001A)</t>
  </si>
  <si>
    <t>Резервуар РВС (8253Т0001)</t>
  </si>
  <si>
    <t>Насос центробежный (8752P0001A)</t>
  </si>
  <si>
    <t>Частичное-ликв</t>
  </si>
  <si>
    <t>Резервуар РВС (8718Т0001)</t>
  </si>
  <si>
    <t>Насос центробежный (8722P0002A)</t>
  </si>
  <si>
    <t>Трубопровод Легкое масло 100-Р-0080 рег. № 841</t>
  </si>
  <si>
    <t>Резервуар РВС (8709Т0001)</t>
  </si>
  <si>
    <t>Насос центробежный (8729P0001A)</t>
  </si>
  <si>
    <t>Трубопровод Среднее масло 150-Р-0017 рег. № 842</t>
  </si>
  <si>
    <t>Аппарат (8610D0009)</t>
  </si>
  <si>
    <t>Резервуар РВС (8252T0001)</t>
  </si>
  <si>
    <t>Резервуар РВС (8701Т0001)</t>
  </si>
  <si>
    <t>Резервуар РВС (8702T0001)</t>
  </si>
  <si>
    <t>Резервуар РВС (8716T0001)</t>
  </si>
  <si>
    <t>Трубопровод дренажного продукта рег. № 115</t>
  </si>
  <si>
    <t>Резервуар РВС (8717T0004)</t>
  </si>
  <si>
    <t>Насос центробежный (8711P0001A)</t>
  </si>
  <si>
    <t>Резервуар РВС (8703T0001)</t>
  </si>
  <si>
    <t>Насос центробежный (8713P0001A)</t>
  </si>
  <si>
    <t>Резервуар РВС (8708Т0001)</t>
  </si>
  <si>
    <t>Насос центробежный (8751P0001A)</t>
  </si>
  <si>
    <t>Трубопровод, Изомеризат рег. № 1608</t>
  </si>
  <si>
    <t>Резервуар РВС (8719T0003)</t>
  </si>
  <si>
    <t>Арктическое дизельное топливо рег. № 859 трубопровод</t>
  </si>
  <si>
    <t>Арктическое дизельное топливо рег. № 1118 трубопровод</t>
  </si>
  <si>
    <t>Насос центробежный (8714P0003C)</t>
  </si>
  <si>
    <t>Резервуар РВС (8706T0001)</t>
  </si>
  <si>
    <t>Трубопровод вакуумного газойля трубопровод рег. № 780</t>
  </si>
  <si>
    <t>Трубопровод Мазут на УЗК рег.№1110</t>
  </si>
  <si>
    <t>Насос центробежный (8715P0001A)</t>
  </si>
  <si>
    <t>Емкость подачи щелочи в C0101</t>
  </si>
  <si>
    <t>Частичное разрушение→ токсическое поражение</t>
  </si>
  <si>
    <t>Нафта висбрекинга трубопровод рег. № 1003</t>
  </si>
  <si>
    <t>Резервуар РВС (8251Т0001)</t>
  </si>
  <si>
    <t>Трубопровод транспортировки бензина ККФ (P) рег. № 2389</t>
  </si>
  <si>
    <t>Резервуар РВС (8720T0002)</t>
  </si>
  <si>
    <t>Транспортировка Циркуляции трубопровод рег. № 1936</t>
  </si>
  <si>
    <t>Резервуар РВС (8212T0001)</t>
  </si>
  <si>
    <t>Транспортировка Тяжелого газойля коксования на уст.4200
трубопровод рег. № 1938</t>
  </si>
  <si>
    <t>Резервуар РВС V=1000м3</t>
  </si>
  <si>
    <t>Насос центробежный (8758Р1001А)</t>
  </si>
  <si>
    <t>Насос центробежный (8221P0001A)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</si>
</sst>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2" fontId="0" fillId="0" borderId="12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6" xfId="0" applyFill="1" applyBorder="1"/>
    <xf numFmtId="0" fontId="0" fillId="2" borderId="25" xfId="0" applyFill="1" applyBorder="1" applyAlignment="1">
      <alignment wrapText="1"/>
    </xf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0" fontId="26" fillId="0" borderId="2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justify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2" fontId="29" fillId="0" borderId="49" xfId="0" applyNumberFormat="1" applyFont="1" applyBorder="1" applyAlignment="1">
      <alignment vertical="center" wrapText="1"/>
    </xf>
    <xf numFmtId="49" fontId="29" fillId="0" borderId="53" xfId="0" applyNumberFormat="1" applyFont="1" applyBorder="1" applyAlignment="1">
      <alignment vertical="center" wrapText="1"/>
    </xf>
    <xf numFmtId="49" fontId="29" fillId="0" borderId="55" xfId="0" applyNumberFormat="1" applyFont="1" applyBorder="1" applyAlignment="1">
      <alignment vertical="center" wrapText="1"/>
    </xf>
    <xf numFmtId="49" fontId="0" fillId="0" borderId="0" xfId="0" applyNumberFormat="1"/>
    <xf numFmtId="0" fontId="28" fillId="0" borderId="59" xfId="0" applyFont="1" applyBorder="1" applyAlignment="1">
      <alignment horizontal="center" vertical="center" wrapText="1"/>
    </xf>
    <xf numFmtId="0" fontId="28" fillId="0" borderId="60" xfId="0" applyFont="1" applyBorder="1" applyAlignment="1">
      <alignment horizontal="center" vertical="center" wrapText="1"/>
    </xf>
    <xf numFmtId="2" fontId="29" fillId="0" borderId="54" xfId="0" applyNumberFormat="1" applyFont="1" applyBorder="1" applyAlignment="1">
      <alignment vertical="center" wrapText="1"/>
    </xf>
    <xf numFmtId="2" fontId="29" fillId="0" borderId="56" xfId="0" applyNumberFormat="1" applyFont="1" applyBorder="1" applyAlignment="1">
      <alignment vertical="center" wrapText="1"/>
    </xf>
    <xf numFmtId="2" fontId="29" fillId="0" borderId="57" xfId="0" applyNumberFormat="1" applyFont="1" applyBorder="1" applyAlignment="1">
      <alignment vertical="center" wrapText="1"/>
    </xf>
    <xf numFmtId="0" fontId="29" fillId="0" borderId="49" xfId="0" applyFont="1" applyBorder="1" applyAlignment="1">
      <alignment vertical="center" wrapText="1"/>
    </xf>
    <xf numFmtId="0" fontId="29" fillId="0" borderId="56" xfId="0" applyFont="1" applyBorder="1" applyAlignment="1">
      <alignment vertical="center" wrapText="1"/>
    </xf>
    <xf numFmtId="0" fontId="5" fillId="12" borderId="1" xfId="0" applyFont="1" applyFill="1" applyBorder="1"/>
    <xf numFmtId="0" fontId="18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8" fillId="12" borderId="1" xfId="0" applyNumberFormat="1" applyFont="1" applyFill="1" applyBorder="1"/>
    <xf numFmtId="11" fontId="5" fillId="12" borderId="1" xfId="0" applyNumberFormat="1" applyFont="1" applyFill="1" applyBorder="1"/>
    <xf numFmtId="2" fontId="18" fillId="12" borderId="1" xfId="0" applyNumberFormat="1" applyFont="1" applyFill="1" applyBorder="1"/>
    <xf numFmtId="2" fontId="5" fillId="12" borderId="15" xfId="0" applyNumberFormat="1" applyFont="1" applyFill="1" applyBorder="1"/>
    <xf numFmtId="2" fontId="5" fillId="12" borderId="39" xfId="0" applyNumberFormat="1" applyFont="1" applyFill="1" applyBorder="1"/>
    <xf numFmtId="0" fontId="18" fillId="12" borderId="40" xfId="0" applyFont="1" applyFill="1" applyBorder="1"/>
    <xf numFmtId="0" fontId="0" fillId="12" borderId="0" xfId="0" applyFill="1"/>
    <xf numFmtId="0" fontId="5" fillId="12" borderId="0" xfId="0" applyFont="1" applyFill="1"/>
    <xf numFmtId="0" fontId="16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8" fillId="12" borderId="1" xfId="0" applyNumberFormat="1" applyFont="1" applyFill="1" applyBorder="1"/>
    <xf numFmtId="0" fontId="8" fillId="12" borderId="1" xfId="0" applyFont="1" applyFill="1" applyBorder="1"/>
    <xf numFmtId="2" fontId="5" fillId="12" borderId="1" xfId="0" applyNumberFormat="1" applyFont="1" applyFill="1" applyBorder="1"/>
    <xf numFmtId="2" fontId="18" fillId="12" borderId="15" xfId="0" applyNumberFormat="1" applyFont="1" applyFill="1" applyBorder="1"/>
    <xf numFmtId="2" fontId="5" fillId="12" borderId="26" xfId="0" applyNumberFormat="1" applyFont="1" applyFill="1" applyBorder="1"/>
    <xf numFmtId="0" fontId="18" fillId="12" borderId="27" xfId="0" applyFont="1" applyFill="1" applyBorder="1"/>
    <xf numFmtId="0" fontId="5" fillId="12" borderId="26" xfId="0" applyFont="1" applyFill="1" applyBorder="1"/>
    <xf numFmtId="0" fontId="8" fillId="12" borderId="27" xfId="0" applyFont="1" applyFill="1" applyBorder="1"/>
    <xf numFmtId="0" fontId="5" fillId="12" borderId="41" xfId="0" applyFont="1" applyFill="1" applyBorder="1"/>
    <xf numFmtId="0" fontId="5" fillId="12" borderId="42" xfId="0" applyFont="1" applyFill="1" applyBorder="1"/>
    <xf numFmtId="0" fontId="5" fillId="12" borderId="1" xfId="1" applyFont="1" applyFill="1" applyBorder="1"/>
    <xf numFmtId="11" fontId="18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23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8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15" xfId="0" applyNumberFormat="1" applyFont="1" applyFill="1" applyBorder="1"/>
    <xf numFmtId="0" fontId="8" fillId="12" borderId="42" xfId="0" applyFont="1" applyFill="1" applyBorder="1"/>
    <xf numFmtId="0" fontId="5" fillId="13" borderId="0" xfId="0" applyFont="1" applyFill="1"/>
    <xf numFmtId="0" fontId="0" fillId="13" borderId="0" xfId="0" applyFill="1"/>
    <xf numFmtId="0" fontId="0" fillId="13" borderId="0" xfId="0" applyFill="1" applyAlignment="1">
      <alignment wrapText="1"/>
    </xf>
    <xf numFmtId="11" fontId="10" fillId="0" borderId="22" xfId="0" applyNumberFormat="1" applyFont="1" applyBorder="1" applyAlignment="1">
      <alignment horizontal="center" vertical="center" wrapText="1"/>
    </xf>
    <xf numFmtId="11" fontId="10" fillId="0" borderId="61" xfId="0" applyNumberFormat="1" applyFont="1" applyBorder="1" applyAlignment="1">
      <alignment horizontal="center" vertical="center" wrapText="1"/>
    </xf>
    <xf numFmtId="11" fontId="10" fillId="0" borderId="23" xfId="0" applyNumberFormat="1" applyFont="1" applyBorder="1" applyAlignment="1">
      <alignment horizontal="center" vertical="center" wrapText="1"/>
    </xf>
    <xf numFmtId="11" fontId="10" fillId="0" borderId="62" xfId="0" applyNumberFormat="1" applyFont="1" applyBorder="1" applyAlignment="1">
      <alignment horizontal="center" vertical="center" wrapText="1"/>
    </xf>
    <xf numFmtId="0" fontId="0" fillId="2" borderId="25" xfId="0" quotePrefix="1" applyFill="1" applyBorder="1"/>
    <xf numFmtId="0" fontId="0" fillId="0" borderId="12" xfId="0" applyBorder="1"/>
    <xf numFmtId="0" fontId="0" fillId="14" borderId="36" xfId="0" applyFill="1" applyBorder="1"/>
    <xf numFmtId="0" fontId="0" fillId="14" borderId="20" xfId="0" applyFill="1" applyBorder="1"/>
    <xf numFmtId="0" fontId="0" fillId="14" borderId="21" xfId="0" applyFill="1" applyBorder="1"/>
    <xf numFmtId="0" fontId="24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164" fontId="0" fillId="0" borderId="12" xfId="0" applyNumberFormat="1" applyBorder="1"/>
    <xf numFmtId="49" fontId="0" fillId="0" borderId="12" xfId="0" applyNumberFormat="1" applyBorder="1"/>
    <xf numFmtId="164" fontId="0" fillId="0" borderId="38" xfId="0" applyNumberFormat="1" applyBorder="1"/>
    <xf numFmtId="2" fontId="18" fillId="8" borderId="15" xfId="0" applyNumberFormat="1" applyFont="1" applyFill="1" applyBorder="1"/>
    <xf numFmtId="0" fontId="24" fillId="0" borderId="0" xfId="2"/>
    <xf numFmtId="14" fontId="0" fillId="0" borderId="0" xfId="0" applyNumberFormat="1" applyAlignment="1">
      <alignment wrapText="1"/>
    </xf>
    <xf numFmtId="2" fontId="18" fillId="5" borderId="15" xfId="0" applyNumberFormat="1" applyFont="1" applyFill="1" applyBorder="1"/>
    <xf numFmtId="2" fontId="18" fillId="8" borderId="40" xfId="0" applyNumberFormat="1" applyFont="1" applyFill="1" applyBorder="1"/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28" fillId="0" borderId="50" xfId="0" applyFont="1" applyBorder="1" applyAlignment="1">
      <alignment horizontal="center" vertical="center" wrapText="1"/>
    </xf>
    <xf numFmtId="0" fontId="28" fillId="0" borderId="58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5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5" fillId="15" borderId="0" xfId="0" applyFont="1" applyFill="1"/>
    <xf numFmtId="0" fontId="0" fillId="15" borderId="0" xfId="0" applyFill="1"/>
    <xf numFmtId="0" fontId="0" fillId="15" borderId="0" xfId="0" applyFill="1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17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17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7889" name="Скрыть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E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37890" name="Показать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E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44033" name="Скрыть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1F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44034" name="Показать" hidden="1">
              <a:extLst>
                <a:ext uri="{63B3BB69-23CF-44E3-9099-C40C66FF867C}">
                  <a14:compatExt spid="_x0000_s44034"/>
                </a:ext>
                <a:ext uri="{FF2B5EF4-FFF2-40B4-BE49-F238E27FC236}">
                  <a16:creationId xmlns:a16="http://schemas.microsoft.com/office/drawing/2014/main" id="{00000000-0008-0000-1F00-000002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karbon@tatais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11" Type="http://schemas.openxmlformats.org/officeDocument/2006/relationships/hyperlink" Target="mailto:general@smpneftegaz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hyperlink" Target="mailto:mellyaneft@tatais.ru" TargetMode="External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karbon@tatais.ru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4.xml"/><Relationship Id="rId5" Type="http://schemas.openxmlformats.org/officeDocument/2006/relationships/image" Target="../media/image12.emf"/><Relationship Id="rId4" Type="http://schemas.openxmlformats.org/officeDocument/2006/relationships/control" Target="../activeX/activeX3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0.bin"/><Relationship Id="rId6" Type="http://schemas.openxmlformats.org/officeDocument/2006/relationships/control" Target="../activeX/activeX6.xml"/><Relationship Id="rId5" Type="http://schemas.openxmlformats.org/officeDocument/2006/relationships/image" Target="../media/image14.emf"/><Relationship Id="rId4" Type="http://schemas.openxmlformats.org/officeDocument/2006/relationships/control" Target="../activeX/activeX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24</v>
      </c>
      <c r="D1" s="8" t="s">
        <v>46</v>
      </c>
      <c r="E1" s="8" t="s">
        <v>47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29</v>
      </c>
      <c r="K1" s="8" t="s">
        <v>14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52</v>
      </c>
      <c r="K3" s="75">
        <f>G4*F8*E13*D52</f>
        <v>0</v>
      </c>
    </row>
    <row r="4" spans="3:11" x14ac:dyDescent="0.25">
      <c r="C4" s="9"/>
      <c r="D4" s="9"/>
      <c r="E4" s="9"/>
      <c r="F4" s="11" t="s">
        <v>31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53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31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36</v>
      </c>
      <c r="F8" s="18">
        <v>1</v>
      </c>
      <c r="G8" s="19" t="s">
        <v>36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34</v>
      </c>
      <c r="G9" s="27">
        <v>0.95</v>
      </c>
      <c r="H9" s="17"/>
      <c r="I9" s="11" t="s">
        <v>34</v>
      </c>
      <c r="J9" s="20" t="s">
        <v>38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39</v>
      </c>
      <c r="H12" s="26">
        <v>0</v>
      </c>
      <c r="I12" s="9"/>
      <c r="J12" s="11" t="s">
        <v>30</v>
      </c>
      <c r="K12" s="75">
        <f>J13*H12*G9*F8*E13*D52</f>
        <v>0</v>
      </c>
    </row>
    <row r="13" spans="3:11" x14ac:dyDescent="0.25">
      <c r="C13" s="9"/>
      <c r="D13" s="11" t="s">
        <v>54</v>
      </c>
      <c r="E13" s="18">
        <v>0</v>
      </c>
      <c r="F13" s="17"/>
      <c r="G13" s="9"/>
      <c r="H13" s="17"/>
      <c r="I13" s="11" t="s">
        <v>31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39</v>
      </c>
      <c r="F16" s="26">
        <v>0</v>
      </c>
      <c r="G16" s="9"/>
      <c r="H16" s="9"/>
      <c r="I16" s="11" t="s">
        <v>34</v>
      </c>
      <c r="J16" s="20" t="s">
        <v>38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52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31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53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31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36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55</v>
      </c>
      <c r="E25" s="18">
        <v>1</v>
      </c>
      <c r="F25" s="11" t="s">
        <v>34</v>
      </c>
      <c r="G25" s="27">
        <v>0.95</v>
      </c>
      <c r="H25" s="17"/>
      <c r="I25" s="11" t="s">
        <v>34</v>
      </c>
      <c r="J25" s="20" t="s">
        <v>38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39</v>
      </c>
      <c r="H28" s="18">
        <v>0</v>
      </c>
      <c r="I28" s="9"/>
      <c r="J28" s="11" t="s">
        <v>30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31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34</v>
      </c>
      <c r="J32" s="20" t="s">
        <v>38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52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31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53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31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36</v>
      </c>
      <c r="F41" s="18">
        <v>1</v>
      </c>
      <c r="G41" s="19" t="s">
        <v>36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34</v>
      </c>
      <c r="G42" s="27">
        <v>0.95</v>
      </c>
      <c r="H42" s="17"/>
      <c r="I42" s="11" t="s">
        <v>34</v>
      </c>
      <c r="J42" s="20" t="s">
        <v>38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39</v>
      </c>
      <c r="H45" s="18">
        <v>0</v>
      </c>
      <c r="I45" s="9"/>
      <c r="J45" s="11" t="s">
        <v>30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31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39</v>
      </c>
      <c r="F49" s="18">
        <v>0</v>
      </c>
      <c r="G49" s="9"/>
      <c r="H49" s="9"/>
      <c r="I49" s="11" t="s">
        <v>34</v>
      </c>
      <c r="J49" s="20" t="s">
        <v>38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56</v>
      </c>
      <c r="D52" s="18">
        <v>1</v>
      </c>
      <c r="E52" s="9"/>
      <c r="F52" s="17"/>
      <c r="G52" s="16"/>
      <c r="H52" s="16"/>
      <c r="I52" s="16"/>
      <c r="J52" s="35" t="s">
        <v>52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31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53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31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36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34</v>
      </c>
      <c r="G58" s="27">
        <v>0.95</v>
      </c>
      <c r="H58" s="17"/>
      <c r="I58" s="11" t="s">
        <v>34</v>
      </c>
      <c r="J58" s="20" t="s">
        <v>38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39</v>
      </c>
      <c r="H61" s="18">
        <v>0</v>
      </c>
      <c r="I61" s="9"/>
      <c r="J61" s="11" t="s">
        <v>30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31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34</v>
      </c>
      <c r="J65" s="20" t="s">
        <v>38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30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31</v>
      </c>
      <c r="G72" s="18">
        <v>0.05</v>
      </c>
      <c r="H72" s="9"/>
      <c r="I72" s="9"/>
      <c r="J72" s="25" t="s">
        <v>57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31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36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34</v>
      </c>
      <c r="J76" s="20" t="s">
        <v>38</v>
      </c>
      <c r="K76" s="28">
        <f>J77*I75*H77*G78*F83*D77</f>
        <v>0.90249999999999997</v>
      </c>
    </row>
    <row r="77" spans="3:11" x14ac:dyDescent="0.25">
      <c r="C77" s="39" t="s">
        <v>41</v>
      </c>
      <c r="D77" s="18">
        <v>1</v>
      </c>
      <c r="E77" s="9"/>
      <c r="F77" s="17"/>
      <c r="G77" s="19" t="s">
        <v>36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34</v>
      </c>
      <c r="G78" s="27">
        <v>0.95</v>
      </c>
      <c r="H78" s="19" t="s">
        <v>39</v>
      </c>
      <c r="I78" s="18">
        <v>0</v>
      </c>
      <c r="J78" s="25" t="s">
        <v>30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31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34</v>
      </c>
      <c r="J82" s="20" t="s">
        <v>38</v>
      </c>
      <c r="K82" s="28">
        <f>J83*I78*H77*G78*F83*D77</f>
        <v>0</v>
      </c>
    </row>
    <row r="83" spans="3:11" x14ac:dyDescent="0.25">
      <c r="C83" s="9"/>
      <c r="D83" s="17"/>
      <c r="E83" s="11" t="s">
        <v>36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30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39</v>
      </c>
      <c r="H86" s="18">
        <v>0</v>
      </c>
      <c r="I86" s="11" t="s">
        <v>31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36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34</v>
      </c>
      <c r="J89" s="20" t="s">
        <v>38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39</v>
      </c>
      <c r="I91" s="18">
        <v>0</v>
      </c>
      <c r="J91" s="25" t="s">
        <v>30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31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34</v>
      </c>
      <c r="J95" s="20" t="s">
        <v>38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39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30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31</v>
      </c>
      <c r="G102" s="18">
        <v>0.05</v>
      </c>
      <c r="H102" s="9"/>
      <c r="I102" s="9"/>
      <c r="J102" s="25" t="s">
        <v>57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31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36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34</v>
      </c>
      <c r="J106" s="20" t="s">
        <v>38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36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34</v>
      </c>
      <c r="G108" s="27">
        <v>0.95</v>
      </c>
      <c r="H108" s="19" t="s">
        <v>39</v>
      </c>
      <c r="I108" s="18">
        <v>0</v>
      </c>
      <c r="J108" s="25" t="s">
        <v>30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31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34</v>
      </c>
      <c r="J112" s="20" t="s">
        <v>38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30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39</v>
      </c>
      <c r="H116" s="18">
        <v>0</v>
      </c>
      <c r="I116" s="11" t="s">
        <v>31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36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34</v>
      </c>
      <c r="J119" s="20" t="s">
        <v>38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39</v>
      </c>
      <c r="I121" s="18">
        <v>0</v>
      </c>
      <c r="J121" s="25" t="s">
        <v>30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31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34</v>
      </c>
      <c r="J125" s="20" t="s">
        <v>38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2" activePane="bottomLeft" state="frozen"/>
      <selection pane="bottomLeft" activeCell="L10" sqref="L10:L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12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38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38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63</v>
      </c>
      <c r="C1" s="71"/>
      <c r="D1" s="71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117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117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54</v>
      </c>
      <c r="F9" s="62" t="s">
        <v>34</v>
      </c>
      <c r="G9" s="63" t="s">
        <v>38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30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55</v>
      </c>
      <c r="F14" s="65" t="s">
        <v>31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0.27074999999999999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54</v>
      </c>
      <c r="F26" s="62" t="s">
        <v>34</v>
      </c>
      <c r="G26" s="63" t="s">
        <v>38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30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55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2" activePane="bottomLeft" state="frozen"/>
      <selection pane="bottomLeft" activeCell="B1" sqref="B1:H3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33</v>
      </c>
      <c r="F6" s="13">
        <v>0.2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37</v>
      </c>
      <c r="F9" s="63" t="s">
        <v>38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0.85499999999999998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26</v>
      </c>
      <c r="C1" s="8" t="s">
        <v>27</v>
      </c>
      <c r="D1" s="8" t="s">
        <v>28</v>
      </c>
      <c r="E1" s="8" t="s">
        <v>29</v>
      </c>
      <c r="F1" s="8" t="s">
        <v>10</v>
      </c>
      <c r="G1" s="8" t="s">
        <v>14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30</v>
      </c>
      <c r="F3" s="12"/>
      <c r="G3" s="75">
        <f>C4</f>
        <v>0.05</v>
      </c>
    </row>
    <row r="4" spans="2:7" x14ac:dyDescent="0.3">
      <c r="B4" s="11" t="s">
        <v>31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32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31</v>
      </c>
      <c r="E6" s="13">
        <v>0.05</v>
      </c>
      <c r="F6" s="9"/>
      <c r="G6" s="15"/>
    </row>
    <row r="7" spans="2:7" x14ac:dyDescent="0.3">
      <c r="B7" s="11" t="s">
        <v>34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36</v>
      </c>
      <c r="D9" s="19" t="s">
        <v>34</v>
      </c>
      <c r="E9" s="20" t="s">
        <v>38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30</v>
      </c>
      <c r="F13" s="12"/>
      <c r="G13" s="75">
        <f>E14*D13*C7</f>
        <v>0</v>
      </c>
    </row>
    <row r="14" spans="2:7" x14ac:dyDescent="0.3">
      <c r="B14" s="9"/>
      <c r="C14" s="11" t="s">
        <v>39</v>
      </c>
      <c r="D14" s="23" t="s">
        <v>31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34</v>
      </c>
      <c r="E17" s="20" t="s">
        <v>38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26</v>
      </c>
      <c r="C21" s="8" t="s">
        <v>27</v>
      </c>
      <c r="D21" s="8" t="s">
        <v>28</v>
      </c>
      <c r="E21" s="8" t="s">
        <v>29</v>
      </c>
      <c r="F21" s="8" t="s">
        <v>10</v>
      </c>
      <c r="G21" s="8" t="s">
        <v>14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30</v>
      </c>
      <c r="F23" s="12"/>
      <c r="G23" s="75">
        <f>C24</f>
        <v>0.05</v>
      </c>
    </row>
    <row r="24" spans="2:7" x14ac:dyDescent="0.3">
      <c r="B24" s="11" t="s">
        <v>31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32</v>
      </c>
      <c r="F25" s="12"/>
      <c r="G25" s="75">
        <f>C27*E26*D28</f>
        <v>0</v>
      </c>
    </row>
    <row r="26" spans="2:7" x14ac:dyDescent="0.3">
      <c r="B26" s="9"/>
      <c r="C26" s="17"/>
      <c r="D26" s="11" t="s">
        <v>31</v>
      </c>
      <c r="E26" s="13">
        <v>0.05</v>
      </c>
      <c r="F26" s="9"/>
      <c r="G26" s="15"/>
    </row>
    <row r="27" spans="2:7" x14ac:dyDescent="0.3">
      <c r="B27" s="11" t="s">
        <v>34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36</v>
      </c>
      <c r="D29" s="19" t="s">
        <v>34</v>
      </c>
      <c r="E29" s="20" t="s">
        <v>38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30</v>
      </c>
      <c r="F33" s="12"/>
      <c r="G33" s="75">
        <f>E34*D33*C27</f>
        <v>4.7500000000000001E-2</v>
      </c>
    </row>
    <row r="34" spans="2:7" x14ac:dyDescent="0.3">
      <c r="B34" s="9"/>
      <c r="C34" s="11" t="s">
        <v>39</v>
      </c>
      <c r="D34" s="23" t="s">
        <v>31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34</v>
      </c>
      <c r="E37" s="20" t="s">
        <v>38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6" max="6" width="12.6640625" customWidth="1"/>
    <col min="7" max="7" width="18.33203125" style="6" customWidth="1"/>
    <col min="8" max="8" width="12.109375" hidden="1" customWidth="1"/>
    <col min="9" max="9" width="15.33203125" style="6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295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2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21.44140625" style="6" customWidth="1"/>
    <col min="6" max="6" width="15.5546875" customWidth="1"/>
    <col min="7" max="7" width="21.6640625" style="6" customWidth="1"/>
    <col min="8" max="8" width="12.109375" hidden="1" customWidth="1"/>
    <col min="9" max="9" width="11.5546875" style="6" customWidth="1"/>
    <col min="10" max="16384" width="8.88671875" style="6"/>
  </cols>
  <sheetData>
    <row r="1" spans="2:9" ht="67.5" customHeight="1" x14ac:dyDescent="0.25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295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P24"/>
  <sheetViews>
    <sheetView workbookViewId="0">
      <selection activeCell="B14" sqref="B14"/>
    </sheetView>
  </sheetViews>
  <sheetFormatPr defaultRowHeight="14.4" x14ac:dyDescent="0.3"/>
  <cols>
    <col min="1" max="1" width="32.88671875" customWidth="1"/>
    <col min="2" max="2" width="65.441406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33203125" customWidth="1"/>
    <col min="12" max="12" width="18.6640625" customWidth="1"/>
    <col min="13" max="13" width="19.109375" customWidth="1"/>
    <col min="14" max="14" width="23.6640625" customWidth="1"/>
    <col min="15" max="15" width="26.21875" customWidth="1"/>
    <col min="16" max="16" width="25.109375" customWidth="1"/>
  </cols>
  <sheetData>
    <row r="2" spans="1:16" x14ac:dyDescent="0.3">
      <c r="A2" s="227" t="s">
        <v>248</v>
      </c>
      <c r="B2" s="7" t="s">
        <v>505</v>
      </c>
      <c r="C2" t="s">
        <v>270</v>
      </c>
      <c r="F2" s="7" t="s">
        <v>444</v>
      </c>
      <c r="G2" s="7" t="s">
        <v>477</v>
      </c>
      <c r="H2" s="7" t="s">
        <v>504</v>
      </c>
      <c r="I2" s="7" t="s">
        <v>505</v>
      </c>
      <c r="J2" s="7" t="s">
        <v>444</v>
      </c>
      <c r="K2" s="7" t="s">
        <v>524</v>
      </c>
      <c r="L2" s="7" t="s">
        <v>504</v>
      </c>
      <c r="M2" s="7" t="s">
        <v>544</v>
      </c>
      <c r="N2" s="7" t="s">
        <v>556</v>
      </c>
      <c r="O2" s="7" t="s">
        <v>556</v>
      </c>
      <c r="P2" s="7" t="s">
        <v>574</v>
      </c>
    </row>
    <row r="3" spans="1:16" ht="72" x14ac:dyDescent="0.3">
      <c r="A3" s="227" t="s">
        <v>251</v>
      </c>
      <c r="B3" s="7" t="s">
        <v>506</v>
      </c>
      <c r="C3" t="s">
        <v>271</v>
      </c>
      <c r="F3" s="7" t="s">
        <v>445</v>
      </c>
      <c r="G3" s="7" t="s">
        <v>478</v>
      </c>
      <c r="H3" s="7" t="s">
        <v>488</v>
      </c>
      <c r="I3" s="7" t="s">
        <v>506</v>
      </c>
      <c r="J3" s="7" t="s">
        <v>445</v>
      </c>
      <c r="K3" s="7" t="s">
        <v>523</v>
      </c>
      <c r="L3" s="7" t="s">
        <v>488</v>
      </c>
      <c r="M3" s="7" t="s">
        <v>545</v>
      </c>
      <c r="N3" s="7" t="s">
        <v>557</v>
      </c>
      <c r="O3" s="7" t="s">
        <v>557</v>
      </c>
      <c r="P3" s="7" t="s">
        <v>575</v>
      </c>
    </row>
    <row r="4" spans="1:16" ht="57.6" x14ac:dyDescent="0.3">
      <c r="A4" s="227" t="s">
        <v>250</v>
      </c>
      <c r="B4" s="7" t="s">
        <v>479</v>
      </c>
      <c r="C4" t="s">
        <v>273</v>
      </c>
      <c r="F4" s="7" t="s">
        <v>446</v>
      </c>
      <c r="G4" s="7" t="s">
        <v>479</v>
      </c>
      <c r="H4" s="7" t="s">
        <v>479</v>
      </c>
      <c r="I4" s="7" t="s">
        <v>479</v>
      </c>
      <c r="J4" s="7" t="s">
        <v>446</v>
      </c>
      <c r="K4" s="7" t="s">
        <v>446</v>
      </c>
      <c r="L4" s="7" t="s">
        <v>479</v>
      </c>
      <c r="M4" s="7" t="s">
        <v>479</v>
      </c>
      <c r="N4" s="7" t="s">
        <v>479</v>
      </c>
      <c r="O4" s="7" t="s">
        <v>479</v>
      </c>
      <c r="P4" s="7" t="s">
        <v>479</v>
      </c>
    </row>
    <row r="5" spans="1:16" x14ac:dyDescent="0.3">
      <c r="A5" s="227" t="s">
        <v>249</v>
      </c>
      <c r="B5" s="7" t="s">
        <v>507</v>
      </c>
      <c r="C5" t="s">
        <v>272</v>
      </c>
      <c r="F5" s="7" t="s">
        <v>447</v>
      </c>
      <c r="G5" s="7" t="s">
        <v>480</v>
      </c>
      <c r="H5" s="7" t="s">
        <v>540</v>
      </c>
      <c r="I5" s="7" t="s">
        <v>507</v>
      </c>
      <c r="J5" s="7" t="s">
        <v>447</v>
      </c>
      <c r="K5" s="7" t="s">
        <v>447</v>
      </c>
      <c r="L5" s="7" t="s">
        <v>540</v>
      </c>
      <c r="M5" s="7" t="s">
        <v>546</v>
      </c>
      <c r="N5" s="7" t="s">
        <v>558</v>
      </c>
      <c r="O5" s="7" t="s">
        <v>558</v>
      </c>
      <c r="P5" s="7" t="s">
        <v>576</v>
      </c>
    </row>
    <row r="6" spans="1:16" ht="86.4" x14ac:dyDescent="0.3">
      <c r="A6" s="227" t="s">
        <v>252</v>
      </c>
      <c r="B6" s="7" t="s">
        <v>542</v>
      </c>
      <c r="C6" t="s">
        <v>277</v>
      </c>
      <c r="F6" s="7" t="s">
        <v>448</v>
      </c>
      <c r="G6" s="7" t="s">
        <v>481</v>
      </c>
      <c r="H6" s="7" t="s">
        <v>489</v>
      </c>
      <c r="I6" s="7" t="s">
        <v>542</v>
      </c>
      <c r="J6" s="7" t="s">
        <v>448</v>
      </c>
      <c r="K6" s="7" t="s">
        <v>525</v>
      </c>
      <c r="L6" s="7" t="s">
        <v>541</v>
      </c>
      <c r="M6" s="7" t="s">
        <v>547</v>
      </c>
      <c r="N6" s="7" t="s">
        <v>559</v>
      </c>
      <c r="O6" s="7" t="s">
        <v>559</v>
      </c>
      <c r="P6" s="7" t="s">
        <v>577</v>
      </c>
    </row>
    <row r="7" spans="1:16" x14ac:dyDescent="0.3">
      <c r="A7" s="227" t="s">
        <v>253</v>
      </c>
      <c r="B7" s="7" t="s">
        <v>509</v>
      </c>
      <c r="C7" t="s">
        <v>278</v>
      </c>
      <c r="F7" s="7" t="s">
        <v>449</v>
      </c>
      <c r="G7" s="7" t="s">
        <v>482</v>
      </c>
      <c r="H7" s="7" t="s">
        <v>490</v>
      </c>
      <c r="I7" s="7" t="s">
        <v>509</v>
      </c>
      <c r="J7" s="7" t="s">
        <v>449</v>
      </c>
      <c r="K7" s="7" t="s">
        <v>449</v>
      </c>
      <c r="L7" s="7" t="s">
        <v>490</v>
      </c>
      <c r="M7" s="7" t="s">
        <v>548</v>
      </c>
      <c r="N7" s="7" t="s">
        <v>560</v>
      </c>
      <c r="O7" s="7" t="s">
        <v>560</v>
      </c>
      <c r="P7" s="7" t="s">
        <v>579</v>
      </c>
    </row>
    <row r="8" spans="1:16" ht="28.8" x14ac:dyDescent="0.3">
      <c r="A8" s="227" t="s">
        <v>254</v>
      </c>
      <c r="B8" s="7" t="s">
        <v>509</v>
      </c>
      <c r="C8" t="s">
        <v>274</v>
      </c>
      <c r="F8" s="7" t="s">
        <v>450</v>
      </c>
      <c r="G8" s="7" t="s">
        <v>482</v>
      </c>
      <c r="H8" s="7" t="s">
        <v>491</v>
      </c>
      <c r="I8" s="7" t="s">
        <v>509</v>
      </c>
      <c r="J8" s="7" t="s">
        <v>450</v>
      </c>
      <c r="K8" s="7" t="s">
        <v>450</v>
      </c>
      <c r="L8" s="7" t="s">
        <v>491</v>
      </c>
      <c r="M8" s="7" t="s">
        <v>548</v>
      </c>
      <c r="N8" s="7" t="s">
        <v>561</v>
      </c>
      <c r="O8" s="7" t="s">
        <v>561</v>
      </c>
      <c r="P8" s="7" t="s">
        <v>579</v>
      </c>
    </row>
    <row r="9" spans="1:16" ht="28.8" x14ac:dyDescent="0.3">
      <c r="A9" s="227" t="s">
        <v>255</v>
      </c>
      <c r="B9" s="7" t="s">
        <v>508</v>
      </c>
      <c r="C9" t="s">
        <v>255</v>
      </c>
      <c r="F9" s="413" t="s">
        <v>451</v>
      </c>
      <c r="G9" s="413" t="s">
        <v>486</v>
      </c>
      <c r="H9" s="7" t="s">
        <v>492</v>
      </c>
      <c r="I9" s="7" t="s">
        <v>508</v>
      </c>
      <c r="J9" s="413" t="s">
        <v>451</v>
      </c>
      <c r="K9" s="413" t="s">
        <v>451</v>
      </c>
      <c r="L9" s="7" t="s">
        <v>492</v>
      </c>
      <c r="M9" s="7" t="s">
        <v>549</v>
      </c>
      <c r="N9" s="419" t="s">
        <v>562</v>
      </c>
      <c r="O9" s="419" t="s">
        <v>562</v>
      </c>
      <c r="P9" s="419" t="s">
        <v>578</v>
      </c>
    </row>
    <row r="10" spans="1:16" x14ac:dyDescent="0.3">
      <c r="A10" s="227" t="s">
        <v>256</v>
      </c>
      <c r="B10" s="7" t="s">
        <v>510</v>
      </c>
      <c r="C10" t="s">
        <v>275</v>
      </c>
      <c r="F10" s="7" t="s">
        <v>452</v>
      </c>
      <c r="G10" s="7" t="s">
        <v>483</v>
      </c>
      <c r="H10" s="7" t="s">
        <v>493</v>
      </c>
      <c r="I10" s="7" t="s">
        <v>510</v>
      </c>
      <c r="J10" s="7" t="s">
        <v>452</v>
      </c>
      <c r="K10" s="7" t="s">
        <v>526</v>
      </c>
      <c r="L10" s="7" t="s">
        <v>493</v>
      </c>
      <c r="M10" s="7" t="s">
        <v>550</v>
      </c>
      <c r="N10" s="7" t="s">
        <v>564</v>
      </c>
      <c r="O10" s="7" t="s">
        <v>564</v>
      </c>
      <c r="P10" s="7" t="s">
        <v>580</v>
      </c>
    </row>
    <row r="11" spans="1:16" x14ac:dyDescent="0.3">
      <c r="A11" s="227" t="s">
        <v>257</v>
      </c>
      <c r="B11" s="420">
        <v>43083</v>
      </c>
      <c r="C11" t="s">
        <v>276</v>
      </c>
      <c r="F11" s="414">
        <v>42545</v>
      </c>
      <c r="G11" s="414">
        <v>43854</v>
      </c>
      <c r="H11" s="290">
        <v>42242</v>
      </c>
      <c r="I11" s="420">
        <v>43083</v>
      </c>
      <c r="J11" s="414">
        <v>42545</v>
      </c>
      <c r="K11" s="414">
        <v>43367</v>
      </c>
      <c r="L11" s="290">
        <v>42242</v>
      </c>
      <c r="M11" s="414">
        <v>42333</v>
      </c>
      <c r="N11" s="414">
        <v>44730</v>
      </c>
      <c r="O11" s="414">
        <v>44730</v>
      </c>
      <c r="P11" s="414">
        <v>42954</v>
      </c>
    </row>
    <row r="12" spans="1:16" ht="86.4" x14ac:dyDescent="0.3">
      <c r="A12" s="289" t="s">
        <v>258</v>
      </c>
      <c r="B12" s="7" t="s">
        <v>586</v>
      </c>
      <c r="C12" t="s">
        <v>282</v>
      </c>
      <c r="F12" s="7" t="s">
        <v>460</v>
      </c>
      <c r="G12" s="7" t="s">
        <v>467</v>
      </c>
      <c r="H12" s="7" t="s">
        <v>487</v>
      </c>
      <c r="I12" s="7" t="s">
        <v>511</v>
      </c>
      <c r="J12" s="7" t="s">
        <v>520</v>
      </c>
      <c r="K12" s="7" t="s">
        <v>527</v>
      </c>
      <c r="L12" s="7" t="s">
        <v>530</v>
      </c>
      <c r="M12" s="7" t="s">
        <v>511</v>
      </c>
      <c r="N12" s="7" t="s">
        <v>553</v>
      </c>
      <c r="O12" s="7" t="s">
        <v>553</v>
      </c>
      <c r="P12" s="7" t="s">
        <v>581</v>
      </c>
    </row>
    <row r="13" spans="1:16" ht="129.6" x14ac:dyDescent="0.3">
      <c r="A13" s="289" t="s">
        <v>259</v>
      </c>
      <c r="B13" s="7" t="s">
        <v>584</v>
      </c>
      <c r="C13" t="s">
        <v>279</v>
      </c>
      <c r="F13" s="7" t="s">
        <v>461</v>
      </c>
      <c r="G13" s="7" t="s">
        <v>484</v>
      </c>
      <c r="H13" s="7" t="s">
        <v>494</v>
      </c>
      <c r="I13" s="7" t="s">
        <v>512</v>
      </c>
      <c r="J13" s="7" t="s">
        <v>521</v>
      </c>
      <c r="K13" s="7" t="s">
        <v>528</v>
      </c>
      <c r="L13" s="7" t="s">
        <v>532</v>
      </c>
      <c r="M13" s="7" t="s">
        <v>551</v>
      </c>
      <c r="N13" s="7" t="s">
        <v>563</v>
      </c>
      <c r="O13" s="7" t="s">
        <v>563</v>
      </c>
      <c r="P13" s="7" t="s">
        <v>582</v>
      </c>
    </row>
    <row r="14" spans="1:16" x14ac:dyDescent="0.3">
      <c r="A14" s="289" t="s">
        <v>260</v>
      </c>
      <c r="B14" s="7" t="s">
        <v>585</v>
      </c>
      <c r="C14" t="s">
        <v>281</v>
      </c>
      <c r="F14" s="7" t="s">
        <v>462</v>
      </c>
      <c r="G14" s="7" t="s">
        <v>485</v>
      </c>
      <c r="H14" s="7" t="s">
        <v>495</v>
      </c>
      <c r="I14" s="7" t="s">
        <v>513</v>
      </c>
      <c r="J14" t="s">
        <v>522</v>
      </c>
      <c r="K14" t="s">
        <v>529</v>
      </c>
      <c r="L14" s="7" t="s">
        <v>531</v>
      </c>
      <c r="M14" s="7" t="s">
        <v>529</v>
      </c>
      <c r="N14" t="s">
        <v>554</v>
      </c>
      <c r="O14" t="s">
        <v>554</v>
      </c>
      <c r="P14" t="s">
        <v>583</v>
      </c>
    </row>
    <row r="15" spans="1:16" x14ac:dyDescent="0.3">
      <c r="A15" s="289" t="s">
        <v>261</v>
      </c>
      <c r="B15" s="7" t="s">
        <v>269</v>
      </c>
      <c r="C15" t="s">
        <v>280</v>
      </c>
      <c r="F15" s="7" t="s">
        <v>269</v>
      </c>
      <c r="G15" s="7" t="s">
        <v>269</v>
      </c>
      <c r="H15" s="7" t="s">
        <v>269</v>
      </c>
      <c r="I15" s="7" t="s">
        <v>514</v>
      </c>
      <c r="J15" t="s">
        <v>514</v>
      </c>
      <c r="K15" t="s">
        <v>269</v>
      </c>
      <c r="L15" s="7" t="s">
        <v>269</v>
      </c>
      <c r="M15" s="7" t="s">
        <v>514</v>
      </c>
      <c r="N15" t="s">
        <v>555</v>
      </c>
      <c r="O15" t="s">
        <v>555</v>
      </c>
      <c r="P15" t="s">
        <v>269</v>
      </c>
    </row>
    <row r="16" spans="1:16" x14ac:dyDescent="0.3">
      <c r="A16" s="202" t="s">
        <v>262</v>
      </c>
      <c r="B16" s="7">
        <v>0</v>
      </c>
      <c r="C16" t="s">
        <v>288</v>
      </c>
      <c r="F16" s="7" t="s">
        <v>454</v>
      </c>
      <c r="G16" s="7">
        <v>0</v>
      </c>
      <c r="H16" t="s">
        <v>496</v>
      </c>
      <c r="I16" s="7">
        <v>0</v>
      </c>
      <c r="J16">
        <v>0</v>
      </c>
      <c r="K16">
        <v>0</v>
      </c>
      <c r="L16" t="s">
        <v>533</v>
      </c>
      <c r="M16" s="7">
        <v>0</v>
      </c>
      <c r="N16">
        <v>0</v>
      </c>
      <c r="O16" t="s">
        <v>567</v>
      </c>
      <c r="P16">
        <v>0</v>
      </c>
    </row>
    <row r="17" spans="1:16" x14ac:dyDescent="0.3">
      <c r="A17" s="202" t="s">
        <v>263</v>
      </c>
      <c r="B17" s="7">
        <v>0</v>
      </c>
      <c r="C17" t="s">
        <v>283</v>
      </c>
      <c r="F17" s="7" t="s">
        <v>455</v>
      </c>
      <c r="G17" s="7">
        <v>0</v>
      </c>
      <c r="H17" t="s">
        <v>497</v>
      </c>
      <c r="I17" s="7">
        <v>0</v>
      </c>
      <c r="J17">
        <v>0</v>
      </c>
      <c r="K17">
        <v>0</v>
      </c>
      <c r="L17" t="s">
        <v>534</v>
      </c>
      <c r="M17" s="7">
        <v>0</v>
      </c>
      <c r="N17">
        <v>0</v>
      </c>
      <c r="O17" t="s">
        <v>568</v>
      </c>
      <c r="P17">
        <v>0</v>
      </c>
    </row>
    <row r="18" spans="1:16" x14ac:dyDescent="0.3">
      <c r="A18" s="202" t="s">
        <v>264</v>
      </c>
      <c r="B18" s="7">
        <v>0</v>
      </c>
      <c r="C18" t="s">
        <v>284</v>
      </c>
      <c r="F18" s="7" t="s">
        <v>456</v>
      </c>
      <c r="G18" s="7">
        <v>0</v>
      </c>
      <c r="H18" t="s">
        <v>498</v>
      </c>
      <c r="I18" s="7">
        <v>0</v>
      </c>
      <c r="J18">
        <v>0</v>
      </c>
      <c r="K18">
        <v>0</v>
      </c>
      <c r="L18" t="s">
        <v>535</v>
      </c>
      <c r="M18" s="7">
        <v>0</v>
      </c>
      <c r="N18">
        <v>0</v>
      </c>
      <c r="O18" t="s">
        <v>569</v>
      </c>
      <c r="P18">
        <v>0</v>
      </c>
    </row>
    <row r="19" spans="1:16" x14ac:dyDescent="0.3">
      <c r="A19" s="202" t="s">
        <v>265</v>
      </c>
      <c r="B19" s="7">
        <v>0</v>
      </c>
      <c r="C19" t="s">
        <v>287</v>
      </c>
      <c r="F19" s="7" t="s">
        <v>457</v>
      </c>
      <c r="G19" s="7">
        <v>0</v>
      </c>
      <c r="H19" t="s">
        <v>499</v>
      </c>
      <c r="I19" s="7">
        <v>0</v>
      </c>
      <c r="J19">
        <v>0</v>
      </c>
      <c r="K19">
        <v>0</v>
      </c>
      <c r="L19" t="s">
        <v>536</v>
      </c>
      <c r="M19" s="7">
        <v>0</v>
      </c>
      <c r="N19">
        <v>0</v>
      </c>
      <c r="O19" t="s">
        <v>570</v>
      </c>
      <c r="P19">
        <v>0</v>
      </c>
    </row>
    <row r="20" spans="1:16" x14ac:dyDescent="0.3">
      <c r="A20" s="202" t="s">
        <v>266</v>
      </c>
      <c r="B20" s="7">
        <v>0</v>
      </c>
      <c r="C20" t="s">
        <v>286</v>
      </c>
      <c r="F20" s="7" t="s">
        <v>458</v>
      </c>
      <c r="G20" s="7">
        <v>0</v>
      </c>
      <c r="H20" t="s">
        <v>500</v>
      </c>
      <c r="I20" s="7">
        <v>0</v>
      </c>
      <c r="J20">
        <v>0</v>
      </c>
      <c r="K20">
        <v>0</v>
      </c>
      <c r="L20" t="s">
        <v>537</v>
      </c>
      <c r="M20" s="7">
        <v>0</v>
      </c>
      <c r="N20">
        <v>0</v>
      </c>
      <c r="O20" t="s">
        <v>571</v>
      </c>
      <c r="P20">
        <v>0</v>
      </c>
    </row>
    <row r="21" spans="1:16" x14ac:dyDescent="0.3">
      <c r="A21" s="202" t="s">
        <v>267</v>
      </c>
      <c r="B21" s="7">
        <v>0</v>
      </c>
      <c r="C21" t="s">
        <v>285</v>
      </c>
      <c r="F21" s="7" t="s">
        <v>459</v>
      </c>
      <c r="G21" s="7">
        <v>0</v>
      </c>
      <c r="H21" t="s">
        <v>501</v>
      </c>
      <c r="I21" s="7">
        <v>0</v>
      </c>
      <c r="J21">
        <v>0</v>
      </c>
      <c r="K21">
        <v>0</v>
      </c>
      <c r="L21" t="s">
        <v>538</v>
      </c>
      <c r="M21" s="7">
        <v>0</v>
      </c>
      <c r="N21">
        <v>0</v>
      </c>
      <c r="O21" t="s">
        <v>572</v>
      </c>
      <c r="P21">
        <v>0</v>
      </c>
    </row>
    <row r="22" spans="1:16" ht="86.4" x14ac:dyDescent="0.3">
      <c r="A22" s="202" t="s">
        <v>268</v>
      </c>
      <c r="B22" s="7">
        <v>0</v>
      </c>
      <c r="C22" t="s">
        <v>289</v>
      </c>
      <c r="F22" s="7" t="s">
        <v>453</v>
      </c>
      <c r="G22" s="7">
        <v>0</v>
      </c>
      <c r="H22" s="7" t="s">
        <v>502</v>
      </c>
      <c r="I22" s="7">
        <v>0</v>
      </c>
      <c r="J22">
        <v>0</v>
      </c>
      <c r="K22">
        <v>0</v>
      </c>
      <c r="L22" s="7" t="s">
        <v>539</v>
      </c>
      <c r="M22" s="7">
        <v>0</v>
      </c>
      <c r="N22">
        <v>0</v>
      </c>
      <c r="O22" t="s">
        <v>573</v>
      </c>
      <c r="P22">
        <v>0</v>
      </c>
    </row>
    <row r="23" spans="1:16" x14ac:dyDescent="0.3">
      <c r="A23" s="202" t="s">
        <v>413</v>
      </c>
      <c r="B23" s="7">
        <v>589</v>
      </c>
      <c r="C23" t="s">
        <v>414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 s="7">
        <v>36</v>
      </c>
      <c r="N23">
        <v>36</v>
      </c>
      <c r="O23">
        <v>589</v>
      </c>
      <c r="P23">
        <v>589</v>
      </c>
    </row>
    <row r="24" spans="1:16" x14ac:dyDescent="0.3">
      <c r="A24" s="202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N9" r:id="rId8" xr:uid="{3E8FFEDF-8331-49AF-9F8A-7E5D015E33FA}"/>
    <hyperlink ref="O9" r:id="rId9" xr:uid="{871E9291-A4E5-41AD-8E3E-5D5E8CC6829E}"/>
    <hyperlink ref="P9" r:id="rId10" xr:uid="{0CA44BF9-2C26-48DA-9ECF-82BD35FB2254}"/>
    <hyperlink ref="B9" r:id="rId11" xr:uid="{2DE5285D-B5EA-4CEC-AEE8-8D26D9B4EB22}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O3" sqref="O3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156</v>
      </c>
      <c r="C1" s="5" t="s">
        <v>153</v>
      </c>
      <c r="D1" s="145" t="s">
        <v>154</v>
      </c>
      <c r="E1" s="5" t="s">
        <v>1</v>
      </c>
      <c r="F1" s="5" t="s">
        <v>155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157</v>
      </c>
      <c r="L1" s="146" t="s">
        <v>3</v>
      </c>
      <c r="M1" s="147" t="s">
        <v>6</v>
      </c>
      <c r="N1" s="4" t="s">
        <v>9</v>
      </c>
      <c r="O1" s="4" t="s">
        <v>7</v>
      </c>
    </row>
    <row r="2" spans="1:15" s="96" customFormat="1" ht="28.2" thickBot="1" x14ac:dyDescent="0.3">
      <c r="A2" s="293" t="s">
        <v>291</v>
      </c>
      <c r="B2" s="244">
        <v>92</v>
      </c>
      <c r="C2" s="228">
        <v>10</v>
      </c>
      <c r="D2" s="228">
        <v>0.1</v>
      </c>
      <c r="E2" s="228">
        <v>2100</v>
      </c>
      <c r="F2" s="228">
        <v>150</v>
      </c>
      <c r="G2" s="228">
        <v>300000</v>
      </c>
      <c r="H2" s="228">
        <v>100</v>
      </c>
      <c r="I2" s="228">
        <v>-25</v>
      </c>
      <c r="J2" s="231">
        <v>600</v>
      </c>
      <c r="K2" s="228">
        <v>0.25</v>
      </c>
      <c r="L2" s="97">
        <f>1-EXP((-E2*(C2-F2+ABS(C2-F2)))/(2*G2))</f>
        <v>0</v>
      </c>
      <c r="M2" s="97">
        <f>POWER(10,7.54424-(2629.65/(C2+387.195)))</f>
        <v>8.3885786695982745</v>
      </c>
      <c r="N2" s="97">
        <f>B2+B2*K2</f>
        <v>115</v>
      </c>
      <c r="O2" s="97">
        <f>MIN(L2*B2+POWER(10,-6)*M2*SQRT(H2)*3600*J2/1000,B2+B2*0.25)</f>
        <v>0.1811932992633227</v>
      </c>
    </row>
    <row r="3" spans="1:15" s="6" customFormat="1" ht="13.8" x14ac:dyDescent="0.25">
      <c r="H3" s="148"/>
      <c r="K3" s="148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104"/>
  <sheetViews>
    <sheetView zoomScaleNormal="100" workbookViewId="0">
      <pane ySplit="1" topLeftCell="A2" activePane="bottomLeft" state="frozen"/>
      <selection pane="bottomLeft" activeCell="B6" sqref="B6"/>
    </sheetView>
  </sheetViews>
  <sheetFormatPr defaultRowHeight="14.4" x14ac:dyDescent="0.3"/>
  <cols>
    <col min="1" max="1" width="14.33203125" style="126" customWidth="1"/>
    <col min="2" max="2" width="34.109375" style="80" customWidth="1"/>
    <col min="3" max="3" width="8.88671875" style="126"/>
    <col min="4" max="4" width="15.33203125" customWidth="1"/>
    <col min="5" max="5" width="11.88671875" style="80" customWidth="1"/>
    <col min="6" max="6" width="10.6640625" style="126" customWidth="1"/>
    <col min="7" max="7" width="10.5546875" customWidth="1"/>
    <col min="8" max="8" width="10.6640625" style="80" customWidth="1"/>
    <col min="9" max="9" width="15.6640625" style="126" customWidth="1"/>
    <col min="10" max="10" width="15.33203125" customWidth="1"/>
    <col min="11" max="11" width="17.109375" style="80" customWidth="1"/>
    <col min="12" max="12" width="17.109375" style="292" customWidth="1"/>
    <col min="13" max="13" width="13.109375" style="80" customWidth="1"/>
    <col min="14" max="14" width="12" style="128" customWidth="1"/>
    <col min="15" max="15" width="13.5546875" customWidth="1"/>
    <col min="16" max="16" width="17.44140625" customWidth="1"/>
    <col min="17" max="17" width="12.109375" hidden="1" customWidth="1"/>
    <col min="18" max="18" width="14.109375" style="143" customWidth="1"/>
    <col min="20" max="20" width="15" customWidth="1"/>
  </cols>
  <sheetData>
    <row r="1" spans="1:45" ht="62.4" customHeight="1" thickBot="1" x14ac:dyDescent="0.35">
      <c r="A1" s="425" t="s">
        <v>132</v>
      </c>
      <c r="B1" s="426"/>
      <c r="C1" s="427" t="s">
        <v>133</v>
      </c>
      <c r="D1" s="428"/>
      <c r="E1" s="429"/>
      <c r="F1" s="425" t="s">
        <v>134</v>
      </c>
      <c r="G1" s="430"/>
      <c r="H1" s="426"/>
      <c r="I1" s="423" t="s">
        <v>144</v>
      </c>
      <c r="J1" s="423" t="s">
        <v>145</v>
      </c>
      <c r="K1" s="423" t="s">
        <v>146</v>
      </c>
      <c r="L1" s="435" t="s">
        <v>290</v>
      </c>
      <c r="M1" s="423" t="s">
        <v>148</v>
      </c>
      <c r="N1" s="423" t="s">
        <v>147</v>
      </c>
      <c r="O1" s="431" t="s">
        <v>131</v>
      </c>
      <c r="P1" s="423" t="s">
        <v>135</v>
      </c>
      <c r="Q1" s="433" t="s">
        <v>149</v>
      </c>
      <c r="R1" s="142" t="s">
        <v>150</v>
      </c>
      <c r="T1" s="7" t="s">
        <v>152</v>
      </c>
    </row>
    <row r="2" spans="1:45" ht="29.4" thickBot="1" x14ac:dyDescent="0.35">
      <c r="A2" s="131" t="s">
        <v>136</v>
      </c>
      <c r="B2" s="131" t="s">
        <v>137</v>
      </c>
      <c r="C2" s="132" t="s">
        <v>138</v>
      </c>
      <c r="D2" s="131" t="s">
        <v>139</v>
      </c>
      <c r="E2" s="130" t="s">
        <v>140</v>
      </c>
      <c r="F2" s="132" t="s">
        <v>141</v>
      </c>
      <c r="G2" s="131" t="s">
        <v>142</v>
      </c>
      <c r="H2" s="130" t="s">
        <v>143</v>
      </c>
      <c r="I2" s="424"/>
      <c r="J2" s="424"/>
      <c r="K2" s="424"/>
      <c r="L2" s="436"/>
      <c r="M2" s="424"/>
      <c r="N2" s="424"/>
      <c r="O2" s="432"/>
      <c r="P2" s="424"/>
      <c r="Q2" s="434"/>
    </row>
    <row r="3" spans="1:45" ht="29.4" thickBot="1" x14ac:dyDescent="0.35">
      <c r="A3" s="126" t="s">
        <v>552</v>
      </c>
      <c r="B3" s="135" t="s">
        <v>587</v>
      </c>
      <c r="C3" s="133">
        <v>1</v>
      </c>
      <c r="D3" s="129">
        <f t="shared" ref="D3" si="0">O3*P3*N3+O3*(1-P3)*M3+IF(F3="г.ф.",M3*I3,N3*I3)</f>
        <v>474.16764778977813</v>
      </c>
      <c r="E3" s="129">
        <f t="shared" ref="E3" si="1">D3*C3</f>
        <v>474.16764778977813</v>
      </c>
      <c r="F3" s="133" t="s">
        <v>469</v>
      </c>
      <c r="G3" s="408" t="s">
        <v>591</v>
      </c>
      <c r="H3" s="408" t="s">
        <v>468</v>
      </c>
      <c r="I3" s="137">
        <f t="shared" ref="I3" si="2">PI()*(POWER(K3/1000,2)/4)*J3</f>
        <v>526.85294198864233</v>
      </c>
      <c r="J3" s="138">
        <v>10000</v>
      </c>
      <c r="K3" s="136">
        <f>273-7*2</f>
        <v>259</v>
      </c>
      <c r="L3" s="291">
        <v>0</v>
      </c>
      <c r="M3" s="127">
        <v>3.5000000000000001E-3</v>
      </c>
      <c r="N3" s="139">
        <v>0.9</v>
      </c>
      <c r="O3" s="140">
        <v>0</v>
      </c>
      <c r="P3" s="69">
        <v>1</v>
      </c>
      <c r="Q3" s="141">
        <v>0</v>
      </c>
      <c r="R3" s="144" t="s">
        <v>151</v>
      </c>
      <c r="T3" s="144" t="s">
        <v>151</v>
      </c>
      <c r="U3" s="417">
        <f>SUMIF($R$3:$R$200,T3,$D$3:$D$200)</f>
        <v>1963.7419999999997</v>
      </c>
    </row>
    <row r="4" spans="1:45" ht="29.4" thickBot="1" x14ac:dyDescent="0.35">
      <c r="A4" s="126" t="s">
        <v>552</v>
      </c>
      <c r="B4" s="135" t="s">
        <v>588</v>
      </c>
      <c r="C4" s="133">
        <v>1</v>
      </c>
      <c r="D4" s="129">
        <f t="shared" ref="D4" si="3">O4*P4*N4+O4*(1-P4)*M4+IF(F4="г.ф.",M4*I4,N4*I4)</f>
        <v>474.16764778977813</v>
      </c>
      <c r="E4" s="129">
        <f t="shared" ref="E4" si="4">D4*C4</f>
        <v>474.16764778977813</v>
      </c>
      <c r="F4" s="133" t="s">
        <v>469</v>
      </c>
      <c r="G4" s="408" t="s">
        <v>591</v>
      </c>
      <c r="H4" s="408" t="s">
        <v>468</v>
      </c>
      <c r="I4" s="137">
        <f t="shared" ref="I4" si="5">PI()*(POWER(K4/1000,2)/4)*J4</f>
        <v>526.85294198864233</v>
      </c>
      <c r="J4" s="138">
        <v>10000</v>
      </c>
      <c r="K4" s="136">
        <f t="shared" ref="K4:K6" si="6">273-7*2</f>
        <v>259</v>
      </c>
      <c r="L4" s="291">
        <v>0</v>
      </c>
      <c r="M4" s="127">
        <v>3.5000000000000001E-3</v>
      </c>
      <c r="N4" s="139">
        <v>0.9</v>
      </c>
      <c r="O4" s="140">
        <v>0</v>
      </c>
      <c r="P4" s="69">
        <v>1</v>
      </c>
      <c r="Q4" s="141">
        <v>0</v>
      </c>
      <c r="R4" s="144" t="s">
        <v>151</v>
      </c>
      <c r="T4" s="144" t="s">
        <v>476</v>
      </c>
      <c r="U4" s="417">
        <f>SUMIF($R$3:$R$79,T4,$D$3:$D$79)</f>
        <v>0</v>
      </c>
    </row>
    <row r="5" spans="1:45" ht="29.4" thickBot="1" x14ac:dyDescent="0.35">
      <c r="A5" s="126" t="s">
        <v>552</v>
      </c>
      <c r="B5" s="135" t="s">
        <v>589</v>
      </c>
      <c r="C5" s="133">
        <v>1</v>
      </c>
      <c r="D5" s="129">
        <f t="shared" ref="D5" si="7">O5*P5*N5+O5*(1-P5)*M5+IF(F5="г.ф.",M5*I5,N5*I5)</f>
        <v>663.83470690568936</v>
      </c>
      <c r="E5" s="129">
        <f t="shared" ref="E5" si="8">D5*C5</f>
        <v>663.83470690568936</v>
      </c>
      <c r="F5" s="133" t="s">
        <v>469</v>
      </c>
      <c r="G5" s="408" t="s">
        <v>591</v>
      </c>
      <c r="H5" s="408" t="s">
        <v>468</v>
      </c>
      <c r="I5" s="137">
        <f t="shared" ref="I5" si="9">PI()*(POWER(K5/1000,2)/4)*J5</f>
        <v>737.59411878409924</v>
      </c>
      <c r="J5" s="138">
        <v>14000</v>
      </c>
      <c r="K5" s="136">
        <f t="shared" si="6"/>
        <v>259</v>
      </c>
      <c r="L5" s="291">
        <v>0</v>
      </c>
      <c r="M5" s="127">
        <v>3.5000000000000001E-3</v>
      </c>
      <c r="N5" s="139">
        <v>0.9</v>
      </c>
      <c r="O5" s="140">
        <v>0</v>
      </c>
      <c r="P5" s="69">
        <v>1</v>
      </c>
      <c r="Q5" s="141">
        <v>0</v>
      </c>
      <c r="R5" s="144" t="s">
        <v>151</v>
      </c>
      <c r="T5" s="144" t="s">
        <v>543</v>
      </c>
      <c r="U5" s="417">
        <f>SUMIF($R$3:$R$79,T5,$D$3:$D$79)</f>
        <v>0</v>
      </c>
    </row>
    <row r="6" spans="1:45" ht="29.4" thickBot="1" x14ac:dyDescent="0.35">
      <c r="A6" s="126" t="s">
        <v>552</v>
      </c>
      <c r="B6" s="135" t="s">
        <v>590</v>
      </c>
      <c r="C6" s="133">
        <v>1</v>
      </c>
      <c r="D6" s="129">
        <f t="shared" ref="D6" si="10">O6*P6*N6+O6*(1-P6)*M6+IF(F6="г.ф.",M6*I6,N6*I6)</f>
        <v>351.571997514754</v>
      </c>
      <c r="E6" s="129">
        <f t="shared" ref="E6" si="11">D6*C6</f>
        <v>351.571997514754</v>
      </c>
      <c r="F6" s="133" t="s">
        <v>469</v>
      </c>
      <c r="G6" s="408" t="s">
        <v>591</v>
      </c>
      <c r="H6" s="408" t="s">
        <v>468</v>
      </c>
      <c r="I6" s="137">
        <f t="shared" ref="I6" si="12">PI()*(POWER(K6/1000,2)/4)*J6</f>
        <v>384.07579470972024</v>
      </c>
      <c r="J6" s="138">
        <f>41290-SUM(J3:J5)</f>
        <v>7290</v>
      </c>
      <c r="K6" s="136">
        <f t="shared" si="6"/>
        <v>259</v>
      </c>
      <c r="L6" s="291">
        <v>0</v>
      </c>
      <c r="M6" s="127">
        <v>3.5000000000000001E-3</v>
      </c>
      <c r="N6" s="139">
        <v>0.91537139897209041</v>
      </c>
      <c r="O6" s="140">
        <v>0</v>
      </c>
      <c r="P6" s="69">
        <v>1</v>
      </c>
      <c r="Q6" s="141">
        <v>0</v>
      </c>
      <c r="R6" s="144" t="s">
        <v>151</v>
      </c>
      <c r="T6" s="144" t="s">
        <v>503</v>
      </c>
      <c r="U6" s="417">
        <f>SUMIF($R$3:$R$200,T6,$D$3:$D$200)</f>
        <v>0</v>
      </c>
    </row>
    <row r="7" spans="1:45" x14ac:dyDescent="0.3">
      <c r="B7" s="135"/>
      <c r="C7" s="133"/>
      <c r="D7" s="129"/>
      <c r="E7" s="129"/>
      <c r="F7" s="133"/>
      <c r="G7" s="408"/>
      <c r="H7" s="408"/>
      <c r="I7" s="137"/>
      <c r="J7" s="138"/>
      <c r="K7" s="136"/>
      <c r="L7" s="291"/>
      <c r="M7" s="127"/>
      <c r="N7" s="139"/>
      <c r="O7" s="140"/>
      <c r="P7" s="69"/>
      <c r="Q7" s="141"/>
      <c r="R7" s="144"/>
      <c r="T7" s="144" t="s">
        <v>515</v>
      </c>
      <c r="U7" s="417">
        <f>SUMIF($R$3:$R$200,T7,$D$3:$D$200)</f>
        <v>0</v>
      </c>
    </row>
    <row r="8" spans="1:45" x14ac:dyDescent="0.3">
      <c r="B8" s="135"/>
      <c r="C8" s="133"/>
      <c r="D8" s="129"/>
      <c r="E8" s="129"/>
      <c r="F8" s="133"/>
      <c r="G8" s="408"/>
      <c r="H8" s="408"/>
      <c r="I8" s="137"/>
      <c r="J8" s="138"/>
      <c r="K8" s="136"/>
      <c r="L8" s="291"/>
      <c r="M8" s="127"/>
      <c r="N8" s="139"/>
      <c r="O8" s="140"/>
      <c r="P8" s="69"/>
      <c r="Q8" s="141"/>
      <c r="R8" s="144"/>
    </row>
    <row r="9" spans="1:45" x14ac:dyDescent="0.3">
      <c r="B9" s="135"/>
      <c r="C9" s="133"/>
      <c r="D9" s="129"/>
      <c r="E9" s="129"/>
      <c r="F9" s="133"/>
      <c r="G9" s="408"/>
      <c r="H9" s="408"/>
      <c r="I9" s="137"/>
      <c r="J9" s="138"/>
      <c r="K9" s="136"/>
      <c r="L9" s="291"/>
      <c r="M9" s="127"/>
      <c r="N9" s="139"/>
      <c r="O9" s="140"/>
      <c r="P9" s="69"/>
      <c r="Q9" s="141"/>
      <c r="R9" s="144"/>
    </row>
    <row r="10" spans="1:45" ht="49.2" customHeight="1" thickBot="1" x14ac:dyDescent="0.35">
      <c r="B10" s="135"/>
      <c r="C10" s="133"/>
      <c r="D10" s="129"/>
      <c r="E10" s="129"/>
      <c r="F10" s="133"/>
      <c r="G10" s="408"/>
      <c r="H10" s="408"/>
      <c r="I10" s="137"/>
      <c r="J10" s="138"/>
      <c r="K10" s="136"/>
      <c r="L10" s="291"/>
      <c r="M10" s="127"/>
      <c r="N10" s="139"/>
      <c r="O10" s="140"/>
      <c r="P10" s="69"/>
      <c r="Q10" s="141"/>
      <c r="R10" s="144"/>
    </row>
    <row r="11" spans="1:45" ht="46.95" customHeight="1" thickBot="1" x14ac:dyDescent="0.35">
      <c r="B11" s="135"/>
      <c r="C11" s="133"/>
      <c r="D11" s="129"/>
      <c r="E11" s="129"/>
      <c r="F11" s="133"/>
      <c r="G11" s="408"/>
      <c r="H11" s="408"/>
      <c r="I11" s="137"/>
      <c r="J11" s="138"/>
      <c r="K11" s="136"/>
      <c r="L11" s="291"/>
      <c r="M11" s="127"/>
      <c r="N11" s="139"/>
      <c r="O11" s="140"/>
      <c r="P11" s="69"/>
      <c r="Q11" s="141"/>
      <c r="R11" s="144"/>
      <c r="T11" s="410" t="s">
        <v>463</v>
      </c>
      <c r="U11" s="411"/>
      <c r="V11" s="412"/>
      <c r="AC11" s="135" t="s">
        <v>516</v>
      </c>
      <c r="AD11" s="133">
        <v>1</v>
      </c>
      <c r="AE11" s="416">
        <f t="shared" ref="AE11" si="13">AP11*AQ11*AO11+AP11*(1-AQ11)*AN11+IF(AG11="г.ф.",AN11*AJ11,AO11*AJ11)</f>
        <v>148.94</v>
      </c>
      <c r="AF11" s="416">
        <f t="shared" ref="AF11" si="14">AE11*AD11</f>
        <v>148.94</v>
      </c>
      <c r="AG11" s="133" t="s">
        <v>466</v>
      </c>
      <c r="AH11" s="70">
        <v>1.6</v>
      </c>
      <c r="AI11" s="408" t="s">
        <v>470</v>
      </c>
      <c r="AJ11" s="137">
        <f>PI()*(POWER(AL11/1000,2)/4)*AK11</f>
        <v>0</v>
      </c>
      <c r="AK11" s="138">
        <v>0</v>
      </c>
      <c r="AL11" s="136">
        <v>0</v>
      </c>
      <c r="AM11" s="291">
        <v>0</v>
      </c>
      <c r="AN11" s="127">
        <v>3.5000000000000001E-3</v>
      </c>
      <c r="AO11" s="139">
        <v>0.93</v>
      </c>
      <c r="AP11" s="140">
        <v>200</v>
      </c>
      <c r="AQ11" s="69">
        <v>0.8</v>
      </c>
      <c r="AR11" s="141">
        <v>0</v>
      </c>
      <c r="AS11" s="144" t="s">
        <v>151</v>
      </c>
    </row>
    <row r="12" spans="1:45" x14ac:dyDescent="0.3">
      <c r="B12" s="135"/>
      <c r="C12" s="133"/>
      <c r="D12" s="415"/>
      <c r="E12" s="415"/>
      <c r="F12" s="133"/>
      <c r="G12" s="408"/>
      <c r="H12" s="408"/>
      <c r="I12" s="137"/>
      <c r="J12" s="138"/>
      <c r="K12" s="136"/>
      <c r="L12" s="291"/>
      <c r="M12" s="127"/>
      <c r="N12" s="139"/>
      <c r="O12" s="140"/>
      <c r="P12" s="69"/>
      <c r="Q12" s="141"/>
      <c r="R12" s="144"/>
      <c r="T12" s="409" t="s">
        <v>464</v>
      </c>
      <c r="U12" s="69">
        <v>50</v>
      </c>
      <c r="V12" s="409" t="s">
        <v>465</v>
      </c>
    </row>
    <row r="13" spans="1:45" x14ac:dyDescent="0.3">
      <c r="B13" s="135"/>
      <c r="C13" s="133"/>
      <c r="D13" s="415"/>
      <c r="E13" s="415"/>
      <c r="F13" s="133"/>
      <c r="G13" s="408"/>
      <c r="H13" s="408"/>
      <c r="I13" s="137"/>
      <c r="J13" s="138"/>
      <c r="K13" s="136"/>
      <c r="L13" s="291"/>
      <c r="M13" s="127"/>
      <c r="N13" s="139"/>
      <c r="O13" s="140"/>
      <c r="P13" s="69"/>
      <c r="Q13" s="141"/>
      <c r="R13" s="144"/>
      <c r="T13" s="409" t="s">
        <v>472</v>
      </c>
      <c r="U13" s="69">
        <v>0.3</v>
      </c>
      <c r="V13" s="409" t="s">
        <v>473</v>
      </c>
    </row>
    <row r="14" spans="1:45" x14ac:dyDescent="0.3">
      <c r="B14" s="135"/>
      <c r="C14" s="133"/>
      <c r="D14" s="415"/>
      <c r="E14" s="415"/>
      <c r="F14" s="133"/>
      <c r="G14" s="408"/>
      <c r="H14" s="408"/>
      <c r="I14" s="137"/>
      <c r="J14" s="138"/>
      <c r="K14" s="136"/>
      <c r="L14" s="291"/>
      <c r="M14" s="127"/>
      <c r="N14" s="139"/>
      <c r="O14" s="140"/>
      <c r="P14" s="69"/>
      <c r="Q14" s="141"/>
      <c r="R14" s="144"/>
      <c r="T14" s="409" t="s">
        <v>474</v>
      </c>
      <c r="U14" s="69">
        <v>30</v>
      </c>
      <c r="V14" s="409" t="s">
        <v>475</v>
      </c>
    </row>
    <row r="15" spans="1:45" x14ac:dyDescent="0.3">
      <c r="B15" s="135"/>
      <c r="C15" s="133"/>
      <c r="D15" s="415"/>
      <c r="E15" s="415"/>
      <c r="F15" s="133"/>
      <c r="G15" s="408"/>
      <c r="H15" s="408"/>
      <c r="I15" s="137"/>
      <c r="J15" s="138"/>
      <c r="K15" s="136"/>
      <c r="L15" s="291"/>
      <c r="M15" s="127"/>
      <c r="N15" s="139"/>
      <c r="O15" s="140"/>
      <c r="P15" s="69"/>
      <c r="Q15" s="141"/>
      <c r="R15" s="144"/>
      <c r="T15" s="409" t="s">
        <v>472</v>
      </c>
      <c r="U15" s="69">
        <v>0.3</v>
      </c>
      <c r="V15" s="409" t="s">
        <v>473</v>
      </c>
    </row>
    <row r="16" spans="1:45" x14ac:dyDescent="0.3">
      <c r="B16" s="135"/>
      <c r="C16" s="133"/>
      <c r="D16" s="415"/>
      <c r="E16" s="415"/>
      <c r="F16" s="133"/>
      <c r="G16" s="408"/>
      <c r="H16" s="408"/>
      <c r="I16" s="137"/>
      <c r="J16" s="138"/>
      <c r="K16" s="136"/>
      <c r="L16" s="291"/>
      <c r="M16" s="127"/>
      <c r="N16" s="139"/>
      <c r="O16" s="140"/>
      <c r="P16" s="69"/>
      <c r="Q16" s="141"/>
      <c r="R16" s="144"/>
    </row>
    <row r="17" spans="2:20" x14ac:dyDescent="0.3">
      <c r="B17" s="135"/>
      <c r="C17" s="133"/>
      <c r="D17" s="415"/>
      <c r="E17" s="415"/>
      <c r="F17" s="133"/>
      <c r="G17" s="408"/>
      <c r="H17" s="408"/>
      <c r="I17" s="137"/>
      <c r="J17" s="138"/>
      <c r="K17" s="136"/>
      <c r="L17" s="291"/>
      <c r="M17" s="127"/>
      <c r="N17" s="139"/>
      <c r="O17" s="140"/>
      <c r="P17" s="69"/>
      <c r="Q17" s="141"/>
      <c r="R17" s="144"/>
      <c r="T17" t="s">
        <v>471</v>
      </c>
    </row>
    <row r="18" spans="2:20" x14ac:dyDescent="0.3">
      <c r="B18" s="135"/>
      <c r="C18" s="133"/>
      <c r="D18" s="415"/>
      <c r="E18" s="415"/>
      <c r="F18" s="133"/>
      <c r="G18" s="408"/>
      <c r="H18" s="408"/>
      <c r="I18" s="137"/>
      <c r="J18" s="138"/>
      <c r="K18" s="136"/>
      <c r="L18" s="291"/>
      <c r="M18" s="127"/>
      <c r="N18" s="139"/>
      <c r="O18" s="140"/>
      <c r="P18" s="69"/>
      <c r="Q18" s="141"/>
      <c r="R18" s="144"/>
    </row>
    <row r="19" spans="2:20" x14ac:dyDescent="0.3">
      <c r="B19" s="135"/>
      <c r="C19" s="133"/>
      <c r="D19" s="415"/>
      <c r="E19" s="415"/>
      <c r="F19" s="133"/>
      <c r="G19" s="408"/>
      <c r="H19" s="408"/>
      <c r="I19" s="137"/>
      <c r="J19" s="138"/>
      <c r="K19" s="136"/>
      <c r="L19" s="291"/>
      <c r="M19" s="127"/>
      <c r="N19" s="139"/>
      <c r="O19" s="140"/>
      <c r="P19" s="69"/>
      <c r="Q19" s="141"/>
      <c r="R19" s="144"/>
    </row>
    <row r="20" spans="2:20" x14ac:dyDescent="0.3">
      <c r="B20" s="135"/>
      <c r="C20" s="133"/>
      <c r="D20" s="415"/>
      <c r="E20" s="415"/>
      <c r="F20" s="133"/>
      <c r="G20" s="408"/>
      <c r="H20" s="408"/>
      <c r="I20" s="137"/>
      <c r="J20" s="138"/>
      <c r="K20" s="136"/>
      <c r="L20" s="291"/>
      <c r="M20" s="127"/>
      <c r="N20" s="139"/>
      <c r="O20" s="140"/>
      <c r="P20" s="69"/>
      <c r="Q20" s="141"/>
      <c r="R20" s="144"/>
    </row>
    <row r="21" spans="2:20" x14ac:dyDescent="0.3">
      <c r="B21" s="135"/>
      <c r="C21" s="133"/>
      <c r="D21" s="415"/>
      <c r="E21" s="415"/>
      <c r="F21" s="133"/>
      <c r="G21" s="408"/>
      <c r="H21" s="408"/>
      <c r="I21" s="137"/>
      <c r="J21" s="138"/>
      <c r="K21" s="136"/>
      <c r="L21" s="291"/>
      <c r="M21" s="127"/>
      <c r="N21" s="139"/>
      <c r="O21" s="140"/>
      <c r="P21" s="69"/>
      <c r="Q21" s="141"/>
      <c r="R21" s="144"/>
    </row>
    <row r="22" spans="2:20" x14ac:dyDescent="0.3">
      <c r="B22" s="135"/>
      <c r="C22" s="133"/>
      <c r="D22" s="415"/>
      <c r="E22" s="415"/>
      <c r="F22" s="133"/>
      <c r="G22" s="408"/>
      <c r="H22" s="408"/>
      <c r="I22" s="137"/>
      <c r="J22" s="138"/>
      <c r="K22" s="136"/>
      <c r="L22" s="291"/>
      <c r="M22" s="127"/>
      <c r="N22" s="139"/>
      <c r="O22" s="140"/>
      <c r="P22" s="69"/>
      <c r="Q22" s="141"/>
      <c r="R22" s="144"/>
    </row>
    <row r="23" spans="2:20" x14ac:dyDescent="0.3">
      <c r="B23" s="135"/>
      <c r="C23" s="133"/>
      <c r="D23" s="415"/>
      <c r="E23" s="415"/>
      <c r="F23" s="133"/>
      <c r="G23" s="408"/>
      <c r="H23" s="408"/>
      <c r="I23" s="137"/>
      <c r="J23" s="138"/>
      <c r="K23" s="136"/>
      <c r="L23" s="291"/>
      <c r="M23" s="127"/>
      <c r="N23" s="139"/>
      <c r="O23" s="140"/>
      <c r="P23" s="69"/>
      <c r="Q23" s="141"/>
      <c r="R23" s="144"/>
    </row>
    <row r="24" spans="2:20" x14ac:dyDescent="0.3">
      <c r="B24" s="135"/>
      <c r="C24" s="133"/>
      <c r="D24" s="415"/>
      <c r="E24" s="415"/>
      <c r="F24" s="133"/>
      <c r="G24" s="408"/>
      <c r="H24" s="408"/>
      <c r="I24" s="137"/>
      <c r="J24" s="138"/>
      <c r="K24" s="136"/>
      <c r="L24" s="291"/>
      <c r="M24" s="127"/>
      <c r="N24" s="139"/>
      <c r="O24" s="140"/>
      <c r="P24" s="69"/>
      <c r="Q24" s="141"/>
      <c r="R24" s="144"/>
    </row>
    <row r="25" spans="2:20" x14ac:dyDescent="0.3">
      <c r="B25" s="135"/>
      <c r="C25" s="133"/>
      <c r="D25" s="415"/>
      <c r="E25" s="415"/>
      <c r="F25" s="133"/>
      <c r="G25" s="408"/>
      <c r="H25" s="408"/>
      <c r="I25" s="137"/>
      <c r="J25" s="138"/>
      <c r="K25" s="136"/>
      <c r="L25" s="291"/>
      <c r="M25" s="127"/>
      <c r="N25" s="139"/>
      <c r="O25" s="140"/>
      <c r="P25" s="69"/>
      <c r="Q25" s="141"/>
      <c r="R25" s="144"/>
    </row>
    <row r="26" spans="2:20" x14ac:dyDescent="0.3">
      <c r="B26" s="135"/>
      <c r="C26" s="133"/>
      <c r="D26" s="415"/>
      <c r="E26" s="415"/>
      <c r="F26" s="133"/>
      <c r="G26" s="408"/>
      <c r="H26" s="408"/>
      <c r="I26" s="137"/>
      <c r="J26" s="138"/>
      <c r="K26" s="136"/>
      <c r="L26" s="291"/>
      <c r="M26" s="127"/>
      <c r="N26" s="139"/>
      <c r="O26" s="140"/>
      <c r="P26" s="69"/>
      <c r="Q26" s="141"/>
      <c r="R26" s="144"/>
    </row>
    <row r="27" spans="2:20" x14ac:dyDescent="0.3">
      <c r="B27" s="135"/>
      <c r="C27" s="133"/>
      <c r="D27" s="415"/>
      <c r="E27" s="415"/>
      <c r="F27" s="133"/>
      <c r="G27" s="408"/>
      <c r="H27" s="408"/>
      <c r="I27" s="137"/>
      <c r="J27" s="138"/>
      <c r="K27" s="136"/>
      <c r="L27" s="291"/>
      <c r="M27" s="127"/>
      <c r="N27" s="139"/>
      <c r="O27" s="140"/>
      <c r="P27" s="69"/>
      <c r="Q27" s="141"/>
      <c r="R27" s="144"/>
    </row>
    <row r="28" spans="2:20" x14ac:dyDescent="0.3">
      <c r="B28" s="135"/>
      <c r="C28" s="133"/>
      <c r="D28" s="415"/>
      <c r="E28" s="415"/>
      <c r="F28" s="133"/>
      <c r="G28" s="408"/>
      <c r="H28" s="408"/>
      <c r="I28" s="137"/>
      <c r="J28" s="138"/>
      <c r="K28" s="136"/>
      <c r="L28" s="291"/>
      <c r="M28" s="127"/>
      <c r="N28" s="139"/>
      <c r="O28" s="140"/>
      <c r="P28" s="69"/>
      <c r="Q28" s="141"/>
      <c r="R28" s="144"/>
    </row>
    <row r="29" spans="2:20" x14ac:dyDescent="0.3">
      <c r="B29" s="135"/>
      <c r="C29" s="133"/>
      <c r="D29" s="415"/>
      <c r="E29" s="415"/>
      <c r="F29" s="133"/>
      <c r="G29" s="408"/>
      <c r="H29" s="408"/>
      <c r="I29" s="137"/>
      <c r="J29" s="138"/>
      <c r="K29" s="136"/>
      <c r="L29" s="291"/>
      <c r="M29" s="127"/>
      <c r="N29" s="139"/>
      <c r="O29" s="140"/>
      <c r="P29" s="69"/>
      <c r="Q29" s="141"/>
      <c r="R29" s="144"/>
    </row>
    <row r="30" spans="2:20" x14ac:dyDescent="0.3">
      <c r="B30" s="135"/>
      <c r="C30" s="133"/>
      <c r="D30" s="415"/>
      <c r="E30" s="415"/>
      <c r="F30" s="133"/>
      <c r="G30" s="408"/>
      <c r="H30" s="408"/>
      <c r="I30" s="137"/>
      <c r="J30" s="138"/>
      <c r="K30" s="136"/>
      <c r="L30" s="291"/>
      <c r="M30" s="127"/>
      <c r="N30" s="139"/>
      <c r="O30" s="140"/>
      <c r="P30" s="69"/>
      <c r="Q30" s="141"/>
      <c r="R30" s="144"/>
    </row>
    <row r="31" spans="2:20" x14ac:dyDescent="0.3">
      <c r="B31" s="135"/>
      <c r="C31" s="133"/>
      <c r="D31" s="415"/>
      <c r="E31" s="415"/>
      <c r="F31" s="133"/>
      <c r="G31" s="408"/>
      <c r="H31" s="408"/>
      <c r="I31" s="137"/>
      <c r="J31" s="138"/>
      <c r="K31" s="136"/>
      <c r="L31" s="291"/>
      <c r="M31" s="127"/>
      <c r="N31" s="139"/>
      <c r="O31" s="140"/>
      <c r="P31" s="69"/>
      <c r="Q31" s="141"/>
      <c r="R31" s="144"/>
    </row>
    <row r="32" spans="2:20" x14ac:dyDescent="0.3">
      <c r="B32" s="135"/>
      <c r="C32" s="133"/>
      <c r="D32" s="415"/>
      <c r="E32" s="415"/>
      <c r="F32" s="133"/>
      <c r="G32" s="408"/>
      <c r="H32" s="408"/>
      <c r="I32" s="137"/>
      <c r="J32" s="138"/>
      <c r="K32" s="136"/>
      <c r="L32" s="291"/>
      <c r="M32" s="127"/>
      <c r="N32" s="139"/>
      <c r="O32" s="140"/>
      <c r="P32" s="69"/>
      <c r="Q32" s="141"/>
      <c r="R32" s="144"/>
    </row>
    <row r="33" spans="2:18" x14ac:dyDescent="0.3">
      <c r="B33" s="135"/>
      <c r="C33" s="133"/>
      <c r="D33" s="415"/>
      <c r="E33" s="415"/>
      <c r="F33" s="133"/>
      <c r="G33" s="408"/>
      <c r="H33" s="408"/>
      <c r="I33" s="137"/>
      <c r="J33" s="138"/>
      <c r="K33" s="136"/>
      <c r="L33" s="291"/>
      <c r="M33" s="127"/>
      <c r="N33" s="139"/>
      <c r="O33" s="140"/>
      <c r="P33" s="69"/>
      <c r="Q33" s="141"/>
      <c r="R33" s="144"/>
    </row>
    <row r="34" spans="2:18" x14ac:dyDescent="0.3">
      <c r="B34" s="135"/>
      <c r="C34" s="133"/>
      <c r="D34" s="415"/>
      <c r="E34" s="415"/>
      <c r="F34" s="133"/>
      <c r="G34" s="408"/>
      <c r="H34" s="408"/>
      <c r="I34" s="137"/>
      <c r="J34" s="138"/>
      <c r="K34" s="136"/>
      <c r="L34" s="291"/>
      <c r="M34" s="127"/>
      <c r="N34" s="139"/>
      <c r="O34" s="140"/>
      <c r="P34" s="69"/>
      <c r="Q34" s="141"/>
      <c r="R34" s="144"/>
    </row>
    <row r="35" spans="2:18" x14ac:dyDescent="0.3">
      <c r="B35" s="135"/>
      <c r="C35" s="133"/>
      <c r="D35" s="415"/>
      <c r="E35" s="415"/>
      <c r="F35" s="133"/>
      <c r="G35" s="408"/>
      <c r="H35" s="408"/>
      <c r="I35" s="137"/>
      <c r="J35" s="138"/>
      <c r="K35" s="136"/>
      <c r="L35" s="291"/>
      <c r="M35" s="127"/>
      <c r="N35" s="139"/>
      <c r="O35" s="140"/>
      <c r="P35" s="69"/>
      <c r="Q35" s="141"/>
      <c r="R35" s="144"/>
    </row>
    <row r="36" spans="2:18" x14ac:dyDescent="0.3">
      <c r="B36" s="135"/>
      <c r="C36" s="133"/>
      <c r="D36" s="415"/>
      <c r="E36" s="415"/>
      <c r="F36" s="133"/>
      <c r="G36" s="408"/>
      <c r="H36" s="408"/>
      <c r="I36" s="137"/>
      <c r="J36" s="138"/>
      <c r="K36" s="136"/>
      <c r="L36" s="291"/>
      <c r="M36" s="127"/>
      <c r="N36" s="139"/>
      <c r="O36" s="140"/>
      <c r="P36" s="69"/>
      <c r="Q36" s="141"/>
      <c r="R36" s="144"/>
    </row>
    <row r="37" spans="2:18" x14ac:dyDescent="0.3">
      <c r="B37" s="135"/>
      <c r="C37" s="133"/>
      <c r="D37" s="415"/>
      <c r="E37" s="415"/>
      <c r="F37" s="133"/>
      <c r="G37" s="408"/>
      <c r="H37" s="408"/>
      <c r="I37" s="137"/>
      <c r="J37" s="138"/>
      <c r="K37" s="136"/>
      <c r="L37" s="291"/>
      <c r="M37" s="127"/>
      <c r="N37" s="139"/>
      <c r="O37" s="140"/>
      <c r="P37" s="69"/>
      <c r="Q37" s="141"/>
      <c r="R37" s="144"/>
    </row>
    <row r="38" spans="2:18" x14ac:dyDescent="0.3">
      <c r="B38" s="135"/>
      <c r="C38" s="133"/>
      <c r="D38" s="415"/>
      <c r="E38" s="415"/>
      <c r="F38" s="133"/>
      <c r="G38" s="408"/>
      <c r="H38" s="408"/>
      <c r="I38" s="137"/>
      <c r="J38" s="138"/>
      <c r="K38" s="136"/>
      <c r="L38" s="291"/>
      <c r="M38" s="127"/>
      <c r="N38" s="139"/>
      <c r="O38" s="140"/>
      <c r="P38" s="69"/>
      <c r="Q38" s="141"/>
      <c r="R38" s="144"/>
    </row>
    <row r="39" spans="2:18" x14ac:dyDescent="0.3">
      <c r="B39" s="135"/>
      <c r="C39" s="133"/>
      <c r="D39" s="415"/>
      <c r="E39" s="415"/>
      <c r="F39" s="133"/>
      <c r="G39" s="408"/>
      <c r="H39" s="408"/>
      <c r="I39" s="137"/>
      <c r="J39" s="138"/>
      <c r="K39" s="136"/>
      <c r="L39" s="291"/>
      <c r="M39" s="127"/>
      <c r="N39" s="139"/>
      <c r="O39" s="140"/>
      <c r="P39" s="69"/>
      <c r="Q39" s="141"/>
      <c r="R39" s="144"/>
    </row>
    <row r="40" spans="2:18" x14ac:dyDescent="0.3">
      <c r="B40" s="135"/>
      <c r="C40" s="133"/>
      <c r="D40" s="415"/>
      <c r="E40" s="415"/>
      <c r="F40" s="133"/>
      <c r="G40" s="408"/>
      <c r="H40" s="408"/>
      <c r="I40" s="137"/>
      <c r="J40" s="138"/>
      <c r="K40" s="136"/>
      <c r="L40" s="291"/>
      <c r="M40" s="127"/>
      <c r="N40" s="139"/>
      <c r="O40" s="140"/>
      <c r="P40" s="69"/>
      <c r="Q40" s="141"/>
      <c r="R40" s="144"/>
    </row>
    <row r="41" spans="2:18" x14ac:dyDescent="0.3">
      <c r="B41" s="135"/>
      <c r="C41" s="133"/>
      <c r="D41" s="415"/>
      <c r="E41" s="415"/>
      <c r="F41" s="133"/>
      <c r="G41" s="408"/>
      <c r="H41" s="408"/>
      <c r="I41" s="137"/>
      <c r="J41" s="138"/>
      <c r="K41" s="136"/>
      <c r="L41" s="291"/>
      <c r="M41" s="127"/>
      <c r="N41" s="139"/>
      <c r="O41" s="140"/>
      <c r="P41" s="69"/>
      <c r="Q41" s="141"/>
      <c r="R41" s="144"/>
    </row>
    <row r="42" spans="2:18" x14ac:dyDescent="0.3">
      <c r="B42" s="135"/>
      <c r="C42" s="133"/>
      <c r="D42" s="415"/>
      <c r="E42" s="415"/>
      <c r="F42" s="133"/>
      <c r="G42" s="408"/>
      <c r="H42" s="408"/>
      <c r="I42" s="137"/>
      <c r="J42" s="138"/>
      <c r="K42" s="136"/>
      <c r="L42" s="291"/>
      <c r="M42" s="127"/>
      <c r="N42" s="139"/>
      <c r="O42" s="140"/>
      <c r="P42" s="69"/>
      <c r="Q42" s="141"/>
      <c r="R42" s="144"/>
    </row>
    <row r="43" spans="2:18" x14ac:dyDescent="0.3">
      <c r="B43" s="135"/>
      <c r="C43" s="133"/>
      <c r="D43" s="415"/>
      <c r="E43" s="415"/>
      <c r="F43" s="133"/>
      <c r="G43" s="408"/>
      <c r="H43" s="408"/>
      <c r="I43" s="137"/>
      <c r="J43" s="138"/>
      <c r="K43" s="136"/>
      <c r="L43" s="291"/>
      <c r="M43" s="127"/>
      <c r="N43" s="139"/>
      <c r="O43" s="140"/>
      <c r="P43" s="69"/>
      <c r="Q43" s="141"/>
      <c r="R43" s="144"/>
    </row>
    <row r="44" spans="2:18" x14ac:dyDescent="0.3">
      <c r="B44" s="135"/>
      <c r="C44" s="133"/>
      <c r="D44" s="415"/>
      <c r="E44" s="415"/>
      <c r="F44" s="133"/>
      <c r="G44" s="408"/>
      <c r="H44" s="408"/>
      <c r="I44" s="137"/>
      <c r="J44" s="138"/>
      <c r="K44" s="136"/>
      <c r="L44" s="291"/>
      <c r="M44" s="127"/>
      <c r="N44" s="139"/>
      <c r="O44" s="140"/>
      <c r="P44" s="69"/>
      <c r="Q44" s="141"/>
      <c r="R44" s="144"/>
    </row>
    <row r="45" spans="2:18" x14ac:dyDescent="0.3">
      <c r="B45" s="135"/>
      <c r="C45" s="133"/>
      <c r="D45" s="415"/>
      <c r="E45" s="415"/>
      <c r="F45" s="133"/>
      <c r="G45" s="408"/>
      <c r="H45" s="408"/>
      <c r="I45" s="137"/>
      <c r="J45" s="138"/>
      <c r="K45" s="136"/>
      <c r="L45" s="291"/>
      <c r="M45" s="127"/>
      <c r="N45" s="139"/>
      <c r="O45" s="140"/>
      <c r="P45" s="69"/>
      <c r="Q45" s="141"/>
      <c r="R45" s="144"/>
    </row>
    <row r="46" spans="2:18" x14ac:dyDescent="0.3">
      <c r="B46" s="135"/>
      <c r="C46" s="133"/>
      <c r="D46" s="415"/>
      <c r="E46" s="415"/>
      <c r="F46" s="133"/>
      <c r="G46" s="408"/>
      <c r="H46" s="408"/>
      <c r="I46" s="137"/>
      <c r="J46" s="138"/>
      <c r="K46" s="136"/>
      <c r="L46" s="291"/>
      <c r="M46" s="127"/>
      <c r="N46" s="139"/>
      <c r="O46" s="140"/>
      <c r="P46" s="69"/>
      <c r="Q46" s="141"/>
      <c r="R46" s="144"/>
    </row>
    <row r="47" spans="2:18" x14ac:dyDescent="0.3">
      <c r="B47" s="135"/>
      <c r="C47" s="133"/>
      <c r="D47" s="415"/>
      <c r="E47" s="415"/>
      <c r="F47" s="133"/>
      <c r="G47" s="408"/>
      <c r="H47" s="408"/>
      <c r="I47" s="137"/>
      <c r="J47" s="138"/>
      <c r="K47" s="136"/>
      <c r="L47" s="291"/>
      <c r="M47" s="127"/>
      <c r="N47" s="139"/>
      <c r="O47" s="140"/>
      <c r="P47" s="69"/>
      <c r="Q47" s="141"/>
      <c r="R47" s="144"/>
    </row>
    <row r="48" spans="2:18" x14ac:dyDescent="0.3">
      <c r="B48" s="135"/>
      <c r="C48" s="133"/>
      <c r="D48" s="415"/>
      <c r="E48" s="415"/>
      <c r="F48" s="133"/>
      <c r="G48" s="408"/>
      <c r="H48" s="408"/>
      <c r="I48" s="137"/>
      <c r="J48" s="138"/>
      <c r="K48" s="136"/>
      <c r="L48" s="291"/>
      <c r="M48" s="127"/>
      <c r="N48" s="139"/>
      <c r="O48" s="140"/>
      <c r="P48" s="69"/>
      <c r="Q48" s="141"/>
      <c r="R48" s="144"/>
    </row>
    <row r="49" spans="2:18" x14ac:dyDescent="0.3">
      <c r="B49" s="135"/>
      <c r="C49" s="133"/>
      <c r="D49" s="415"/>
      <c r="E49" s="415"/>
      <c r="F49" s="133"/>
      <c r="G49" s="408"/>
      <c r="H49" s="408"/>
      <c r="I49" s="137"/>
      <c r="J49" s="138"/>
      <c r="K49" s="136"/>
      <c r="L49" s="291"/>
      <c r="M49" s="127"/>
      <c r="N49" s="139"/>
      <c r="O49" s="140"/>
      <c r="P49" s="69"/>
      <c r="Q49" s="141"/>
      <c r="R49" s="144"/>
    </row>
    <row r="50" spans="2:18" x14ac:dyDescent="0.3">
      <c r="B50" s="135"/>
      <c r="C50" s="133"/>
      <c r="D50" s="415"/>
      <c r="E50" s="415"/>
      <c r="F50" s="133"/>
      <c r="G50" s="408"/>
      <c r="H50" s="408"/>
      <c r="I50" s="137"/>
      <c r="J50" s="138"/>
      <c r="K50" s="136"/>
      <c r="L50" s="291"/>
      <c r="M50" s="127"/>
      <c r="N50" s="139"/>
      <c r="O50" s="140"/>
      <c r="P50" s="69"/>
      <c r="Q50" s="141"/>
      <c r="R50" s="144"/>
    </row>
    <row r="51" spans="2:18" x14ac:dyDescent="0.3">
      <c r="B51" s="135"/>
      <c r="C51" s="133"/>
      <c r="D51" s="415"/>
      <c r="E51" s="415"/>
      <c r="F51" s="133"/>
      <c r="G51" s="408"/>
      <c r="H51" s="408"/>
      <c r="I51" s="137"/>
      <c r="J51" s="138"/>
      <c r="K51" s="136"/>
      <c r="L51" s="291"/>
      <c r="M51" s="127"/>
      <c r="N51" s="139"/>
      <c r="O51" s="140"/>
      <c r="P51" s="69"/>
      <c r="Q51" s="141"/>
      <c r="R51" s="144"/>
    </row>
    <row r="52" spans="2:18" x14ac:dyDescent="0.3">
      <c r="B52" s="135"/>
      <c r="C52" s="133"/>
      <c r="D52" s="415"/>
      <c r="E52" s="415"/>
      <c r="F52" s="133"/>
      <c r="G52" s="408"/>
      <c r="H52" s="408"/>
      <c r="I52" s="137"/>
      <c r="J52" s="138"/>
      <c r="K52" s="136"/>
      <c r="L52" s="291"/>
      <c r="M52" s="127"/>
      <c r="N52" s="139"/>
      <c r="O52" s="140"/>
      <c r="P52" s="69"/>
      <c r="Q52" s="141"/>
      <c r="R52" s="144"/>
    </row>
    <row r="53" spans="2:18" x14ac:dyDescent="0.3">
      <c r="B53" s="135"/>
      <c r="C53" s="133"/>
      <c r="D53" s="415"/>
      <c r="E53" s="415"/>
      <c r="F53" s="133"/>
      <c r="G53" s="408"/>
      <c r="H53" s="408"/>
      <c r="I53" s="137"/>
      <c r="J53" s="138"/>
      <c r="K53" s="136"/>
      <c r="L53" s="291"/>
      <c r="M53" s="127"/>
      <c r="N53" s="139"/>
      <c r="O53" s="140"/>
      <c r="P53" s="69"/>
      <c r="Q53" s="141"/>
      <c r="R53" s="144"/>
    </row>
    <row r="54" spans="2:18" x14ac:dyDescent="0.3">
      <c r="B54" s="135"/>
      <c r="C54" s="133"/>
      <c r="D54" s="415"/>
      <c r="E54" s="415"/>
      <c r="F54" s="133"/>
      <c r="G54" s="408"/>
      <c r="H54" s="408"/>
      <c r="I54" s="137"/>
      <c r="J54" s="138"/>
      <c r="K54" s="136"/>
      <c r="L54" s="291"/>
      <c r="M54" s="127"/>
      <c r="N54" s="139"/>
      <c r="O54" s="140"/>
      <c r="P54" s="69"/>
      <c r="Q54" s="141"/>
      <c r="R54" s="144"/>
    </row>
    <row r="55" spans="2:18" x14ac:dyDescent="0.3">
      <c r="B55" s="135"/>
      <c r="C55" s="133"/>
      <c r="D55" s="415"/>
      <c r="E55" s="415"/>
      <c r="F55" s="133"/>
      <c r="G55" s="408"/>
      <c r="H55" s="408"/>
      <c r="I55" s="137"/>
      <c r="J55" s="138"/>
      <c r="K55" s="136"/>
      <c r="L55" s="291"/>
      <c r="M55" s="127"/>
      <c r="N55" s="139"/>
      <c r="O55" s="140"/>
      <c r="P55" s="69"/>
      <c r="Q55" s="141"/>
      <c r="R55" s="144"/>
    </row>
    <row r="56" spans="2:18" x14ac:dyDescent="0.3">
      <c r="B56" s="135"/>
      <c r="C56" s="133"/>
      <c r="D56" s="415"/>
      <c r="E56" s="415"/>
      <c r="F56" s="133"/>
      <c r="G56" s="408"/>
      <c r="H56" s="408"/>
      <c r="I56" s="137"/>
      <c r="J56" s="138"/>
      <c r="K56" s="136"/>
      <c r="L56" s="291"/>
      <c r="M56" s="127"/>
      <c r="N56" s="139"/>
      <c r="O56" s="140"/>
      <c r="P56" s="69"/>
      <c r="Q56" s="141"/>
      <c r="R56" s="144"/>
    </row>
    <row r="57" spans="2:18" x14ac:dyDescent="0.3">
      <c r="B57" s="135"/>
      <c r="C57" s="133"/>
      <c r="D57" s="415"/>
      <c r="E57" s="415"/>
      <c r="F57" s="133"/>
      <c r="G57" s="408"/>
      <c r="H57" s="408"/>
      <c r="I57" s="137"/>
      <c r="J57" s="138"/>
      <c r="K57" s="136"/>
      <c r="L57" s="291"/>
      <c r="M57" s="127"/>
      <c r="N57" s="139"/>
      <c r="O57" s="140"/>
      <c r="P57" s="69"/>
      <c r="Q57" s="141"/>
      <c r="R57" s="144"/>
    </row>
    <row r="58" spans="2:18" x14ac:dyDescent="0.3">
      <c r="B58" s="135"/>
      <c r="C58" s="133"/>
      <c r="D58" s="415"/>
      <c r="E58" s="415"/>
      <c r="F58" s="133"/>
      <c r="G58" s="408"/>
      <c r="H58" s="408"/>
      <c r="I58" s="137"/>
      <c r="J58" s="138"/>
      <c r="K58" s="136"/>
      <c r="L58" s="291"/>
      <c r="M58" s="127"/>
      <c r="N58" s="139"/>
      <c r="O58" s="140"/>
      <c r="P58" s="69"/>
      <c r="Q58" s="141"/>
      <c r="R58" s="144"/>
    </row>
    <row r="59" spans="2:18" x14ac:dyDescent="0.3">
      <c r="B59" s="135"/>
      <c r="C59" s="133"/>
      <c r="D59" s="415"/>
      <c r="E59" s="415"/>
      <c r="F59" s="133"/>
      <c r="G59" s="408"/>
      <c r="H59" s="408"/>
      <c r="I59" s="137"/>
      <c r="J59" s="138"/>
      <c r="K59" s="136"/>
      <c r="L59" s="291"/>
      <c r="M59" s="127"/>
      <c r="N59" s="139"/>
      <c r="O59" s="140"/>
      <c r="P59" s="69"/>
      <c r="Q59" s="141"/>
      <c r="R59" s="144"/>
    </row>
    <row r="60" spans="2:18" x14ac:dyDescent="0.3">
      <c r="B60" s="135"/>
      <c r="C60" s="133"/>
      <c r="D60" s="415"/>
      <c r="E60" s="415"/>
      <c r="F60" s="133"/>
      <c r="G60" s="408"/>
      <c r="H60" s="408"/>
      <c r="I60" s="137"/>
      <c r="J60" s="138"/>
      <c r="K60" s="136"/>
      <c r="L60" s="291"/>
      <c r="M60" s="127"/>
      <c r="N60" s="139"/>
      <c r="O60" s="140"/>
      <c r="P60" s="69"/>
      <c r="Q60" s="141"/>
      <c r="R60" s="144"/>
    </row>
    <row r="61" spans="2:18" x14ac:dyDescent="0.3">
      <c r="B61" s="135"/>
      <c r="C61" s="133"/>
      <c r="D61" s="415"/>
      <c r="E61" s="415"/>
      <c r="F61" s="133"/>
      <c r="G61" s="408"/>
      <c r="H61" s="408"/>
      <c r="I61" s="137"/>
      <c r="J61" s="138"/>
      <c r="K61" s="136"/>
      <c r="L61" s="291"/>
      <c r="M61" s="127"/>
      <c r="N61" s="139"/>
      <c r="O61" s="140"/>
      <c r="P61" s="69"/>
      <c r="Q61" s="141"/>
      <c r="R61" s="144"/>
    </row>
    <row r="62" spans="2:18" x14ac:dyDescent="0.3">
      <c r="B62" s="135"/>
      <c r="C62" s="133"/>
      <c r="D62" s="415"/>
      <c r="E62" s="415"/>
      <c r="F62" s="133"/>
      <c r="G62" s="408"/>
      <c r="H62" s="408"/>
      <c r="I62" s="137"/>
      <c r="J62" s="138"/>
      <c r="K62" s="136"/>
      <c r="L62" s="291"/>
      <c r="M62" s="127"/>
      <c r="N62" s="139"/>
      <c r="O62" s="140"/>
      <c r="P62" s="69"/>
      <c r="Q62" s="141"/>
      <c r="R62" s="144"/>
    </row>
    <row r="63" spans="2:18" x14ac:dyDescent="0.3">
      <c r="B63" s="135"/>
      <c r="C63" s="133"/>
      <c r="D63" s="415"/>
      <c r="E63" s="415"/>
      <c r="F63" s="133"/>
      <c r="G63" s="408"/>
      <c r="H63" s="408"/>
      <c r="I63" s="137"/>
      <c r="J63" s="138"/>
      <c r="K63" s="136"/>
      <c r="L63" s="291"/>
      <c r="M63" s="127"/>
      <c r="N63" s="139"/>
      <c r="O63" s="140"/>
      <c r="P63" s="69"/>
      <c r="Q63" s="141"/>
      <c r="R63" s="144"/>
    </row>
    <row r="64" spans="2:18" x14ac:dyDescent="0.3">
      <c r="B64" s="135"/>
      <c r="C64" s="133"/>
      <c r="D64" s="415"/>
      <c r="E64" s="415"/>
      <c r="F64" s="133"/>
      <c r="G64" s="408"/>
      <c r="H64" s="408"/>
      <c r="I64" s="137"/>
      <c r="J64" s="138"/>
      <c r="K64" s="136"/>
      <c r="L64" s="291"/>
      <c r="M64" s="127"/>
      <c r="N64" s="139"/>
      <c r="O64" s="140"/>
      <c r="P64" s="69"/>
      <c r="Q64" s="141"/>
      <c r="R64" s="144"/>
    </row>
    <row r="65" spans="2:18" x14ac:dyDescent="0.3">
      <c r="B65" s="135"/>
      <c r="C65" s="133"/>
      <c r="D65" s="415"/>
      <c r="E65" s="415"/>
      <c r="F65" s="133"/>
      <c r="G65" s="408"/>
      <c r="H65" s="408"/>
      <c r="I65" s="137"/>
      <c r="J65" s="138"/>
      <c r="K65" s="136"/>
      <c r="L65" s="291"/>
      <c r="M65" s="127"/>
      <c r="N65" s="139"/>
      <c r="O65" s="140"/>
      <c r="P65" s="69"/>
      <c r="Q65" s="141"/>
      <c r="R65" s="144"/>
    </row>
    <row r="66" spans="2:18" x14ac:dyDescent="0.3">
      <c r="B66" s="135"/>
      <c r="C66" s="133"/>
      <c r="D66" s="415"/>
      <c r="E66" s="415"/>
      <c r="F66" s="133"/>
      <c r="G66" s="408"/>
      <c r="H66" s="408"/>
      <c r="I66" s="137"/>
      <c r="J66" s="138"/>
      <c r="K66" s="136"/>
      <c r="L66" s="291"/>
      <c r="M66" s="127"/>
      <c r="N66" s="139"/>
      <c r="O66" s="140"/>
      <c r="P66" s="69"/>
      <c r="Q66" s="141"/>
      <c r="R66" s="144"/>
    </row>
    <row r="67" spans="2:18" x14ac:dyDescent="0.3">
      <c r="B67" s="135"/>
      <c r="C67" s="133"/>
      <c r="D67" s="415"/>
      <c r="E67" s="415"/>
      <c r="F67" s="133"/>
      <c r="G67" s="408"/>
      <c r="H67" s="408"/>
      <c r="I67" s="137"/>
      <c r="J67" s="138"/>
      <c r="K67" s="136"/>
      <c r="L67" s="291"/>
      <c r="M67" s="127"/>
      <c r="N67" s="139"/>
      <c r="O67" s="140"/>
      <c r="P67" s="69"/>
      <c r="Q67" s="141"/>
      <c r="R67" s="144"/>
    </row>
    <row r="68" spans="2:18" x14ac:dyDescent="0.3">
      <c r="B68" s="135"/>
      <c r="C68" s="133"/>
      <c r="D68" s="415"/>
      <c r="E68" s="415"/>
      <c r="F68" s="133"/>
      <c r="G68" s="408"/>
      <c r="H68" s="408"/>
      <c r="I68" s="137"/>
      <c r="J68" s="138"/>
      <c r="K68" s="136"/>
      <c r="L68" s="291"/>
      <c r="M68" s="127"/>
      <c r="N68" s="139"/>
      <c r="O68" s="140"/>
      <c r="P68" s="69"/>
      <c r="Q68" s="141"/>
      <c r="R68" s="144"/>
    </row>
    <row r="69" spans="2:18" x14ac:dyDescent="0.3">
      <c r="B69" s="135"/>
      <c r="C69" s="133"/>
      <c r="D69" s="415"/>
      <c r="E69" s="415"/>
      <c r="F69" s="133"/>
      <c r="G69" s="408"/>
      <c r="H69" s="408"/>
      <c r="I69" s="137"/>
      <c r="J69" s="138"/>
      <c r="K69" s="136"/>
      <c r="L69" s="291"/>
      <c r="M69" s="127"/>
      <c r="N69" s="139"/>
      <c r="O69" s="140"/>
      <c r="P69" s="69"/>
      <c r="Q69" s="141"/>
      <c r="R69" s="144"/>
    </row>
    <row r="70" spans="2:18" x14ac:dyDescent="0.3">
      <c r="B70" s="135"/>
      <c r="C70" s="133"/>
      <c r="D70" s="415"/>
      <c r="E70" s="415"/>
      <c r="F70" s="133"/>
      <c r="G70" s="408"/>
      <c r="H70" s="408"/>
      <c r="I70" s="137"/>
      <c r="J70" s="138"/>
      <c r="K70" s="136"/>
      <c r="L70" s="291"/>
      <c r="M70" s="127"/>
      <c r="N70" s="139"/>
      <c r="O70" s="140"/>
      <c r="P70" s="69"/>
      <c r="Q70" s="141"/>
      <c r="R70" s="144"/>
    </row>
    <row r="71" spans="2:18" x14ac:dyDescent="0.3">
      <c r="B71" s="135"/>
      <c r="C71" s="133"/>
      <c r="D71" s="415"/>
      <c r="E71" s="415"/>
      <c r="F71" s="133"/>
      <c r="G71" s="408"/>
      <c r="H71" s="408"/>
      <c r="I71" s="137"/>
      <c r="J71" s="138"/>
      <c r="K71" s="136"/>
      <c r="L71" s="291"/>
      <c r="M71" s="127"/>
      <c r="N71" s="139"/>
      <c r="O71" s="140"/>
      <c r="P71" s="69"/>
      <c r="Q71" s="141"/>
      <c r="R71" s="144"/>
    </row>
    <row r="72" spans="2:18" x14ac:dyDescent="0.3">
      <c r="B72" s="135"/>
      <c r="C72" s="133"/>
      <c r="D72" s="415"/>
      <c r="E72" s="415"/>
      <c r="F72" s="133"/>
      <c r="G72" s="408"/>
      <c r="H72" s="408"/>
      <c r="I72" s="137"/>
      <c r="J72" s="138"/>
      <c r="K72" s="136"/>
      <c r="L72" s="291"/>
      <c r="M72" s="127"/>
      <c r="N72" s="139"/>
      <c r="O72" s="140"/>
      <c r="P72" s="69"/>
      <c r="Q72" s="141"/>
      <c r="R72" s="144"/>
    </row>
    <row r="73" spans="2:18" x14ac:dyDescent="0.3">
      <c r="B73" s="135"/>
      <c r="C73" s="133"/>
      <c r="D73" s="415"/>
      <c r="E73" s="415"/>
      <c r="F73" s="133"/>
      <c r="G73" s="408"/>
      <c r="H73" s="408"/>
      <c r="I73" s="137"/>
      <c r="J73" s="138"/>
      <c r="K73" s="136"/>
      <c r="L73" s="291"/>
      <c r="M73" s="127"/>
      <c r="N73" s="139"/>
      <c r="O73" s="140"/>
      <c r="P73" s="69"/>
      <c r="Q73" s="141"/>
      <c r="R73" s="144"/>
    </row>
    <row r="74" spans="2:18" x14ac:dyDescent="0.3">
      <c r="B74" s="135"/>
      <c r="C74" s="133"/>
      <c r="D74" s="415"/>
      <c r="E74" s="415"/>
      <c r="F74" s="133"/>
      <c r="G74" s="408"/>
      <c r="H74" s="408"/>
      <c r="I74" s="137"/>
      <c r="J74" s="138"/>
      <c r="K74" s="136"/>
      <c r="L74" s="291"/>
      <c r="M74" s="127"/>
      <c r="N74" s="139"/>
      <c r="O74" s="140"/>
      <c r="P74" s="69"/>
      <c r="Q74" s="141"/>
      <c r="R74" s="144"/>
    </row>
    <row r="75" spans="2:18" x14ac:dyDescent="0.3">
      <c r="B75" s="135"/>
      <c r="C75" s="133"/>
      <c r="D75" s="415"/>
      <c r="E75" s="415"/>
      <c r="F75" s="133"/>
      <c r="G75" s="408"/>
      <c r="H75" s="408"/>
      <c r="I75" s="137"/>
      <c r="J75" s="138"/>
      <c r="K75" s="136"/>
      <c r="L75" s="291"/>
      <c r="M75" s="127"/>
      <c r="N75" s="139"/>
      <c r="O75" s="140"/>
      <c r="P75" s="69"/>
      <c r="Q75" s="141"/>
      <c r="R75" s="144"/>
    </row>
    <row r="76" spans="2:18" x14ac:dyDescent="0.3">
      <c r="B76" s="135"/>
      <c r="C76" s="133"/>
      <c r="D76" s="415"/>
      <c r="E76" s="415"/>
      <c r="F76" s="133"/>
      <c r="G76" s="408"/>
      <c r="H76" s="408"/>
      <c r="I76" s="137"/>
      <c r="J76" s="138"/>
      <c r="K76" s="136"/>
      <c r="L76" s="291"/>
      <c r="M76" s="127"/>
      <c r="N76" s="139"/>
      <c r="O76" s="140"/>
      <c r="P76" s="69"/>
      <c r="Q76" s="141"/>
      <c r="R76" s="144"/>
    </row>
    <row r="77" spans="2:18" x14ac:dyDescent="0.3">
      <c r="B77" s="135"/>
      <c r="C77" s="133"/>
      <c r="D77" s="415"/>
      <c r="E77" s="415"/>
      <c r="F77" s="133"/>
      <c r="G77" s="408"/>
      <c r="H77" s="408"/>
      <c r="I77" s="137"/>
      <c r="J77" s="138"/>
      <c r="K77" s="136"/>
      <c r="L77" s="291"/>
      <c r="M77" s="127"/>
      <c r="N77" s="139"/>
      <c r="O77" s="140"/>
      <c r="P77" s="69"/>
      <c r="Q77" s="141"/>
      <c r="R77" s="144"/>
    </row>
    <row r="78" spans="2:18" x14ac:dyDescent="0.3">
      <c r="B78" s="135"/>
      <c r="C78" s="133"/>
      <c r="D78" s="415"/>
      <c r="E78" s="415"/>
      <c r="F78" s="133"/>
      <c r="G78" s="408"/>
      <c r="H78" s="408"/>
      <c r="I78" s="137"/>
      <c r="J78" s="138"/>
      <c r="K78" s="136"/>
      <c r="L78" s="291"/>
      <c r="M78" s="127"/>
      <c r="N78" s="139"/>
      <c r="O78" s="140"/>
      <c r="P78" s="69"/>
      <c r="Q78" s="141"/>
      <c r="R78" s="144"/>
    </row>
    <row r="79" spans="2:18" x14ac:dyDescent="0.3">
      <c r="B79" s="135"/>
      <c r="C79" s="133"/>
      <c r="D79" s="415"/>
      <c r="E79" s="415"/>
      <c r="F79" s="133"/>
      <c r="G79" s="408"/>
      <c r="H79" s="408"/>
      <c r="I79" s="137"/>
      <c r="J79" s="138"/>
      <c r="K79" s="136"/>
      <c r="L79" s="291"/>
      <c r="M79" s="127"/>
      <c r="N79" s="139"/>
      <c r="O79" s="140"/>
      <c r="P79" s="69"/>
      <c r="Q79" s="141"/>
      <c r="R79" s="144"/>
    </row>
    <row r="80" spans="2:18" x14ac:dyDescent="0.3">
      <c r="B80" s="135"/>
      <c r="C80" s="133"/>
      <c r="D80" s="415"/>
      <c r="E80" s="415"/>
      <c r="F80" s="133"/>
      <c r="G80" s="408"/>
      <c r="H80" s="408"/>
      <c r="I80" s="137"/>
      <c r="J80" s="138"/>
      <c r="K80" s="136"/>
      <c r="L80" s="291"/>
      <c r="M80" s="127"/>
      <c r="N80" s="139"/>
      <c r="O80" s="140"/>
      <c r="P80" s="69"/>
      <c r="Q80" s="141"/>
      <c r="R80" s="144"/>
    </row>
    <row r="81" spans="2:18" x14ac:dyDescent="0.3">
      <c r="B81" s="135"/>
      <c r="C81" s="133"/>
      <c r="D81" s="415"/>
      <c r="E81" s="415"/>
      <c r="F81" s="133"/>
      <c r="G81" s="408"/>
      <c r="H81" s="408"/>
      <c r="I81" s="137"/>
      <c r="J81" s="138"/>
      <c r="K81" s="136"/>
      <c r="L81" s="291"/>
      <c r="M81" s="127"/>
      <c r="N81" s="139"/>
      <c r="O81" s="140"/>
      <c r="P81" s="69"/>
      <c r="Q81" s="141"/>
      <c r="R81" s="144"/>
    </row>
    <row r="82" spans="2:18" x14ac:dyDescent="0.3">
      <c r="B82" s="135"/>
      <c r="C82" s="133"/>
      <c r="D82" s="415"/>
      <c r="E82" s="415"/>
      <c r="F82" s="133"/>
      <c r="G82" s="408"/>
      <c r="H82" s="408"/>
      <c r="I82" s="137"/>
      <c r="J82" s="138"/>
      <c r="K82" s="136"/>
      <c r="L82" s="291"/>
      <c r="M82" s="127"/>
      <c r="N82" s="139"/>
      <c r="O82" s="140"/>
      <c r="P82" s="69"/>
      <c r="Q82" s="141"/>
      <c r="R82" s="144"/>
    </row>
    <row r="83" spans="2:18" x14ac:dyDescent="0.3">
      <c r="B83" s="135"/>
      <c r="C83" s="133"/>
      <c r="D83" s="415"/>
      <c r="E83" s="415"/>
      <c r="F83" s="133"/>
      <c r="G83" s="408"/>
      <c r="H83" s="408"/>
      <c r="I83" s="137"/>
      <c r="J83" s="138"/>
      <c r="K83" s="136"/>
      <c r="L83" s="291"/>
      <c r="M83" s="127"/>
      <c r="N83" s="139"/>
      <c r="O83" s="140"/>
      <c r="P83" s="69"/>
      <c r="Q83" s="141"/>
      <c r="R83" s="144"/>
    </row>
    <row r="84" spans="2:18" x14ac:dyDescent="0.3">
      <c r="B84" s="135"/>
      <c r="C84" s="133"/>
      <c r="D84" s="415"/>
      <c r="E84" s="415"/>
      <c r="F84" s="133"/>
      <c r="G84" s="408"/>
      <c r="H84" s="408"/>
      <c r="I84" s="137"/>
      <c r="J84" s="138"/>
      <c r="K84" s="136"/>
      <c r="L84" s="291"/>
      <c r="M84" s="127"/>
      <c r="N84" s="139"/>
      <c r="O84" s="140"/>
      <c r="P84" s="69"/>
      <c r="Q84" s="141"/>
      <c r="R84" s="144"/>
    </row>
    <row r="85" spans="2:18" x14ac:dyDescent="0.3">
      <c r="B85" s="135"/>
      <c r="C85" s="133"/>
      <c r="D85" s="415"/>
      <c r="E85" s="415"/>
      <c r="F85" s="133"/>
      <c r="G85" s="408"/>
      <c r="H85" s="408"/>
      <c r="I85" s="137"/>
      <c r="J85" s="138"/>
      <c r="K85" s="136"/>
      <c r="L85" s="291"/>
      <c r="M85" s="127"/>
      <c r="N85" s="139"/>
      <c r="O85" s="140"/>
      <c r="P85" s="69"/>
      <c r="Q85" s="141"/>
      <c r="R85" s="144"/>
    </row>
    <row r="86" spans="2:18" x14ac:dyDescent="0.3">
      <c r="B86" s="135"/>
      <c r="C86" s="133"/>
      <c r="D86" s="415"/>
      <c r="E86" s="415"/>
      <c r="F86" s="133"/>
      <c r="G86" s="408"/>
      <c r="H86" s="408"/>
      <c r="I86" s="137"/>
      <c r="J86" s="138"/>
      <c r="K86" s="136"/>
      <c r="L86" s="291"/>
      <c r="M86" s="127"/>
      <c r="N86" s="139"/>
      <c r="O86" s="140"/>
      <c r="P86" s="69"/>
      <c r="Q86" s="141"/>
      <c r="R86" s="144"/>
    </row>
    <row r="87" spans="2:18" x14ac:dyDescent="0.3">
      <c r="B87" s="135"/>
      <c r="C87" s="133"/>
      <c r="D87" s="415"/>
      <c r="E87" s="415"/>
      <c r="F87" s="133"/>
      <c r="G87" s="408"/>
      <c r="H87" s="408"/>
      <c r="I87" s="137"/>
      <c r="J87" s="138"/>
      <c r="K87" s="136"/>
      <c r="L87" s="291"/>
      <c r="M87" s="127"/>
      <c r="N87" s="139"/>
      <c r="O87" s="140"/>
      <c r="P87" s="69"/>
      <c r="Q87" s="141"/>
      <c r="R87" s="144"/>
    </row>
    <row r="88" spans="2:18" x14ac:dyDescent="0.3">
      <c r="B88" s="135"/>
      <c r="C88" s="133"/>
      <c r="D88" s="415"/>
      <c r="E88" s="415"/>
      <c r="F88" s="133"/>
      <c r="G88" s="408"/>
      <c r="H88" s="408"/>
      <c r="I88" s="137"/>
      <c r="J88" s="138"/>
      <c r="K88" s="136"/>
      <c r="L88" s="291"/>
      <c r="M88" s="127"/>
      <c r="N88" s="139"/>
      <c r="O88" s="140"/>
      <c r="P88" s="69"/>
      <c r="Q88" s="141"/>
      <c r="R88" s="144"/>
    </row>
    <row r="89" spans="2:18" x14ac:dyDescent="0.3">
      <c r="B89" s="135"/>
      <c r="C89" s="133"/>
      <c r="D89" s="415"/>
      <c r="E89" s="415"/>
      <c r="F89" s="133"/>
      <c r="G89" s="408"/>
      <c r="H89" s="408"/>
      <c r="I89" s="137"/>
      <c r="J89" s="138"/>
      <c r="K89" s="136"/>
      <c r="L89" s="291"/>
      <c r="M89" s="127"/>
      <c r="N89" s="139"/>
      <c r="O89" s="140"/>
      <c r="P89" s="69"/>
      <c r="Q89" s="141"/>
      <c r="R89" s="144"/>
    </row>
    <row r="90" spans="2:18" x14ac:dyDescent="0.3">
      <c r="B90" s="135"/>
      <c r="C90" s="133"/>
      <c r="D90" s="415"/>
      <c r="E90" s="415"/>
      <c r="F90" s="133"/>
      <c r="G90" s="408"/>
      <c r="H90" s="408"/>
      <c r="I90" s="137"/>
      <c r="J90" s="138"/>
      <c r="K90" s="136"/>
      <c r="L90" s="291"/>
      <c r="M90" s="127"/>
      <c r="N90" s="139"/>
      <c r="O90" s="140"/>
      <c r="P90" s="69"/>
      <c r="Q90" s="141"/>
      <c r="R90" s="144"/>
    </row>
    <row r="91" spans="2:18" x14ac:dyDescent="0.3">
      <c r="B91" s="135"/>
      <c r="C91" s="133"/>
      <c r="D91" s="415"/>
      <c r="E91" s="415"/>
      <c r="F91" s="133"/>
      <c r="G91" s="408"/>
      <c r="H91" s="408"/>
      <c r="I91" s="137"/>
      <c r="J91" s="138"/>
      <c r="K91" s="136"/>
      <c r="L91" s="291"/>
      <c r="M91" s="127"/>
      <c r="N91" s="139"/>
      <c r="O91" s="140"/>
      <c r="P91" s="69"/>
      <c r="Q91" s="141"/>
      <c r="R91" s="144"/>
    </row>
    <row r="92" spans="2:18" x14ac:dyDescent="0.3">
      <c r="B92" s="135"/>
      <c r="C92" s="133"/>
      <c r="D92" s="415"/>
      <c r="E92" s="415"/>
      <c r="F92" s="133"/>
      <c r="G92" s="408"/>
      <c r="H92" s="408"/>
      <c r="I92" s="137"/>
      <c r="J92" s="138"/>
      <c r="K92" s="136"/>
      <c r="L92" s="291"/>
      <c r="M92" s="127"/>
      <c r="N92" s="139"/>
      <c r="O92" s="140"/>
      <c r="P92" s="69"/>
      <c r="Q92" s="141"/>
      <c r="R92" s="144"/>
    </row>
    <row r="93" spans="2:18" x14ac:dyDescent="0.3">
      <c r="B93" s="135"/>
      <c r="C93" s="133"/>
      <c r="D93" s="415"/>
      <c r="E93" s="415"/>
      <c r="F93" s="133"/>
      <c r="G93" s="408"/>
      <c r="H93" s="408"/>
      <c r="I93" s="137"/>
      <c r="J93" s="138"/>
      <c r="K93" s="136"/>
      <c r="L93" s="291"/>
      <c r="M93" s="127"/>
      <c r="N93" s="139"/>
      <c r="O93" s="140"/>
      <c r="P93" s="69"/>
      <c r="Q93" s="141"/>
      <c r="R93" s="144"/>
    </row>
    <row r="94" spans="2:18" x14ac:dyDescent="0.3">
      <c r="B94" s="135"/>
      <c r="C94" s="133"/>
      <c r="D94" s="415"/>
      <c r="E94" s="415"/>
      <c r="F94" s="133"/>
      <c r="G94" s="408"/>
      <c r="H94" s="408"/>
      <c r="I94" s="137"/>
      <c r="J94" s="138"/>
      <c r="K94" s="136"/>
      <c r="L94" s="291"/>
      <c r="M94" s="127"/>
      <c r="N94" s="139"/>
      <c r="O94" s="140"/>
      <c r="P94" s="69"/>
      <c r="Q94" s="141"/>
      <c r="R94" s="144"/>
    </row>
    <row r="95" spans="2:18" x14ac:dyDescent="0.3">
      <c r="B95" s="135"/>
      <c r="C95" s="133"/>
      <c r="D95" s="415"/>
      <c r="E95" s="415"/>
      <c r="F95" s="133"/>
      <c r="G95" s="408"/>
      <c r="H95" s="408"/>
      <c r="I95" s="137"/>
      <c r="J95" s="138"/>
      <c r="K95" s="136"/>
      <c r="L95" s="291"/>
      <c r="M95" s="127"/>
      <c r="N95" s="139"/>
      <c r="O95" s="140"/>
      <c r="P95" s="69"/>
      <c r="Q95" s="141"/>
      <c r="R95" s="144"/>
    </row>
    <row r="96" spans="2:18" x14ac:dyDescent="0.3">
      <c r="B96" s="135"/>
      <c r="C96" s="133"/>
      <c r="D96" s="415"/>
      <c r="E96" s="415"/>
      <c r="F96" s="133"/>
      <c r="G96" s="408"/>
      <c r="H96" s="408"/>
      <c r="I96" s="137"/>
      <c r="J96" s="138"/>
      <c r="K96" s="136"/>
      <c r="L96" s="291"/>
      <c r="M96" s="127"/>
      <c r="N96" s="139"/>
      <c r="O96" s="140"/>
      <c r="P96" s="69"/>
      <c r="Q96" s="141"/>
      <c r="R96" s="144"/>
    </row>
    <row r="97" spans="2:18" x14ac:dyDescent="0.3">
      <c r="B97" s="135"/>
      <c r="C97" s="134"/>
      <c r="D97" s="129"/>
      <c r="E97" s="129"/>
      <c r="F97" s="133"/>
      <c r="G97" s="51"/>
      <c r="H97" s="408"/>
      <c r="I97" s="137"/>
      <c r="J97" s="138"/>
      <c r="K97" s="136"/>
      <c r="L97" s="291"/>
      <c r="M97" s="127"/>
      <c r="N97" s="139"/>
      <c r="O97" s="140"/>
      <c r="P97" s="53"/>
      <c r="Q97" s="141"/>
      <c r="R97" s="144"/>
    </row>
    <row r="98" spans="2:18" x14ac:dyDescent="0.3">
      <c r="B98" s="135"/>
      <c r="C98" s="134"/>
      <c r="D98" s="129"/>
      <c r="E98" s="129"/>
      <c r="F98" s="133"/>
      <c r="G98" s="51"/>
      <c r="H98" s="408"/>
      <c r="I98" s="137"/>
      <c r="J98" s="138"/>
      <c r="K98" s="136"/>
      <c r="L98" s="291"/>
      <c r="M98" s="127"/>
      <c r="N98" s="139"/>
      <c r="O98" s="140"/>
      <c r="P98" s="53"/>
      <c r="Q98" s="141"/>
      <c r="R98" s="144"/>
    </row>
    <row r="99" spans="2:18" x14ac:dyDescent="0.3">
      <c r="B99" s="135"/>
      <c r="C99" s="134"/>
      <c r="D99" s="129"/>
      <c r="E99" s="129"/>
      <c r="F99" s="133"/>
      <c r="G99" s="51"/>
      <c r="H99" s="408"/>
      <c r="I99" s="137"/>
      <c r="J99" s="138"/>
      <c r="K99" s="136"/>
      <c r="L99" s="291"/>
      <c r="M99" s="127"/>
      <c r="N99" s="139"/>
      <c r="O99" s="140"/>
      <c r="P99" s="53"/>
      <c r="Q99" s="141"/>
      <c r="R99" s="144"/>
    </row>
    <row r="100" spans="2:18" x14ac:dyDescent="0.3">
      <c r="B100" s="135"/>
      <c r="C100" s="134"/>
      <c r="D100" s="129"/>
      <c r="E100" s="129"/>
      <c r="F100" s="133"/>
      <c r="G100" s="51"/>
      <c r="H100" s="408"/>
      <c r="I100" s="137"/>
      <c r="J100" s="138"/>
      <c r="K100" s="136"/>
      <c r="L100" s="291"/>
      <c r="M100" s="127"/>
      <c r="N100" s="139"/>
      <c r="O100" s="140"/>
      <c r="P100" s="53"/>
      <c r="Q100" s="141"/>
      <c r="R100" s="144"/>
    </row>
    <row r="101" spans="2:18" x14ac:dyDescent="0.3">
      <c r="B101" s="135"/>
      <c r="C101" s="134"/>
      <c r="D101" s="129"/>
      <c r="E101" s="129"/>
      <c r="F101" s="133"/>
      <c r="G101" s="51"/>
      <c r="H101" s="408"/>
      <c r="I101" s="137"/>
      <c r="J101" s="138"/>
      <c r="K101" s="136"/>
      <c r="L101" s="291"/>
      <c r="M101" s="127"/>
      <c r="N101" s="139"/>
      <c r="O101" s="140"/>
      <c r="P101" s="53"/>
      <c r="Q101" s="141"/>
      <c r="R101" s="144"/>
    </row>
    <row r="102" spans="2:18" x14ac:dyDescent="0.3">
      <c r="B102" s="135"/>
      <c r="C102" s="134"/>
      <c r="D102" s="129"/>
      <c r="E102" s="129"/>
      <c r="F102" s="133"/>
      <c r="G102" s="51"/>
      <c r="H102" s="408"/>
      <c r="I102" s="137"/>
      <c r="J102" s="138"/>
      <c r="K102" s="136"/>
      <c r="L102" s="291"/>
      <c r="M102" s="127"/>
      <c r="N102" s="139"/>
      <c r="O102" s="140"/>
      <c r="P102" s="53"/>
      <c r="Q102" s="141"/>
      <c r="R102" s="144"/>
    </row>
    <row r="103" spans="2:18" x14ac:dyDescent="0.3">
      <c r="B103" s="135"/>
      <c r="C103" s="134"/>
      <c r="D103" s="129"/>
      <c r="E103" s="129"/>
      <c r="F103" s="133"/>
      <c r="G103" s="51"/>
      <c r="H103" s="408"/>
      <c r="I103" s="137"/>
      <c r="J103" s="138"/>
      <c r="K103" s="136"/>
      <c r="L103" s="291"/>
      <c r="M103" s="127"/>
      <c r="N103" s="139"/>
      <c r="O103" s="140"/>
      <c r="P103" s="53"/>
      <c r="Q103" s="141"/>
      <c r="R103" s="144"/>
    </row>
    <row r="104" spans="2:18" x14ac:dyDescent="0.3">
      <c r="B104" s="135"/>
      <c r="C104" s="134"/>
      <c r="D104" s="129"/>
      <c r="E104" s="129"/>
      <c r="F104" s="133"/>
      <c r="G104" s="51"/>
      <c r="H104" s="408"/>
      <c r="I104" s="137"/>
      <c r="J104" s="138"/>
      <c r="K104" s="136"/>
      <c r="L104" s="291"/>
      <c r="M104" s="127"/>
      <c r="N104" s="139"/>
      <c r="O104" s="140"/>
      <c r="P104" s="53"/>
      <c r="Q104" s="141"/>
      <c r="R104" s="144"/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660"/>
  <sheetViews>
    <sheetView tabSelected="1" zoomScale="115" zoomScaleNormal="115" workbookViewId="0">
      <pane ySplit="1" topLeftCell="A632" activePane="bottomLeft" state="frozen"/>
      <selection pane="bottomLeft" activeCell="B654" sqref="B654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43.8" thickBot="1" x14ac:dyDescent="0.35">
      <c r="A1" s="4" t="s">
        <v>10</v>
      </c>
      <c r="B1" s="4" t="s">
        <v>407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" si="0">A1</f>
        <v>№ сценария</v>
      </c>
      <c r="N1" s="1" t="str">
        <f t="shared" si="0"/>
        <v>Оборудование, характеристики аварии</v>
      </c>
      <c r="O1" t="str">
        <f t="shared" ref="O1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410</v>
      </c>
      <c r="U1" s="68" t="s">
        <v>315</v>
      </c>
      <c r="V1" s="68" t="s">
        <v>412</v>
      </c>
      <c r="W1" s="68" t="s">
        <v>71</v>
      </c>
      <c r="X1" s="68" t="s">
        <v>411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3" ht="15" thickBot="1" x14ac:dyDescent="0.35">
      <c r="A2" s="48" t="s">
        <v>18</v>
      </c>
      <c r="B2" s="150" t="s">
        <v>592</v>
      </c>
      <c r="C2" s="166" t="s">
        <v>159</v>
      </c>
      <c r="D2" s="49" t="s">
        <v>59</v>
      </c>
      <c r="E2" s="153">
        <v>2.9999999999999999E-7</v>
      </c>
      <c r="F2" s="150">
        <v>10</v>
      </c>
      <c r="G2" s="48">
        <v>0.2</v>
      </c>
      <c r="H2" s="50">
        <f t="shared" ref="H2:H7" si="2">E2*F2*G2</f>
        <v>6.0000000000000008E-7</v>
      </c>
      <c r="I2" s="151">
        <v>0.3</v>
      </c>
      <c r="J2" s="156">
        <f>I2</f>
        <v>0.3</v>
      </c>
      <c r="K2" s="159" t="s">
        <v>175</v>
      </c>
      <c r="L2" s="164">
        <f>I2*150</f>
        <v>45</v>
      </c>
      <c r="M2" s="92" t="str">
        <f t="shared" ref="M2:N7" si="3">A2</f>
        <v>С1</v>
      </c>
      <c r="N2" s="92" t="str">
        <f t="shared" si="3"/>
        <v>Трубопровод дренажный продукт (рег.№133)</v>
      </c>
      <c r="O2" s="92" t="str">
        <f t="shared" ref="O2:O7" si="4">D2</f>
        <v>Полное-пожар</v>
      </c>
      <c r="P2" s="92">
        <v>38.799999999999997</v>
      </c>
      <c r="Q2" s="92">
        <v>53.1</v>
      </c>
      <c r="R2" s="92">
        <v>75.3</v>
      </c>
      <c r="S2" s="92">
        <v>137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1</v>
      </c>
      <c r="AL2" s="152">
        <f>0.75*F2/1000</f>
        <v>7.4999999999999997E-3</v>
      </c>
      <c r="AM2" s="152">
        <v>2.7E-2</v>
      </c>
      <c r="AN2" s="152">
        <v>3</v>
      </c>
      <c r="AO2" s="92"/>
      <c r="AP2" s="92"/>
      <c r="AQ2" s="93">
        <f>AM2*I2+AL2</f>
        <v>1.5599999999999999E-2</v>
      </c>
      <c r="AR2" s="93">
        <f t="shared" ref="AR2:AR7" si="5">0.1*AQ2</f>
        <v>1.56E-3</v>
      </c>
      <c r="AS2" s="94">
        <f t="shared" ref="AS2:AS7" si="6">AJ2*3+0.25*AK2</f>
        <v>3.25</v>
      </c>
      <c r="AT2" s="94">
        <f t="shared" ref="AT2:AT7" si="7">SUM(AQ2:AS2)/4</f>
        <v>0.81679000000000002</v>
      </c>
      <c r="AU2" s="93">
        <f>10068.2*J2*POWER(10,-6)</f>
        <v>3.02046E-3</v>
      </c>
      <c r="AV2" s="94">
        <f t="shared" ref="AV2:AV7" si="8">AU2+AT2+AS2+AR2+AQ2</f>
        <v>4.0869704599999999</v>
      </c>
      <c r="AW2" s="95">
        <f t="shared" ref="AW2:AW7" si="9">AJ2*H2</f>
        <v>6.0000000000000008E-7</v>
      </c>
      <c r="AX2" s="95">
        <f t="shared" ref="AX2:AX7" si="10">H2*AK2</f>
        <v>6.0000000000000008E-7</v>
      </c>
      <c r="AY2" s="95">
        <f t="shared" ref="AY2:AY7" si="11">H2*AV2</f>
        <v>2.4521822760000001E-6</v>
      </c>
    </row>
    <row r="3" spans="1:53" ht="15" thickBot="1" x14ac:dyDescent="0.35">
      <c r="A3" s="48" t="s">
        <v>19</v>
      </c>
      <c r="B3" s="48" t="str">
        <f>B2</f>
        <v>Трубопровод дренажный продукт (рег.№133)</v>
      </c>
      <c r="C3" s="166" t="s">
        <v>160</v>
      </c>
      <c r="D3" s="49" t="s">
        <v>62</v>
      </c>
      <c r="E3" s="154">
        <f>E2</f>
        <v>2.9999999999999999E-7</v>
      </c>
      <c r="F3" s="155">
        <f>F2</f>
        <v>10</v>
      </c>
      <c r="G3" s="48">
        <v>0.04</v>
      </c>
      <c r="H3" s="50">
        <f t="shared" si="2"/>
        <v>1.2000000000000002E-7</v>
      </c>
      <c r="I3" s="149">
        <f>I2</f>
        <v>0.3</v>
      </c>
      <c r="J3" s="421">
        <f>POWER(10,-6)*55*SQRT(100)*3600*L2/1000*0.2</f>
        <v>1.7819999999999999E-2</v>
      </c>
      <c r="K3" s="159" t="s">
        <v>176</v>
      </c>
      <c r="L3" s="164">
        <v>0</v>
      </c>
      <c r="M3" s="92" t="str">
        <f t="shared" si="3"/>
        <v>С2</v>
      </c>
      <c r="N3" s="92" t="str">
        <f t="shared" si="3"/>
        <v>Трубопровод дренажный продукт (рег.№133)</v>
      </c>
      <c r="O3" s="92" t="str">
        <f t="shared" si="4"/>
        <v>Полное-взрыв</v>
      </c>
      <c r="P3" s="92" t="s">
        <v>83</v>
      </c>
      <c r="Q3" s="92" t="s">
        <v>83</v>
      </c>
      <c r="R3" s="92" t="s">
        <v>83</v>
      </c>
      <c r="S3" s="92" t="s">
        <v>83</v>
      </c>
      <c r="T3" s="92">
        <v>0</v>
      </c>
      <c r="U3" s="92">
        <v>0</v>
      </c>
      <c r="V3" s="92">
        <v>38.1</v>
      </c>
      <c r="W3" s="92">
        <v>154.1</v>
      </c>
      <c r="X3" s="92">
        <v>409.6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s="92" t="s">
        <v>83</v>
      </c>
      <c r="AJ3" s="52">
        <v>1</v>
      </c>
      <c r="AK3" s="52">
        <v>1</v>
      </c>
      <c r="AL3" s="92">
        <f>AL2</f>
        <v>7.4999999999999997E-3</v>
      </c>
      <c r="AM3" s="92">
        <f>AM2</f>
        <v>2.7E-2</v>
      </c>
      <c r="AN3" s="92">
        <f>AN2</f>
        <v>3</v>
      </c>
      <c r="AO3" s="92"/>
      <c r="AP3" s="92"/>
      <c r="AQ3" s="93">
        <f>AM3*I3+AL3</f>
        <v>1.5599999999999999E-2</v>
      </c>
      <c r="AR3" s="93">
        <f t="shared" si="5"/>
        <v>1.56E-3</v>
      </c>
      <c r="AS3" s="94">
        <f t="shared" si="6"/>
        <v>3.25</v>
      </c>
      <c r="AT3" s="94">
        <f t="shared" si="7"/>
        <v>0.81679000000000002</v>
      </c>
      <c r="AU3" s="93">
        <f>10068.2*J3*POWER(10,-6)*10</f>
        <v>1.7941532400000001E-3</v>
      </c>
      <c r="AV3" s="94">
        <f t="shared" si="8"/>
        <v>4.0857441532399994</v>
      </c>
      <c r="AW3" s="95">
        <f t="shared" si="9"/>
        <v>1.2000000000000002E-7</v>
      </c>
      <c r="AX3" s="95">
        <f t="shared" si="10"/>
        <v>1.2000000000000002E-7</v>
      </c>
      <c r="AY3" s="95">
        <f t="shared" si="11"/>
        <v>4.9028929838880001E-7</v>
      </c>
    </row>
    <row r="4" spans="1:53" x14ac:dyDescent="0.3">
      <c r="A4" s="48" t="s">
        <v>20</v>
      </c>
      <c r="B4" s="48" t="str">
        <f>B2</f>
        <v>Трубопровод дренажный продукт (рег.№133)</v>
      </c>
      <c r="C4" s="166" t="s">
        <v>161</v>
      </c>
      <c r="D4" s="49" t="s">
        <v>60</v>
      </c>
      <c r="E4" s="154">
        <f>E2</f>
        <v>2.9999999999999999E-7</v>
      </c>
      <c r="F4" s="155">
        <f>F2</f>
        <v>10</v>
      </c>
      <c r="G4" s="48">
        <v>0.76</v>
      </c>
      <c r="H4" s="50">
        <f t="shared" si="2"/>
        <v>2.2800000000000002E-6</v>
      </c>
      <c r="I4" s="149">
        <f>I2</f>
        <v>0.3</v>
      </c>
      <c r="J4" s="158">
        <v>0</v>
      </c>
      <c r="K4" s="159" t="s">
        <v>177</v>
      </c>
      <c r="L4" s="164">
        <v>0</v>
      </c>
      <c r="M4" s="92" t="str">
        <f t="shared" si="3"/>
        <v>С3</v>
      </c>
      <c r="N4" s="92" t="str">
        <f t="shared" si="3"/>
        <v>Трубопровод дренажный продукт (рег.№133)</v>
      </c>
      <c r="O4" s="92" t="str">
        <f t="shared" si="4"/>
        <v>Полное-ликвидация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 t="s">
        <v>83</v>
      </c>
      <c r="AD4" s="92" t="s">
        <v>83</v>
      </c>
      <c r="AE4" s="92" t="s">
        <v>83</v>
      </c>
      <c r="AF4" s="92" t="s">
        <v>83</v>
      </c>
      <c r="AG4" s="92" t="s">
        <v>83</v>
      </c>
      <c r="AH4" s="92" t="s">
        <v>83</v>
      </c>
      <c r="AI4" s="92" t="s">
        <v>83</v>
      </c>
      <c r="AJ4" s="92">
        <v>0</v>
      </c>
      <c r="AK4" s="92">
        <v>0</v>
      </c>
      <c r="AL4" s="92">
        <f>AL2</f>
        <v>7.4999999999999997E-3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8.3099999999999997E-3</v>
      </c>
      <c r="AR4" s="93">
        <f t="shared" si="5"/>
        <v>8.3100000000000003E-4</v>
      </c>
      <c r="AS4" s="94">
        <f t="shared" si="6"/>
        <v>0</v>
      </c>
      <c r="AT4" s="94">
        <f t="shared" si="7"/>
        <v>2.28525E-3</v>
      </c>
      <c r="AU4" s="93">
        <f>1333*J3*POWER(10,-6)</f>
        <v>2.3754059999999997E-5</v>
      </c>
      <c r="AV4" s="94">
        <f t="shared" si="8"/>
        <v>1.1450004059999999E-2</v>
      </c>
      <c r="AW4" s="95">
        <f t="shared" si="9"/>
        <v>0</v>
      </c>
      <c r="AX4" s="95">
        <f t="shared" si="10"/>
        <v>0</v>
      </c>
      <c r="AY4" s="95">
        <f t="shared" si="11"/>
        <v>2.61060092568E-8</v>
      </c>
    </row>
    <row r="5" spans="1:53" x14ac:dyDescent="0.3">
      <c r="A5" s="48" t="s">
        <v>21</v>
      </c>
      <c r="B5" s="48" t="str">
        <f>B2</f>
        <v>Трубопровод дренажный продукт (рег.№133)</v>
      </c>
      <c r="C5" s="166" t="s">
        <v>162</v>
      </c>
      <c r="D5" s="49" t="s">
        <v>84</v>
      </c>
      <c r="E5" s="153">
        <v>1.9999999999999999E-6</v>
      </c>
      <c r="F5" s="155">
        <f>F2</f>
        <v>10</v>
      </c>
      <c r="G5" s="48">
        <v>0.2</v>
      </c>
      <c r="H5" s="50">
        <f t="shared" si="2"/>
        <v>3.9999999999999998E-6</v>
      </c>
      <c r="I5" s="149">
        <f>0.15*I2</f>
        <v>4.4999999999999998E-2</v>
      </c>
      <c r="J5" s="156">
        <f>I5</f>
        <v>4.4999999999999998E-2</v>
      </c>
      <c r="K5" s="161" t="s">
        <v>179</v>
      </c>
      <c r="L5" s="165">
        <v>45390</v>
      </c>
      <c r="M5" s="92" t="str">
        <f t="shared" si="3"/>
        <v>С4</v>
      </c>
      <c r="N5" s="92" t="str">
        <f t="shared" si="3"/>
        <v>Трубопровод дренажный продукт (рег.№133)</v>
      </c>
      <c r="O5" s="92" t="str">
        <f t="shared" si="4"/>
        <v>Частичное-пожар</v>
      </c>
      <c r="P5" s="92">
        <v>17.399999999999999</v>
      </c>
      <c r="Q5" s="92">
        <v>23.9</v>
      </c>
      <c r="R5" s="92">
        <v>33.9</v>
      </c>
      <c r="S5" s="92">
        <v>62.8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s="92" t="s">
        <v>83</v>
      </c>
      <c r="AJ5" s="92">
        <v>0</v>
      </c>
      <c r="AK5" s="92">
        <v>1</v>
      </c>
      <c r="AL5" s="92">
        <f>0.1*AL2</f>
        <v>7.5000000000000002E-4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1.9649999999999997E-3</v>
      </c>
      <c r="AR5" s="93">
        <f t="shared" si="5"/>
        <v>1.9649999999999998E-4</v>
      </c>
      <c r="AS5" s="94">
        <f t="shared" si="6"/>
        <v>0.25</v>
      </c>
      <c r="AT5" s="94">
        <f t="shared" si="7"/>
        <v>6.3040374999999996E-2</v>
      </c>
      <c r="AU5" s="93">
        <f>10068.2*J5*POWER(10,-6)</f>
        <v>4.5306900000000001E-4</v>
      </c>
      <c r="AV5" s="94">
        <f t="shared" si="8"/>
        <v>0.31565494399999999</v>
      </c>
      <c r="AW5" s="95">
        <f t="shared" si="9"/>
        <v>0</v>
      </c>
      <c r="AX5" s="95">
        <f t="shared" si="10"/>
        <v>3.9999999999999998E-6</v>
      </c>
      <c r="AY5" s="95">
        <f t="shared" si="11"/>
        <v>1.2626197759999999E-6</v>
      </c>
    </row>
    <row r="6" spans="1:53" x14ac:dyDescent="0.3">
      <c r="A6" s="48" t="s">
        <v>22</v>
      </c>
      <c r="B6" s="48" t="str">
        <f>B2</f>
        <v>Трубопровод дренажный продукт (рег.№133)</v>
      </c>
      <c r="C6" s="166" t="s">
        <v>163</v>
      </c>
      <c r="D6" s="49" t="s">
        <v>165</v>
      </c>
      <c r="E6" s="154">
        <f>E5</f>
        <v>1.9999999999999999E-6</v>
      </c>
      <c r="F6" s="155">
        <f>F2</f>
        <v>10</v>
      </c>
      <c r="G6" s="48">
        <v>0.04</v>
      </c>
      <c r="H6" s="50">
        <f t="shared" si="2"/>
        <v>7.9999999999999996E-7</v>
      </c>
      <c r="I6" s="149">
        <f>0.15*I2</f>
        <v>4.4999999999999998E-2</v>
      </c>
      <c r="J6" s="156">
        <f>0.3*J3</f>
        <v>5.3459999999999992E-3</v>
      </c>
      <c r="K6" s="161" t="s">
        <v>180</v>
      </c>
      <c r="L6" s="165">
        <v>3</v>
      </c>
      <c r="M6" s="92" t="str">
        <f t="shared" si="3"/>
        <v>С5</v>
      </c>
      <c r="N6" s="92" t="str">
        <f t="shared" si="3"/>
        <v>Трубопровод дренажный продукт (рег.№133)</v>
      </c>
      <c r="O6" s="92" t="str">
        <f t="shared" si="4"/>
        <v>Частичное-пожар-вспышка</v>
      </c>
      <c r="P6" s="92" t="s">
        <v>83</v>
      </c>
      <c r="Q6" s="92" t="s">
        <v>83</v>
      </c>
      <c r="R6" s="92" t="s">
        <v>83</v>
      </c>
      <c r="S6" s="92" t="s">
        <v>83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>
        <v>15.7</v>
      </c>
      <c r="AB6" s="92">
        <v>18.84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s="92" t="s">
        <v>83</v>
      </c>
      <c r="AJ6" s="92">
        <v>0</v>
      </c>
      <c r="AK6" s="92">
        <v>1</v>
      </c>
      <c r="AL6" s="92">
        <f t="shared" ref="AL6:AL7" si="12">0.1*AL3</f>
        <v>7.5000000000000002E-4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1.9649999999999997E-3</v>
      </c>
      <c r="AR6" s="93">
        <f t="shared" si="5"/>
        <v>1.9649999999999998E-4</v>
      </c>
      <c r="AS6" s="94">
        <f t="shared" si="6"/>
        <v>0.25</v>
      </c>
      <c r="AT6" s="94">
        <f t="shared" si="7"/>
        <v>6.3040374999999996E-2</v>
      </c>
      <c r="AU6" s="93">
        <f>10068.2*J6*POWER(10,-6)*10</f>
        <v>5.3824597199999993E-4</v>
      </c>
      <c r="AV6" s="94">
        <f t="shared" si="8"/>
        <v>0.31574012097199999</v>
      </c>
      <c r="AW6" s="95">
        <f t="shared" si="9"/>
        <v>0</v>
      </c>
      <c r="AX6" s="95">
        <f t="shared" si="10"/>
        <v>7.9999999999999996E-7</v>
      </c>
      <c r="AY6" s="95">
        <f t="shared" si="11"/>
        <v>2.5259209677760001E-7</v>
      </c>
    </row>
    <row r="7" spans="1:53" x14ac:dyDescent="0.3">
      <c r="A7" s="257" t="s">
        <v>23</v>
      </c>
      <c r="B7" s="257" t="str">
        <f>B2</f>
        <v>Трубопровод дренажный продукт (рег.№133)</v>
      </c>
      <c r="C7" s="258" t="s">
        <v>164</v>
      </c>
      <c r="D7" s="259" t="s">
        <v>61</v>
      </c>
      <c r="E7" s="260">
        <f>E5</f>
        <v>1.9999999999999999E-6</v>
      </c>
      <c r="F7" s="261">
        <f>F2</f>
        <v>10</v>
      </c>
      <c r="G7" s="257">
        <v>0.76</v>
      </c>
      <c r="H7" s="262">
        <f t="shared" si="2"/>
        <v>1.5199999999999998E-5</v>
      </c>
      <c r="I7" s="263">
        <f>0.15*I2</f>
        <v>4.4999999999999998E-2</v>
      </c>
      <c r="J7" s="264">
        <v>0</v>
      </c>
      <c r="K7" s="265" t="s">
        <v>191</v>
      </c>
      <c r="L7" s="266">
        <v>1</v>
      </c>
      <c r="M7" s="92" t="str">
        <f t="shared" si="3"/>
        <v>С6</v>
      </c>
      <c r="N7" s="92" t="str">
        <f t="shared" si="3"/>
        <v>Трубопровод дренажный продукт (рег.№133)</v>
      </c>
      <c r="O7" s="92" t="str">
        <f t="shared" si="4"/>
        <v>Частичное-ликвидация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 t="s">
        <v>83</v>
      </c>
      <c r="AD7" s="92" t="s">
        <v>83</v>
      </c>
      <c r="AE7" s="92" t="s">
        <v>83</v>
      </c>
      <c r="AF7" s="92" t="s">
        <v>83</v>
      </c>
      <c r="AG7" s="92" t="s">
        <v>83</v>
      </c>
      <c r="AH7" s="92" t="s">
        <v>83</v>
      </c>
      <c r="AI7" s="92" t="s">
        <v>83</v>
      </c>
      <c r="AJ7" s="92">
        <v>0</v>
      </c>
      <c r="AK7" s="92">
        <v>0</v>
      </c>
      <c r="AL7" s="92">
        <f t="shared" si="12"/>
        <v>7.5000000000000002E-4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8.7149999999999999E-4</v>
      </c>
      <c r="AR7" s="93">
        <f t="shared" si="5"/>
        <v>8.7150000000000004E-5</v>
      </c>
      <c r="AS7" s="94">
        <f t="shared" si="6"/>
        <v>0</v>
      </c>
      <c r="AT7" s="94">
        <f t="shared" si="7"/>
        <v>2.396625E-4</v>
      </c>
      <c r="AU7" s="93">
        <f>1333*J6*POWER(10,-6)</f>
        <v>7.1262179999999989E-6</v>
      </c>
      <c r="AV7" s="94">
        <f t="shared" si="8"/>
        <v>1.205438718E-3</v>
      </c>
      <c r="AW7" s="95">
        <f t="shared" si="9"/>
        <v>0</v>
      </c>
      <c r="AX7" s="95">
        <f t="shared" si="10"/>
        <v>0</v>
      </c>
      <c r="AY7" s="95">
        <f t="shared" si="11"/>
        <v>1.8322668513599997E-8</v>
      </c>
    </row>
    <row r="8" spans="1:53" s="267" customForma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</row>
    <row r="9" spans="1:53" s="267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3" s="267" customForma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53" ht="15" thickBot="1" x14ac:dyDescent="0.35"/>
    <row r="12" spans="1:53" s="179" customFormat="1" ht="15" thickBot="1" x14ac:dyDescent="0.35">
      <c r="A12" s="169" t="s">
        <v>18</v>
      </c>
      <c r="B12" s="170" t="s">
        <v>593</v>
      </c>
      <c r="C12" s="171" t="s">
        <v>196</v>
      </c>
      <c r="D12" s="172" t="s">
        <v>59</v>
      </c>
      <c r="E12" s="173">
        <v>1.0000000000000001E-5</v>
      </c>
      <c r="F12" s="170">
        <v>1</v>
      </c>
      <c r="G12" s="169">
        <v>0.1</v>
      </c>
      <c r="H12" s="174">
        <f t="shared" ref="H12:H17" si="13">E12*F12*G12</f>
        <v>1.0000000000000002E-6</v>
      </c>
      <c r="I12" s="175">
        <v>34400</v>
      </c>
      <c r="J12" s="176">
        <f>I12</f>
        <v>34400</v>
      </c>
      <c r="K12" s="177" t="s">
        <v>175</v>
      </c>
      <c r="L12" s="178">
        <v>9000</v>
      </c>
      <c r="M12" s="179" t="str">
        <f t="shared" ref="M12:N17" si="14">A12</f>
        <v>С1</v>
      </c>
      <c r="N12" s="179" t="str">
        <f t="shared" si="14"/>
        <v>Резервуар РВС (8100T0001)</v>
      </c>
      <c r="O12" s="179" t="str">
        <f t="shared" ref="O12:O17" si="15">D12</f>
        <v>Полное-пожар</v>
      </c>
      <c r="P12" s="179">
        <v>47.1</v>
      </c>
      <c r="Q12" s="179">
        <v>64.099999999999994</v>
      </c>
      <c r="R12" s="179">
        <v>90.1</v>
      </c>
      <c r="S12" s="179">
        <v>161.69999999999999</v>
      </c>
      <c r="T12" s="179" t="s">
        <v>83</v>
      </c>
      <c r="U12" s="179" t="s">
        <v>83</v>
      </c>
      <c r="V12" s="179" t="s">
        <v>83</v>
      </c>
      <c r="W12" s="179" t="s">
        <v>83</v>
      </c>
      <c r="X12" s="179" t="s">
        <v>83</v>
      </c>
      <c r="Y12" s="179" t="s">
        <v>83</v>
      </c>
      <c r="Z12" s="179" t="s">
        <v>83</v>
      </c>
      <c r="AA12" s="179" t="s">
        <v>83</v>
      </c>
      <c r="AB12" s="179" t="s">
        <v>83</v>
      </c>
      <c r="AC12" s="179" t="s">
        <v>83</v>
      </c>
      <c r="AD12" s="179" t="s">
        <v>83</v>
      </c>
      <c r="AE12" s="179" t="s">
        <v>83</v>
      </c>
      <c r="AF12" s="179" t="s">
        <v>83</v>
      </c>
      <c r="AG12" s="179" t="s">
        <v>83</v>
      </c>
      <c r="AH12" s="179" t="s">
        <v>83</v>
      </c>
      <c r="AI12" s="179" t="s">
        <v>83</v>
      </c>
      <c r="AJ12" s="180">
        <v>1</v>
      </c>
      <c r="AK12" s="180">
        <v>2</v>
      </c>
      <c r="AL12" s="181">
        <v>0.75</v>
      </c>
      <c r="AM12" s="181">
        <v>2.7E-2</v>
      </c>
      <c r="AN12" s="181">
        <v>3</v>
      </c>
      <c r="AQ12" s="182">
        <f>AM12*I12+AL12</f>
        <v>929.55</v>
      </c>
      <c r="AR12" s="182">
        <f t="shared" ref="AR12:AR17" si="16">0.1*AQ12</f>
        <v>92.954999999999998</v>
      </c>
      <c r="AS12" s="183">
        <f t="shared" ref="AS12:AS17" si="17">AJ12*3+0.25*AK12</f>
        <v>3.5</v>
      </c>
      <c r="AT12" s="183">
        <f t="shared" ref="AT12:AT17" si="18">SUM(AQ12:AS12)/4</f>
        <v>256.50125000000003</v>
      </c>
      <c r="AU12" s="182">
        <f>10068.2*J12*POWER(10,-6)</f>
        <v>346.34607999999997</v>
      </c>
      <c r="AV12" s="183">
        <f t="shared" ref="AV12:AV17" si="19">AU12+AT12+AS12+AR12+AQ12</f>
        <v>1628.8523300000002</v>
      </c>
      <c r="AW12" s="184">
        <f t="shared" ref="AW12:AW17" si="20">AJ12*H12</f>
        <v>1.0000000000000002E-6</v>
      </c>
      <c r="AX12" s="184">
        <f t="shared" ref="AX12:AX17" si="21">H12*AK12</f>
        <v>2.0000000000000003E-6</v>
      </c>
      <c r="AY12" s="184">
        <f t="shared" ref="AY12:AY17" si="22">H12*AV12</f>
        <v>1.6288523300000005E-3</v>
      </c>
    </row>
    <row r="13" spans="1:53" s="179" customFormat="1" ht="15" thickBot="1" x14ac:dyDescent="0.35">
      <c r="A13" s="169" t="s">
        <v>19</v>
      </c>
      <c r="B13" s="169" t="str">
        <f>B12</f>
        <v>Резервуар РВС (8100T0001)</v>
      </c>
      <c r="C13" s="171" t="s">
        <v>197</v>
      </c>
      <c r="D13" s="172" t="s">
        <v>62</v>
      </c>
      <c r="E13" s="185">
        <f>E12</f>
        <v>1.0000000000000001E-5</v>
      </c>
      <c r="F13" s="186">
        <f>F12</f>
        <v>1</v>
      </c>
      <c r="G13" s="169">
        <v>0.18000000000000002</v>
      </c>
      <c r="H13" s="174">
        <f t="shared" si="13"/>
        <v>1.8000000000000003E-6</v>
      </c>
      <c r="I13" s="187">
        <f>I12</f>
        <v>34400</v>
      </c>
      <c r="J13" s="418">
        <f>POWER(10,-6)*55*SQRT(100)*3600*L12/1000*0.05</f>
        <v>0.8909999999999999</v>
      </c>
      <c r="K13" s="177" t="s">
        <v>176</v>
      </c>
      <c r="L13" s="178">
        <v>0</v>
      </c>
      <c r="M13" s="179" t="str">
        <f t="shared" si="14"/>
        <v>С2</v>
      </c>
      <c r="N13" s="179" t="str">
        <f t="shared" si="14"/>
        <v>Резервуар РВС (8100T0001)</v>
      </c>
      <c r="O13" s="179" t="str">
        <f t="shared" si="15"/>
        <v>Полное-взрыв</v>
      </c>
      <c r="P13" s="179" t="s">
        <v>83</v>
      </c>
      <c r="Q13" s="179" t="s">
        <v>83</v>
      </c>
      <c r="R13" s="179" t="s">
        <v>83</v>
      </c>
      <c r="S13" s="179" t="s">
        <v>83</v>
      </c>
      <c r="T13" s="179">
        <v>0</v>
      </c>
      <c r="U13" s="179">
        <v>0</v>
      </c>
      <c r="V13" s="179">
        <v>64.599999999999994</v>
      </c>
      <c r="W13" s="179">
        <v>216.1</v>
      </c>
      <c r="X13" s="179">
        <v>562.6</v>
      </c>
      <c r="Y13" s="179" t="s">
        <v>83</v>
      </c>
      <c r="Z13" s="179" t="s">
        <v>83</v>
      </c>
      <c r="AA13" s="179" t="s">
        <v>83</v>
      </c>
      <c r="AB13" s="179" t="s">
        <v>83</v>
      </c>
      <c r="AC13" s="179" t="s">
        <v>83</v>
      </c>
      <c r="AD13" s="179" t="s">
        <v>83</v>
      </c>
      <c r="AE13" s="179" t="s">
        <v>83</v>
      </c>
      <c r="AF13" s="179" t="s">
        <v>83</v>
      </c>
      <c r="AG13" s="179" t="s">
        <v>83</v>
      </c>
      <c r="AH13" s="179" t="s">
        <v>83</v>
      </c>
      <c r="AI13" s="179" t="s">
        <v>83</v>
      </c>
      <c r="AJ13" s="180">
        <v>2</v>
      </c>
      <c r="AK13" s="180">
        <v>2</v>
      </c>
      <c r="AL13" s="179">
        <f>AL12</f>
        <v>0.75</v>
      </c>
      <c r="AM13" s="179">
        <f>AM12</f>
        <v>2.7E-2</v>
      </c>
      <c r="AN13" s="179">
        <f>AN12</f>
        <v>3</v>
      </c>
      <c r="AQ13" s="182">
        <f>AM13*I13+AL13</f>
        <v>929.55</v>
      </c>
      <c r="AR13" s="182">
        <f t="shared" si="16"/>
        <v>92.954999999999998</v>
      </c>
      <c r="AS13" s="183">
        <f t="shared" si="17"/>
        <v>6.5</v>
      </c>
      <c r="AT13" s="183">
        <f t="shared" si="18"/>
        <v>257.25125000000003</v>
      </c>
      <c r="AU13" s="182">
        <f>10068.2*J13*POWER(10,-6)*10</f>
        <v>8.9707661999999994E-2</v>
      </c>
      <c r="AV13" s="183">
        <f t="shared" si="19"/>
        <v>1286.345957662</v>
      </c>
      <c r="AW13" s="184">
        <f t="shared" si="20"/>
        <v>3.6000000000000007E-6</v>
      </c>
      <c r="AX13" s="184">
        <f t="shared" si="21"/>
        <v>3.6000000000000007E-6</v>
      </c>
      <c r="AY13" s="184">
        <f t="shared" si="22"/>
        <v>2.3154227237916006E-3</v>
      </c>
    </row>
    <row r="14" spans="1:53" s="179" customFormat="1" x14ac:dyDescent="0.3">
      <c r="A14" s="169" t="s">
        <v>20</v>
      </c>
      <c r="B14" s="169" t="str">
        <f>B12</f>
        <v>Резервуар РВС (8100T0001)</v>
      </c>
      <c r="C14" s="171" t="s">
        <v>198</v>
      </c>
      <c r="D14" s="172" t="s">
        <v>60</v>
      </c>
      <c r="E14" s="185">
        <f>E12</f>
        <v>1.0000000000000001E-5</v>
      </c>
      <c r="F14" s="186">
        <f>F12</f>
        <v>1</v>
      </c>
      <c r="G14" s="169">
        <v>0.72000000000000008</v>
      </c>
      <c r="H14" s="174">
        <f t="shared" si="13"/>
        <v>7.2000000000000014E-6</v>
      </c>
      <c r="I14" s="187">
        <f>I12</f>
        <v>34400</v>
      </c>
      <c r="J14" s="189">
        <v>0</v>
      </c>
      <c r="K14" s="177" t="s">
        <v>177</v>
      </c>
      <c r="L14" s="178">
        <v>0</v>
      </c>
      <c r="M14" s="179" t="str">
        <f t="shared" si="14"/>
        <v>С3</v>
      </c>
      <c r="N14" s="179" t="str">
        <f t="shared" si="14"/>
        <v>Резервуар РВС (8100T0001)</v>
      </c>
      <c r="O14" s="179" t="str">
        <f t="shared" si="15"/>
        <v>Полное-ликвидация</v>
      </c>
      <c r="P14" s="179" t="s">
        <v>83</v>
      </c>
      <c r="Q14" s="179" t="s">
        <v>83</v>
      </c>
      <c r="R14" s="179" t="s">
        <v>83</v>
      </c>
      <c r="S14" s="179" t="s">
        <v>83</v>
      </c>
      <c r="T14" s="179" t="s">
        <v>83</v>
      </c>
      <c r="U14" s="179" t="s">
        <v>83</v>
      </c>
      <c r="V14" s="179" t="s">
        <v>83</v>
      </c>
      <c r="W14" s="179" t="s">
        <v>83</v>
      </c>
      <c r="X14" s="179" t="s">
        <v>83</v>
      </c>
      <c r="Y14" s="179" t="s">
        <v>83</v>
      </c>
      <c r="Z14" s="179" t="s">
        <v>83</v>
      </c>
      <c r="AA14" s="179" t="s">
        <v>83</v>
      </c>
      <c r="AB14" s="179" t="s">
        <v>83</v>
      </c>
      <c r="AC14" s="179" t="s">
        <v>83</v>
      </c>
      <c r="AD14" s="179" t="s">
        <v>83</v>
      </c>
      <c r="AE14" s="179" t="s">
        <v>83</v>
      </c>
      <c r="AF14" s="179" t="s">
        <v>83</v>
      </c>
      <c r="AG14" s="179" t="s">
        <v>83</v>
      </c>
      <c r="AH14" s="179" t="s">
        <v>83</v>
      </c>
      <c r="AI14" s="179" t="s">
        <v>83</v>
      </c>
      <c r="AJ14" s="179">
        <v>0</v>
      </c>
      <c r="AK14" s="179">
        <v>0</v>
      </c>
      <c r="AL14" s="179">
        <f>AL12</f>
        <v>0.75</v>
      </c>
      <c r="AM14" s="179">
        <f>AM12</f>
        <v>2.7E-2</v>
      </c>
      <c r="AN14" s="179">
        <f>AN12</f>
        <v>3</v>
      </c>
      <c r="AQ14" s="182">
        <f>AM14*I14*0.1+AL14</f>
        <v>93.63</v>
      </c>
      <c r="AR14" s="182">
        <f t="shared" si="16"/>
        <v>9.3629999999999995</v>
      </c>
      <c r="AS14" s="183">
        <f t="shared" si="17"/>
        <v>0</v>
      </c>
      <c r="AT14" s="183">
        <f t="shared" si="18"/>
        <v>25.748249999999999</v>
      </c>
      <c r="AU14" s="182">
        <f>1333*J13*POWER(10,-6)</f>
        <v>1.187703E-3</v>
      </c>
      <c r="AV14" s="183">
        <f t="shared" si="19"/>
        <v>128.74243770300001</v>
      </c>
      <c r="AW14" s="184">
        <f t="shared" si="20"/>
        <v>0</v>
      </c>
      <c r="AX14" s="184">
        <f t="shared" si="21"/>
        <v>0</v>
      </c>
      <c r="AY14" s="184">
        <f t="shared" si="22"/>
        <v>9.2694555146160022E-4</v>
      </c>
    </row>
    <row r="15" spans="1:53" s="179" customFormat="1" x14ac:dyDescent="0.3">
      <c r="A15" s="169" t="s">
        <v>21</v>
      </c>
      <c r="B15" s="169" t="str">
        <f>B12</f>
        <v>Резервуар РВС (8100T0001)</v>
      </c>
      <c r="C15" s="171" t="s">
        <v>199</v>
      </c>
      <c r="D15" s="172" t="s">
        <v>84</v>
      </c>
      <c r="E15" s="173">
        <v>1E-4</v>
      </c>
      <c r="F15" s="186">
        <f>F12</f>
        <v>1</v>
      </c>
      <c r="G15" s="169">
        <v>0.1</v>
      </c>
      <c r="H15" s="174">
        <f t="shared" si="13"/>
        <v>1.0000000000000001E-5</v>
      </c>
      <c r="I15" s="187">
        <f>0.15*I12</f>
        <v>5160</v>
      </c>
      <c r="J15" s="176">
        <f>I15</f>
        <v>5160</v>
      </c>
      <c r="K15" s="190" t="s">
        <v>179</v>
      </c>
      <c r="L15" s="191">
        <v>45390</v>
      </c>
      <c r="M15" s="179" t="str">
        <f t="shared" si="14"/>
        <v>С4</v>
      </c>
      <c r="N15" s="179" t="str">
        <f t="shared" si="14"/>
        <v>Резервуар РВС (8100T0001)</v>
      </c>
      <c r="O15" s="179" t="str">
        <f t="shared" si="15"/>
        <v>Частичное-пожар</v>
      </c>
      <c r="P15" s="179">
        <v>18.600000000000001</v>
      </c>
      <c r="Q15" s="179">
        <v>25.8</v>
      </c>
      <c r="R15" s="179">
        <v>36.9</v>
      </c>
      <c r="S15" s="179">
        <v>68.8</v>
      </c>
      <c r="T15" s="179" t="s">
        <v>83</v>
      </c>
      <c r="U15" s="179" t="s">
        <v>83</v>
      </c>
      <c r="V15" s="179" t="s">
        <v>83</v>
      </c>
      <c r="W15" s="179" t="s">
        <v>83</v>
      </c>
      <c r="X15" s="179" t="s">
        <v>83</v>
      </c>
      <c r="Y15" s="179" t="s">
        <v>83</v>
      </c>
      <c r="Z15" s="179" t="s">
        <v>83</v>
      </c>
      <c r="AA15" s="179" t="s">
        <v>83</v>
      </c>
      <c r="AB15" s="179" t="s">
        <v>83</v>
      </c>
      <c r="AC15" s="179" t="s">
        <v>83</v>
      </c>
      <c r="AD15" s="179" t="s">
        <v>83</v>
      </c>
      <c r="AE15" s="179" t="s">
        <v>83</v>
      </c>
      <c r="AF15" s="179" t="s">
        <v>83</v>
      </c>
      <c r="AG15" s="179" t="s">
        <v>83</v>
      </c>
      <c r="AH15" s="179" t="s">
        <v>83</v>
      </c>
      <c r="AI15" s="179" t="s">
        <v>83</v>
      </c>
      <c r="AJ15" s="179">
        <v>0</v>
      </c>
      <c r="AK15" s="179">
        <v>2</v>
      </c>
      <c r="AL15" s="179">
        <f>0.1*$AL$2</f>
        <v>7.5000000000000002E-4</v>
      </c>
      <c r="AM15" s="179">
        <f>AM12</f>
        <v>2.7E-2</v>
      </c>
      <c r="AN15" s="179">
        <f>ROUNDUP(AN12/3,0)</f>
        <v>1</v>
      </c>
      <c r="AQ15" s="182">
        <f>AM15*I15+AL15</f>
        <v>139.32075</v>
      </c>
      <c r="AR15" s="182">
        <f t="shared" si="16"/>
        <v>13.932075000000001</v>
      </c>
      <c r="AS15" s="183">
        <f t="shared" si="17"/>
        <v>0.5</v>
      </c>
      <c r="AT15" s="183">
        <f t="shared" si="18"/>
        <v>38.43820625</v>
      </c>
      <c r="AU15" s="182">
        <f>10068.2*J15*POWER(10,-6)</f>
        <v>51.951912000000007</v>
      </c>
      <c r="AV15" s="183">
        <f t="shared" si="19"/>
        <v>244.14294325</v>
      </c>
      <c r="AW15" s="184">
        <f t="shared" si="20"/>
        <v>0</v>
      </c>
      <c r="AX15" s="184">
        <f t="shared" si="21"/>
        <v>2.0000000000000002E-5</v>
      </c>
      <c r="AY15" s="184">
        <f t="shared" si="22"/>
        <v>2.4414294325000004E-3</v>
      </c>
    </row>
    <row r="16" spans="1:53" s="179" customFormat="1" x14ac:dyDescent="0.3">
      <c r="A16" s="169" t="s">
        <v>22</v>
      </c>
      <c r="B16" s="169" t="str">
        <f>B12</f>
        <v>Резервуар РВС (8100T0001)</v>
      </c>
      <c r="C16" s="171" t="s">
        <v>200</v>
      </c>
      <c r="D16" s="172" t="s">
        <v>165</v>
      </c>
      <c r="E16" s="185">
        <f>E15</f>
        <v>1E-4</v>
      </c>
      <c r="F16" s="186">
        <f>F12</f>
        <v>1</v>
      </c>
      <c r="G16" s="169">
        <v>4.5000000000000005E-2</v>
      </c>
      <c r="H16" s="174">
        <f t="shared" si="13"/>
        <v>4.500000000000001E-6</v>
      </c>
      <c r="I16" s="187">
        <f>0.15*I12</f>
        <v>5160</v>
      </c>
      <c r="J16" s="176">
        <f>0.15*J13</f>
        <v>0.13364999999999999</v>
      </c>
      <c r="K16" s="190" t="s">
        <v>180</v>
      </c>
      <c r="L16" s="191">
        <v>3</v>
      </c>
      <c r="M16" s="179" t="str">
        <f t="shared" si="14"/>
        <v>С5</v>
      </c>
      <c r="N16" s="179" t="str">
        <f t="shared" si="14"/>
        <v>Резервуар РВС (8100T0001)</v>
      </c>
      <c r="O16" s="179" t="str">
        <f t="shared" si="15"/>
        <v>Частичное-пожар-вспышка</v>
      </c>
      <c r="P16" s="179" t="s">
        <v>83</v>
      </c>
      <c r="Q16" s="179" t="s">
        <v>83</v>
      </c>
      <c r="R16" s="179" t="s">
        <v>83</v>
      </c>
      <c r="S16" s="179" t="s">
        <v>83</v>
      </c>
      <c r="T16" s="179" t="s">
        <v>83</v>
      </c>
      <c r="U16" s="179" t="s">
        <v>83</v>
      </c>
      <c r="V16" s="179" t="s">
        <v>83</v>
      </c>
      <c r="W16" s="179" t="s">
        <v>83</v>
      </c>
      <c r="X16" s="179" t="s">
        <v>83</v>
      </c>
      <c r="Y16" s="179" t="s">
        <v>83</v>
      </c>
      <c r="Z16" s="179" t="s">
        <v>83</v>
      </c>
      <c r="AA16" s="179">
        <v>15.35</v>
      </c>
      <c r="AB16" s="179">
        <v>18.420000000000002</v>
      </c>
      <c r="AC16" s="179" t="s">
        <v>83</v>
      </c>
      <c r="AD16" s="179" t="s">
        <v>83</v>
      </c>
      <c r="AE16" s="179" t="s">
        <v>83</v>
      </c>
      <c r="AF16" s="179" t="s">
        <v>83</v>
      </c>
      <c r="AG16" s="179" t="s">
        <v>83</v>
      </c>
      <c r="AH16" s="179" t="s">
        <v>83</v>
      </c>
      <c r="AI16" s="179" t="s">
        <v>83</v>
      </c>
      <c r="AJ16" s="179">
        <v>0</v>
      </c>
      <c r="AK16" s="179">
        <v>1</v>
      </c>
      <c r="AL16" s="179">
        <f>0.1*$AL$2</f>
        <v>7.5000000000000002E-4</v>
      </c>
      <c r="AM16" s="179">
        <f>AM12</f>
        <v>2.7E-2</v>
      </c>
      <c r="AN16" s="179">
        <f>ROUNDUP(AN12/3,0)</f>
        <v>1</v>
      </c>
      <c r="AQ16" s="182">
        <f>AM16*I16+AL16</f>
        <v>139.32075</v>
      </c>
      <c r="AR16" s="182">
        <f t="shared" si="16"/>
        <v>13.932075000000001</v>
      </c>
      <c r="AS16" s="183">
        <f t="shared" si="17"/>
        <v>0.25</v>
      </c>
      <c r="AT16" s="183">
        <f t="shared" si="18"/>
        <v>38.37570625</v>
      </c>
      <c r="AU16" s="182">
        <f>10068.2*J16*POWER(10,-6)*10</f>
        <v>1.3456149299999999E-2</v>
      </c>
      <c r="AV16" s="183">
        <f t="shared" si="19"/>
        <v>191.89198739930001</v>
      </c>
      <c r="AW16" s="184">
        <f t="shared" si="20"/>
        <v>0</v>
      </c>
      <c r="AX16" s="184">
        <f t="shared" si="21"/>
        <v>4.500000000000001E-6</v>
      </c>
      <c r="AY16" s="184">
        <f t="shared" si="22"/>
        <v>8.6351394329685024E-4</v>
      </c>
    </row>
    <row r="17" spans="1:51" s="179" customFormat="1" ht="15" thickBot="1" x14ac:dyDescent="0.35">
      <c r="A17" s="169" t="s">
        <v>23</v>
      </c>
      <c r="B17" s="169" t="str">
        <f>B12</f>
        <v>Резервуар РВС (8100T0001)</v>
      </c>
      <c r="C17" s="171" t="s">
        <v>201</v>
      </c>
      <c r="D17" s="172" t="s">
        <v>61</v>
      </c>
      <c r="E17" s="185">
        <f>E15</f>
        <v>1E-4</v>
      </c>
      <c r="F17" s="186">
        <f>F12</f>
        <v>1</v>
      </c>
      <c r="G17" s="169">
        <v>0.85499999999999998</v>
      </c>
      <c r="H17" s="174">
        <f t="shared" si="13"/>
        <v>8.5500000000000005E-5</v>
      </c>
      <c r="I17" s="187">
        <f>0.15*I12</f>
        <v>5160</v>
      </c>
      <c r="J17" s="189">
        <v>0</v>
      </c>
      <c r="K17" s="192" t="s">
        <v>191</v>
      </c>
      <c r="L17" s="192">
        <v>9</v>
      </c>
      <c r="M17" s="179" t="str">
        <f t="shared" si="14"/>
        <v>С6</v>
      </c>
      <c r="N17" s="179" t="str">
        <f t="shared" si="14"/>
        <v>Резервуар РВС (8100T0001)</v>
      </c>
      <c r="O17" s="179" t="str">
        <f t="shared" si="15"/>
        <v>Частичное-ликвидация</v>
      </c>
      <c r="P17" s="179" t="s">
        <v>83</v>
      </c>
      <c r="Q17" s="179" t="s">
        <v>83</v>
      </c>
      <c r="R17" s="179" t="s">
        <v>83</v>
      </c>
      <c r="S17" s="179" t="s">
        <v>83</v>
      </c>
      <c r="T17" s="179" t="s">
        <v>83</v>
      </c>
      <c r="U17" s="179" t="s">
        <v>83</v>
      </c>
      <c r="V17" s="179" t="s">
        <v>83</v>
      </c>
      <c r="W17" s="179" t="s">
        <v>83</v>
      </c>
      <c r="X17" s="179" t="s">
        <v>83</v>
      </c>
      <c r="Y17" s="179" t="s">
        <v>83</v>
      </c>
      <c r="Z17" s="179" t="s">
        <v>83</v>
      </c>
      <c r="AA17" s="179" t="s">
        <v>83</v>
      </c>
      <c r="AB17" s="179" t="s">
        <v>83</v>
      </c>
      <c r="AC17" s="179" t="s">
        <v>83</v>
      </c>
      <c r="AD17" s="179" t="s">
        <v>83</v>
      </c>
      <c r="AE17" s="179" t="s">
        <v>83</v>
      </c>
      <c r="AF17" s="179" t="s">
        <v>83</v>
      </c>
      <c r="AG17" s="179" t="s">
        <v>83</v>
      </c>
      <c r="AH17" s="179" t="s">
        <v>83</v>
      </c>
      <c r="AI17" s="179" t="s">
        <v>83</v>
      </c>
      <c r="AJ17" s="179">
        <v>0</v>
      </c>
      <c r="AK17" s="179">
        <v>0</v>
      </c>
      <c r="AL17" s="179">
        <f>0.1*$AL$2</f>
        <v>7.5000000000000002E-4</v>
      </c>
      <c r="AM17" s="179">
        <f>AM12</f>
        <v>2.7E-2</v>
      </c>
      <c r="AN17" s="179">
        <f>ROUNDUP(AN12/3,0)</f>
        <v>1</v>
      </c>
      <c r="AQ17" s="182">
        <f>AM17*I17*0.1+AL17</f>
        <v>13.93275</v>
      </c>
      <c r="AR17" s="182">
        <f t="shared" si="16"/>
        <v>1.393275</v>
      </c>
      <c r="AS17" s="183">
        <f t="shared" si="17"/>
        <v>0</v>
      </c>
      <c r="AT17" s="183">
        <f t="shared" si="18"/>
        <v>3.8315062500000003</v>
      </c>
      <c r="AU17" s="182">
        <f>1333*J16*POWER(10,-6)</f>
        <v>1.7815544999999998E-4</v>
      </c>
      <c r="AV17" s="183">
        <f t="shared" si="19"/>
        <v>19.157709405449999</v>
      </c>
      <c r="AW17" s="184">
        <f t="shared" si="20"/>
        <v>0</v>
      </c>
      <c r="AX17" s="184">
        <f t="shared" si="21"/>
        <v>0</v>
      </c>
      <c r="AY17" s="184">
        <f t="shared" si="22"/>
        <v>1.637984154165975E-3</v>
      </c>
    </row>
    <row r="18" spans="1:51" s="179" customFormat="1" x14ac:dyDescent="0.3">
      <c r="A18" s="180"/>
      <c r="B18" s="180"/>
      <c r="D18" s="271"/>
      <c r="E18" s="272"/>
      <c r="F18" s="273"/>
      <c r="G18" s="180"/>
      <c r="H18" s="184"/>
      <c r="I18" s="183"/>
      <c r="J18" s="180"/>
      <c r="K18" s="180"/>
      <c r="L18" s="180"/>
      <c r="AQ18" s="182"/>
      <c r="AR18" s="182"/>
      <c r="AS18" s="183"/>
      <c r="AT18" s="183"/>
      <c r="AU18" s="182"/>
      <c r="AV18" s="183"/>
      <c r="AW18" s="184"/>
      <c r="AX18" s="184"/>
      <c r="AY18" s="184"/>
    </row>
    <row r="19" spans="1:51" s="179" customFormat="1" x14ac:dyDescent="0.3">
      <c r="A19" s="180"/>
      <c r="B19" s="180"/>
      <c r="D19" s="271"/>
      <c r="E19" s="272"/>
      <c r="F19" s="273"/>
      <c r="G19" s="180"/>
      <c r="H19" s="184"/>
      <c r="I19" s="183"/>
      <c r="J19" s="180"/>
      <c r="K19" s="180"/>
      <c r="L19" s="180"/>
      <c r="AQ19" s="182"/>
      <c r="AR19" s="182"/>
      <c r="AS19" s="183"/>
      <c r="AT19" s="183"/>
      <c r="AU19" s="182"/>
      <c r="AV19" s="183"/>
      <c r="AW19" s="184"/>
      <c r="AX19" s="184"/>
      <c r="AY19" s="184"/>
    </row>
    <row r="20" spans="1:51" s="179" customFormat="1" x14ac:dyDescent="0.3">
      <c r="A20" s="180"/>
      <c r="B20" s="180"/>
      <c r="D20" s="271"/>
      <c r="E20" s="272"/>
      <c r="F20" s="273"/>
      <c r="G20" s="180"/>
      <c r="H20" s="184"/>
      <c r="I20" s="183"/>
      <c r="J20" s="180"/>
      <c r="K20" s="180"/>
      <c r="L20" s="180"/>
      <c r="AQ20" s="182"/>
      <c r="AR20" s="182"/>
      <c r="AS20" s="183"/>
      <c r="AT20" s="183"/>
      <c r="AU20" s="182"/>
      <c r="AV20" s="183"/>
      <c r="AW20" s="184"/>
      <c r="AX20" s="184"/>
      <c r="AY20" s="184"/>
    </row>
    <row r="21" spans="1:51" ht="15" thickBot="1" x14ac:dyDescent="0.35"/>
    <row r="22" spans="1:51" s="179" customFormat="1" ht="15" thickBot="1" x14ac:dyDescent="0.35">
      <c r="A22" s="169" t="s">
        <v>18</v>
      </c>
      <c r="B22" s="170" t="s">
        <v>594</v>
      </c>
      <c r="C22" s="171" t="s">
        <v>227</v>
      </c>
      <c r="D22" s="172" t="s">
        <v>183</v>
      </c>
      <c r="E22" s="173">
        <v>1.0000000000000001E-5</v>
      </c>
      <c r="F22" s="170">
        <v>1</v>
      </c>
      <c r="G22" s="169">
        <v>1.4999999999999999E-2</v>
      </c>
      <c r="H22" s="174">
        <f t="shared" ref="H22:H27" si="23">E22*F22*G22</f>
        <v>1.5000000000000002E-7</v>
      </c>
      <c r="I22" s="175">
        <f>(850/3600)*12</f>
        <v>2.833333333333333</v>
      </c>
      <c r="J22" s="187">
        <f>I22</f>
        <v>2.833333333333333</v>
      </c>
      <c r="K22" s="177" t="s">
        <v>175</v>
      </c>
      <c r="L22" s="178">
        <f>J22*150</f>
        <v>424.99999999999994</v>
      </c>
      <c r="M22" s="179" t="str">
        <f t="shared" ref="M22:N27" si="24">A22</f>
        <v>С1</v>
      </c>
      <c r="N22" s="179" t="str">
        <f t="shared" si="24"/>
        <v>Насос центробежный (8120P0002)</v>
      </c>
      <c r="O22" s="179" t="str">
        <f t="shared" ref="O22:O27" si="25">D22</f>
        <v>Полное-факел</v>
      </c>
      <c r="P22" s="179" t="s">
        <v>83</v>
      </c>
      <c r="Q22" s="179" t="s">
        <v>83</v>
      </c>
      <c r="R22" s="179" t="s">
        <v>83</v>
      </c>
      <c r="S22" s="179" t="s">
        <v>83</v>
      </c>
      <c r="T22" s="179" t="s">
        <v>83</v>
      </c>
      <c r="U22" s="179" t="s">
        <v>83</v>
      </c>
      <c r="V22" s="179" t="s">
        <v>83</v>
      </c>
      <c r="W22" s="179" t="s">
        <v>83</v>
      </c>
      <c r="X22" s="179" t="s">
        <v>83</v>
      </c>
      <c r="Y22" s="179" t="s">
        <v>83</v>
      </c>
      <c r="Z22" s="179" t="s">
        <v>83</v>
      </c>
      <c r="AA22" s="179" t="s">
        <v>83</v>
      </c>
      <c r="AB22" s="179" t="s">
        <v>83</v>
      </c>
      <c r="AC22" s="179" t="s">
        <v>83</v>
      </c>
      <c r="AD22" s="179" t="s">
        <v>83</v>
      </c>
      <c r="AE22" s="179" t="s">
        <v>83</v>
      </c>
      <c r="AF22" s="179" t="s">
        <v>83</v>
      </c>
      <c r="AG22" s="179" t="s">
        <v>83</v>
      </c>
      <c r="AH22" s="179" t="s">
        <v>83</v>
      </c>
      <c r="AI22" s="179" t="s">
        <v>83</v>
      </c>
      <c r="AJ22" s="180">
        <v>1</v>
      </c>
      <c r="AK22" s="180">
        <v>1</v>
      </c>
      <c r="AL22" s="181">
        <v>0.75</v>
      </c>
      <c r="AM22" s="181">
        <v>2.7E-2</v>
      </c>
      <c r="AN22" s="181">
        <v>3</v>
      </c>
      <c r="AQ22" s="182">
        <f>AM22*I22+AL22</f>
        <v>0.82650000000000001</v>
      </c>
      <c r="AR22" s="182">
        <f t="shared" ref="AR22:AR27" si="26">0.1*AQ22</f>
        <v>8.2650000000000001E-2</v>
      </c>
      <c r="AS22" s="183">
        <f t="shared" ref="AS22:AS27" si="27">AJ22*3+0.25*AK22</f>
        <v>3.25</v>
      </c>
      <c r="AT22" s="183">
        <f t="shared" ref="AT22:AT27" si="28">SUM(AQ22:AS22)/4</f>
        <v>1.0397875000000001</v>
      </c>
      <c r="AU22" s="182">
        <f>10068.2*J22*POWER(10,-6)</f>
        <v>2.8526566666666666E-2</v>
      </c>
      <c r="AV22" s="183">
        <f t="shared" ref="AV22:AV27" si="29">AU22+AT22+AS22+AR22+AQ22</f>
        <v>5.2274640666666672</v>
      </c>
      <c r="AW22" s="184">
        <f t="shared" ref="AW22:AW27" si="30">AJ22*H22</f>
        <v>1.5000000000000002E-7</v>
      </c>
      <c r="AX22" s="184">
        <f t="shared" ref="AX22:AX27" si="31">H22*AK22</f>
        <v>1.5000000000000002E-7</v>
      </c>
      <c r="AY22" s="184">
        <f t="shared" ref="AY22:AY27" si="32">H22*AV22</f>
        <v>7.8411961000000013E-7</v>
      </c>
    </row>
    <row r="23" spans="1:51" s="179" customFormat="1" ht="15" thickBot="1" x14ac:dyDescent="0.35">
      <c r="A23" s="169" t="s">
        <v>19</v>
      </c>
      <c r="B23" s="169" t="str">
        <f>B22</f>
        <v>Насос центробежный (8120P0002)</v>
      </c>
      <c r="C23" s="171" t="s">
        <v>228</v>
      </c>
      <c r="D23" s="172" t="s">
        <v>226</v>
      </c>
      <c r="E23" s="185">
        <f>E22</f>
        <v>1.0000000000000001E-5</v>
      </c>
      <c r="F23" s="186">
        <f>F22</f>
        <v>1</v>
      </c>
      <c r="G23" s="169">
        <v>1.4249999999999999E-2</v>
      </c>
      <c r="H23" s="174">
        <f t="shared" si="23"/>
        <v>1.4250000000000001E-7</v>
      </c>
      <c r="I23" s="187">
        <f>I22</f>
        <v>2.833333333333333</v>
      </c>
      <c r="J23" s="175">
        <f>POWER(10,-6)*35*SQRT(100)*3600*L22/1000*0.1</f>
        <v>5.3549999999999986E-2</v>
      </c>
      <c r="K23" s="177" t="s">
        <v>176</v>
      </c>
      <c r="L23" s="178">
        <v>0</v>
      </c>
      <c r="M23" s="179" t="str">
        <f t="shared" si="24"/>
        <v>С2</v>
      </c>
      <c r="N23" s="179" t="str">
        <f t="shared" si="24"/>
        <v>Насос центробежный (8120P0002)</v>
      </c>
      <c r="O23" s="179" t="str">
        <f t="shared" si="25"/>
        <v>Полное-взрыв облака ТВС</v>
      </c>
      <c r="P23" s="179" t="s">
        <v>83</v>
      </c>
      <c r="Q23" s="179" t="s">
        <v>83</v>
      </c>
      <c r="R23" s="179" t="s">
        <v>83</v>
      </c>
      <c r="S23" s="179" t="s">
        <v>83</v>
      </c>
      <c r="T23" s="179" t="s">
        <v>83</v>
      </c>
      <c r="U23" s="179" t="s">
        <v>83</v>
      </c>
      <c r="V23" s="179" t="s">
        <v>83</v>
      </c>
      <c r="W23" s="179" t="s">
        <v>83</v>
      </c>
      <c r="X23" s="179" t="s">
        <v>83</v>
      </c>
      <c r="Y23" s="179" t="s">
        <v>83</v>
      </c>
      <c r="Z23" s="179" t="s">
        <v>83</v>
      </c>
      <c r="AA23" s="179" t="s">
        <v>83</v>
      </c>
      <c r="AB23" s="179" t="s">
        <v>83</v>
      </c>
      <c r="AC23" s="179" t="s">
        <v>83</v>
      </c>
      <c r="AD23" s="179" t="s">
        <v>83</v>
      </c>
      <c r="AE23" s="179" t="s">
        <v>83</v>
      </c>
      <c r="AF23" s="179" t="s">
        <v>83</v>
      </c>
      <c r="AG23" s="179" t="s">
        <v>83</v>
      </c>
      <c r="AH23" s="179" t="s">
        <v>83</v>
      </c>
      <c r="AI23" s="179" t="s">
        <v>83</v>
      </c>
      <c r="AJ23" s="180">
        <v>1</v>
      </c>
      <c r="AK23" s="180">
        <v>1</v>
      </c>
      <c r="AL23" s="179">
        <f>AL22</f>
        <v>0.75</v>
      </c>
      <c r="AM23" s="179">
        <f>AM22</f>
        <v>2.7E-2</v>
      </c>
      <c r="AN23" s="179">
        <f>AN22</f>
        <v>3</v>
      </c>
      <c r="AQ23" s="182">
        <f>AM23*I23+AL23</f>
        <v>0.82650000000000001</v>
      </c>
      <c r="AR23" s="182">
        <f t="shared" si="26"/>
        <v>8.2650000000000001E-2</v>
      </c>
      <c r="AS23" s="183">
        <f t="shared" si="27"/>
        <v>3.25</v>
      </c>
      <c r="AT23" s="183">
        <f t="shared" si="28"/>
        <v>1.0397875000000001</v>
      </c>
      <c r="AU23" s="182">
        <f>10068.2*J23*POWER(10,-6)*10</f>
        <v>5.3915210999999985E-3</v>
      </c>
      <c r="AV23" s="183">
        <f t="shared" si="29"/>
        <v>5.2043290211000004</v>
      </c>
      <c r="AW23" s="184">
        <f t="shared" si="30"/>
        <v>1.4250000000000001E-7</v>
      </c>
      <c r="AX23" s="184">
        <f t="shared" si="31"/>
        <v>1.4250000000000001E-7</v>
      </c>
      <c r="AY23" s="184">
        <f t="shared" si="32"/>
        <v>7.4161688550675014E-7</v>
      </c>
    </row>
    <row r="24" spans="1:51" s="179" customFormat="1" x14ac:dyDescent="0.3">
      <c r="A24" s="169" t="s">
        <v>20</v>
      </c>
      <c r="B24" s="169" t="str">
        <f>B22</f>
        <v>Насос центробежный (8120P0002)</v>
      </c>
      <c r="C24" s="171" t="s">
        <v>229</v>
      </c>
      <c r="D24" s="172" t="s">
        <v>60</v>
      </c>
      <c r="E24" s="185">
        <f>E22</f>
        <v>1.0000000000000001E-5</v>
      </c>
      <c r="F24" s="186">
        <f>F22</f>
        <v>1</v>
      </c>
      <c r="G24" s="169">
        <v>0.27074999999999999</v>
      </c>
      <c r="H24" s="174">
        <f t="shared" si="23"/>
        <v>2.7075000000000003E-6</v>
      </c>
      <c r="I24" s="187">
        <f>I22</f>
        <v>2.833333333333333</v>
      </c>
      <c r="J24" s="169">
        <v>0</v>
      </c>
      <c r="K24" s="177" t="s">
        <v>177</v>
      </c>
      <c r="L24" s="178">
        <v>1</v>
      </c>
      <c r="M24" s="179" t="str">
        <f t="shared" si="24"/>
        <v>С3</v>
      </c>
      <c r="N24" s="179" t="str">
        <f t="shared" si="24"/>
        <v>Насос центробежный (8120P0002)</v>
      </c>
      <c r="O24" s="179" t="str">
        <f t="shared" si="25"/>
        <v>Полное-ликвидация</v>
      </c>
      <c r="P24" s="179" t="s">
        <v>83</v>
      </c>
      <c r="Q24" s="179" t="s">
        <v>83</v>
      </c>
      <c r="R24" s="179" t="s">
        <v>83</v>
      </c>
      <c r="S24" s="179" t="s">
        <v>83</v>
      </c>
      <c r="T24" s="179" t="s">
        <v>83</v>
      </c>
      <c r="U24" s="179" t="s">
        <v>83</v>
      </c>
      <c r="V24" s="179" t="s">
        <v>83</v>
      </c>
      <c r="W24" s="179" t="s">
        <v>83</v>
      </c>
      <c r="X24" s="179" t="s">
        <v>83</v>
      </c>
      <c r="Y24" s="179" t="s">
        <v>83</v>
      </c>
      <c r="Z24" s="179" t="s">
        <v>83</v>
      </c>
      <c r="AA24" s="179" t="s">
        <v>83</v>
      </c>
      <c r="AB24" s="179" t="s">
        <v>83</v>
      </c>
      <c r="AC24" s="179" t="s">
        <v>83</v>
      </c>
      <c r="AD24" s="179" t="s">
        <v>83</v>
      </c>
      <c r="AE24" s="179" t="s">
        <v>83</v>
      </c>
      <c r="AF24" s="179" t="s">
        <v>83</v>
      </c>
      <c r="AG24" s="179" t="s">
        <v>83</v>
      </c>
      <c r="AH24" s="179" t="s">
        <v>83</v>
      </c>
      <c r="AI24" s="179" t="s">
        <v>83</v>
      </c>
      <c r="AJ24" s="179">
        <v>0</v>
      </c>
      <c r="AK24" s="179">
        <v>0</v>
      </c>
      <c r="AL24" s="179">
        <f>AL22</f>
        <v>0.75</v>
      </c>
      <c r="AM24" s="179">
        <f>AM22</f>
        <v>2.7E-2</v>
      </c>
      <c r="AN24" s="179">
        <f>AN22</f>
        <v>3</v>
      </c>
      <c r="AQ24" s="182">
        <f>AM24*I24*0.1+AL24</f>
        <v>0.75765000000000005</v>
      </c>
      <c r="AR24" s="182">
        <f t="shared" si="26"/>
        <v>7.5765000000000013E-2</v>
      </c>
      <c r="AS24" s="183">
        <f t="shared" si="27"/>
        <v>0</v>
      </c>
      <c r="AT24" s="183">
        <f t="shared" si="28"/>
        <v>0.20835375</v>
      </c>
      <c r="AU24" s="182">
        <f>1333*J23*POWER(10,-6)</f>
        <v>7.1382149999999972E-5</v>
      </c>
      <c r="AV24" s="183">
        <f t="shared" si="29"/>
        <v>1.0418401321499999</v>
      </c>
      <c r="AW24" s="184">
        <f t="shared" si="30"/>
        <v>0</v>
      </c>
      <c r="AX24" s="184">
        <f t="shared" si="31"/>
        <v>0</v>
      </c>
      <c r="AY24" s="184">
        <f t="shared" si="32"/>
        <v>2.8207821577961251E-6</v>
      </c>
    </row>
    <row r="25" spans="1:51" s="179" customFormat="1" x14ac:dyDescent="0.3">
      <c r="A25" s="169" t="s">
        <v>21</v>
      </c>
      <c r="B25" s="169" t="str">
        <f>B22</f>
        <v>Насос центробежный (8120P0002)</v>
      </c>
      <c r="C25" s="171" t="s">
        <v>230</v>
      </c>
      <c r="D25" s="172" t="s">
        <v>84</v>
      </c>
      <c r="E25" s="185">
        <f>E23</f>
        <v>1.0000000000000001E-5</v>
      </c>
      <c r="F25" s="186">
        <f>F22</f>
        <v>1</v>
      </c>
      <c r="G25" s="169">
        <v>3.4999999999999996E-2</v>
      </c>
      <c r="H25" s="174">
        <f t="shared" si="23"/>
        <v>3.4999999999999998E-7</v>
      </c>
      <c r="I25" s="187">
        <f>0.15*I22</f>
        <v>0.42499999999999993</v>
      </c>
      <c r="J25" s="187">
        <f>I25</f>
        <v>0.42499999999999993</v>
      </c>
      <c r="K25" s="190" t="s">
        <v>179</v>
      </c>
      <c r="L25" s="191">
        <v>45390</v>
      </c>
      <c r="M25" s="179" t="str">
        <f t="shared" si="24"/>
        <v>С4</v>
      </c>
      <c r="N25" s="179" t="str">
        <f t="shared" si="24"/>
        <v>Насос центробежный (8120P0002)</v>
      </c>
      <c r="O25" s="179" t="str">
        <f t="shared" si="25"/>
        <v>Частичное-пожар</v>
      </c>
      <c r="P25" s="179" t="s">
        <v>83</v>
      </c>
      <c r="Q25" s="179" t="s">
        <v>83</v>
      </c>
      <c r="R25" s="179" t="s">
        <v>83</v>
      </c>
      <c r="S25" s="179" t="s">
        <v>83</v>
      </c>
      <c r="T25" s="179" t="s">
        <v>83</v>
      </c>
      <c r="U25" s="179" t="s">
        <v>83</v>
      </c>
      <c r="V25" s="179" t="s">
        <v>83</v>
      </c>
      <c r="W25" s="179" t="s">
        <v>83</v>
      </c>
      <c r="X25" s="179" t="s">
        <v>83</v>
      </c>
      <c r="Y25" s="179" t="s">
        <v>83</v>
      </c>
      <c r="Z25" s="179" t="s">
        <v>83</v>
      </c>
      <c r="AA25" s="179" t="s">
        <v>83</v>
      </c>
      <c r="AB25" s="179" t="s">
        <v>83</v>
      </c>
      <c r="AC25" s="179" t="s">
        <v>83</v>
      </c>
      <c r="AD25" s="179" t="s">
        <v>83</v>
      </c>
      <c r="AE25" s="179" t="s">
        <v>83</v>
      </c>
      <c r="AF25" s="179" t="s">
        <v>83</v>
      </c>
      <c r="AG25" s="179" t="s">
        <v>83</v>
      </c>
      <c r="AH25" s="179" t="s">
        <v>83</v>
      </c>
      <c r="AI25" s="179" t="s">
        <v>83</v>
      </c>
      <c r="AJ25" s="179">
        <v>0</v>
      </c>
      <c r="AK25" s="179">
        <v>1</v>
      </c>
      <c r="AL25" s="179">
        <f>0.1*$AL$2</f>
        <v>7.5000000000000002E-4</v>
      </c>
      <c r="AM25" s="179">
        <f>AM22</f>
        <v>2.7E-2</v>
      </c>
      <c r="AN25" s="179">
        <f>ROUNDUP(AN22/3,0)</f>
        <v>1</v>
      </c>
      <c r="AQ25" s="182">
        <f>AM25*I25+AL25</f>
        <v>1.2224999999999998E-2</v>
      </c>
      <c r="AR25" s="182">
        <f t="shared" si="26"/>
        <v>1.2224999999999998E-3</v>
      </c>
      <c r="AS25" s="183">
        <f t="shared" si="27"/>
        <v>0.25</v>
      </c>
      <c r="AT25" s="183">
        <f t="shared" si="28"/>
        <v>6.5861875E-2</v>
      </c>
      <c r="AU25" s="182">
        <f>10068.2*J25*POWER(10,-6)</f>
        <v>4.2789849999999999E-3</v>
      </c>
      <c r="AV25" s="183">
        <f t="shared" si="29"/>
        <v>0.33358835999999997</v>
      </c>
      <c r="AW25" s="184">
        <f t="shared" si="30"/>
        <v>0</v>
      </c>
      <c r="AX25" s="184">
        <f t="shared" si="31"/>
        <v>3.4999999999999998E-7</v>
      </c>
      <c r="AY25" s="184">
        <f t="shared" si="32"/>
        <v>1.1675592599999999E-7</v>
      </c>
    </row>
    <row r="26" spans="1:51" s="179" customFormat="1" x14ac:dyDescent="0.3">
      <c r="A26" s="169" t="s">
        <v>22</v>
      </c>
      <c r="B26" s="169" t="str">
        <f>B22</f>
        <v>Насос центробежный (8120P0002)</v>
      </c>
      <c r="C26" s="171" t="s">
        <v>519</v>
      </c>
      <c r="D26" s="172" t="s">
        <v>518</v>
      </c>
      <c r="E26" s="185">
        <f>E24</f>
        <v>1.0000000000000001E-5</v>
      </c>
      <c r="F26" s="186">
        <f>F22</f>
        <v>1</v>
      </c>
      <c r="G26" s="169">
        <v>3.3249999999999995E-2</v>
      </c>
      <c r="H26" s="174">
        <f t="shared" si="23"/>
        <v>3.3249999999999999E-7</v>
      </c>
      <c r="I26" s="187">
        <f>0.15*I22</f>
        <v>0.42499999999999993</v>
      </c>
      <c r="J26" s="187">
        <v>0.01</v>
      </c>
      <c r="K26" s="190" t="s">
        <v>180</v>
      </c>
      <c r="L26" s="191">
        <v>3</v>
      </c>
      <c r="M26" s="179" t="str">
        <f t="shared" si="24"/>
        <v>С5</v>
      </c>
      <c r="N26" s="179" t="str">
        <f t="shared" si="24"/>
        <v>Насос центробежный (8120P0002)</v>
      </c>
      <c r="O26" s="179" t="str">
        <f t="shared" si="25"/>
        <v>Частичное-вспышка</v>
      </c>
      <c r="P26" s="179" t="s">
        <v>83</v>
      </c>
      <c r="Q26" s="179" t="s">
        <v>83</v>
      </c>
      <c r="R26" s="179" t="s">
        <v>83</v>
      </c>
      <c r="S26" s="179" t="s">
        <v>83</v>
      </c>
      <c r="T26" s="179" t="s">
        <v>83</v>
      </c>
      <c r="U26" s="179" t="s">
        <v>83</v>
      </c>
      <c r="V26" s="179" t="s">
        <v>83</v>
      </c>
      <c r="W26" s="179" t="s">
        <v>83</v>
      </c>
      <c r="X26" s="179" t="s">
        <v>83</v>
      </c>
      <c r="Y26" s="179" t="s">
        <v>83</v>
      </c>
      <c r="Z26" s="179" t="s">
        <v>83</v>
      </c>
      <c r="AA26" s="179" t="s">
        <v>83</v>
      </c>
      <c r="AB26" s="179" t="s">
        <v>83</v>
      </c>
      <c r="AC26" s="179" t="s">
        <v>83</v>
      </c>
      <c r="AD26" s="179" t="s">
        <v>83</v>
      </c>
      <c r="AE26" s="179" t="s">
        <v>83</v>
      </c>
      <c r="AF26" s="179" t="s">
        <v>83</v>
      </c>
      <c r="AG26" s="179" t="s">
        <v>83</v>
      </c>
      <c r="AH26" s="179" t="s">
        <v>83</v>
      </c>
      <c r="AI26" s="179" t="s">
        <v>83</v>
      </c>
      <c r="AJ26" s="179">
        <v>0</v>
      </c>
      <c r="AK26" s="179">
        <v>1</v>
      </c>
      <c r="AL26" s="179">
        <f>0.1*$AL$2</f>
        <v>7.5000000000000002E-4</v>
      </c>
      <c r="AM26" s="179">
        <f>AM22</f>
        <v>2.7E-2</v>
      </c>
      <c r="AN26" s="179">
        <f>ROUNDUP(AN22/3,0)</f>
        <v>1</v>
      </c>
      <c r="AQ26" s="182">
        <f>AM26*I26+AL26</f>
        <v>1.2224999999999998E-2</v>
      </c>
      <c r="AR26" s="182">
        <f t="shared" si="26"/>
        <v>1.2224999999999998E-3</v>
      </c>
      <c r="AS26" s="183">
        <f t="shared" si="27"/>
        <v>0.25</v>
      </c>
      <c r="AT26" s="183">
        <f t="shared" si="28"/>
        <v>6.5861875E-2</v>
      </c>
      <c r="AU26" s="182">
        <f>10068.2*J26*POWER(10,-6)*10</f>
        <v>1.0068200000000001E-3</v>
      </c>
      <c r="AV26" s="183">
        <f t="shared" si="29"/>
        <v>0.33031619500000003</v>
      </c>
      <c r="AW26" s="184">
        <f t="shared" si="30"/>
        <v>0</v>
      </c>
      <c r="AX26" s="184">
        <f t="shared" si="31"/>
        <v>3.3249999999999999E-7</v>
      </c>
      <c r="AY26" s="184">
        <f t="shared" si="32"/>
        <v>1.0983013483750001E-7</v>
      </c>
    </row>
    <row r="27" spans="1:51" s="179" customFormat="1" ht="15" thickBot="1" x14ac:dyDescent="0.35">
      <c r="A27" s="169" t="s">
        <v>23</v>
      </c>
      <c r="B27" s="169" t="str">
        <f>B22</f>
        <v>Насос центробежный (8120P0002)</v>
      </c>
      <c r="C27" s="171" t="s">
        <v>231</v>
      </c>
      <c r="D27" s="172" t="s">
        <v>61</v>
      </c>
      <c r="E27" s="185">
        <f>E25</f>
        <v>1.0000000000000001E-5</v>
      </c>
      <c r="F27" s="186">
        <f>F22</f>
        <v>1</v>
      </c>
      <c r="G27" s="169">
        <v>0.63174999999999992</v>
      </c>
      <c r="H27" s="174">
        <f t="shared" si="23"/>
        <v>6.3175000000000001E-6</v>
      </c>
      <c r="I27" s="187">
        <f>0.15*I22</f>
        <v>0.42499999999999993</v>
      </c>
      <c r="J27" s="169">
        <v>0</v>
      </c>
      <c r="K27" s="192" t="s">
        <v>191</v>
      </c>
      <c r="L27" s="192">
        <v>16</v>
      </c>
      <c r="M27" s="179" t="str">
        <f t="shared" si="24"/>
        <v>С6</v>
      </c>
      <c r="N27" s="179" t="str">
        <f t="shared" si="24"/>
        <v>Насос центробежный (8120P0002)</v>
      </c>
      <c r="O27" s="179" t="str">
        <f t="shared" si="25"/>
        <v>Частичное-ликвидация</v>
      </c>
      <c r="P27" s="179" t="s">
        <v>83</v>
      </c>
      <c r="Q27" s="179" t="s">
        <v>83</v>
      </c>
      <c r="R27" s="179" t="s">
        <v>83</v>
      </c>
      <c r="S27" s="179" t="s">
        <v>83</v>
      </c>
      <c r="T27" s="179" t="s">
        <v>83</v>
      </c>
      <c r="U27" s="179" t="s">
        <v>83</v>
      </c>
      <c r="V27" s="179" t="s">
        <v>83</v>
      </c>
      <c r="W27" s="179" t="s">
        <v>83</v>
      </c>
      <c r="X27" s="179" t="s">
        <v>83</v>
      </c>
      <c r="Y27" s="179" t="s">
        <v>83</v>
      </c>
      <c r="Z27" s="179" t="s">
        <v>83</v>
      </c>
      <c r="AA27" s="179" t="s">
        <v>83</v>
      </c>
      <c r="AB27" s="179" t="s">
        <v>83</v>
      </c>
      <c r="AC27" s="179" t="s">
        <v>83</v>
      </c>
      <c r="AD27" s="179" t="s">
        <v>83</v>
      </c>
      <c r="AE27" s="179" t="s">
        <v>83</v>
      </c>
      <c r="AF27" s="179" t="s">
        <v>83</v>
      </c>
      <c r="AG27" s="179" t="s">
        <v>83</v>
      </c>
      <c r="AH27" s="179" t="s">
        <v>83</v>
      </c>
      <c r="AI27" s="179" t="s">
        <v>83</v>
      </c>
      <c r="AJ27" s="179">
        <v>0</v>
      </c>
      <c r="AK27" s="179">
        <v>0</v>
      </c>
      <c r="AL27" s="179">
        <f>0.1*$AL$2</f>
        <v>7.5000000000000002E-4</v>
      </c>
      <c r="AM27" s="179">
        <f>AM22</f>
        <v>2.7E-2</v>
      </c>
      <c r="AN27" s="179">
        <f>ROUNDUP(AN22/3,0)</f>
        <v>1</v>
      </c>
      <c r="AQ27" s="182">
        <f>AM27*I27*0.1+AL27</f>
        <v>1.8974999999999999E-3</v>
      </c>
      <c r="AR27" s="182">
        <f t="shared" si="26"/>
        <v>1.8975E-4</v>
      </c>
      <c r="AS27" s="183">
        <f t="shared" si="27"/>
        <v>0</v>
      </c>
      <c r="AT27" s="183">
        <f t="shared" si="28"/>
        <v>5.2181249999999992E-4</v>
      </c>
      <c r="AU27" s="182">
        <f>1333*J26*POWER(10,-6)</f>
        <v>1.3329999999999999E-5</v>
      </c>
      <c r="AV27" s="183">
        <f t="shared" si="29"/>
        <v>2.6223925E-3</v>
      </c>
      <c r="AW27" s="184">
        <f t="shared" si="30"/>
        <v>0</v>
      </c>
      <c r="AX27" s="184">
        <f t="shared" si="31"/>
        <v>0</v>
      </c>
      <c r="AY27" s="184">
        <f t="shared" si="32"/>
        <v>1.6566964618750001E-8</v>
      </c>
    </row>
    <row r="28" spans="1:51" s="179" customFormat="1" x14ac:dyDescent="0.3">
      <c r="A28" s="180"/>
      <c r="B28" s="180"/>
      <c r="D28" s="271"/>
      <c r="E28" s="272"/>
      <c r="F28" s="273"/>
      <c r="G28" s="180"/>
      <c r="H28" s="184"/>
      <c r="I28" s="183"/>
      <c r="J28" s="180"/>
      <c r="K28" s="180"/>
      <c r="L28" s="180"/>
      <c r="AQ28" s="182"/>
      <c r="AR28" s="182"/>
      <c r="AS28" s="183"/>
      <c r="AT28" s="183"/>
      <c r="AU28" s="182"/>
      <c r="AV28" s="183"/>
      <c r="AW28" s="184"/>
      <c r="AX28" s="184"/>
      <c r="AY28" s="184"/>
    </row>
    <row r="29" spans="1:51" s="179" customFormat="1" x14ac:dyDescent="0.3">
      <c r="A29" s="180"/>
      <c r="B29" s="180"/>
      <c r="D29" s="271"/>
      <c r="E29" s="272"/>
      <c r="F29" s="273"/>
      <c r="G29" s="180"/>
      <c r="H29" s="184"/>
      <c r="I29" s="183"/>
      <c r="J29" s="180"/>
      <c r="K29" s="180"/>
      <c r="L29" s="180"/>
      <c r="AQ29" s="182"/>
      <c r="AR29" s="182"/>
      <c r="AS29" s="183"/>
      <c r="AT29" s="183"/>
      <c r="AU29" s="182"/>
      <c r="AV29" s="183"/>
      <c r="AW29" s="184"/>
      <c r="AX29" s="184"/>
      <c r="AY29" s="184"/>
    </row>
    <row r="30" spans="1:51" s="179" customFormat="1" x14ac:dyDescent="0.3">
      <c r="A30" s="180"/>
      <c r="B30" s="180"/>
      <c r="D30" s="271"/>
      <c r="E30" s="272"/>
      <c r="F30" s="273"/>
      <c r="G30" s="180"/>
      <c r="H30" s="184"/>
      <c r="I30" s="183"/>
      <c r="J30" s="180"/>
      <c r="K30" s="180"/>
      <c r="L30" s="180"/>
      <c r="AQ30" s="182"/>
      <c r="AR30" s="182"/>
      <c r="AS30" s="183"/>
      <c r="AT30" s="183"/>
      <c r="AU30" s="182"/>
      <c r="AV30" s="183"/>
      <c r="AW30" s="184"/>
      <c r="AX30" s="184"/>
      <c r="AY30" s="184"/>
    </row>
    <row r="31" spans="1:51" ht="15" thickBot="1" x14ac:dyDescent="0.35"/>
    <row r="32" spans="1:51" s="179" customFormat="1" ht="15" thickBot="1" x14ac:dyDescent="0.35">
      <c r="A32" s="169" t="s">
        <v>18</v>
      </c>
      <c r="B32" s="170" t="s">
        <v>596</v>
      </c>
      <c r="C32" s="171" t="s">
        <v>196</v>
      </c>
      <c r="D32" s="172" t="s">
        <v>59</v>
      </c>
      <c r="E32" s="173">
        <v>1.0000000000000001E-5</v>
      </c>
      <c r="F32" s="170">
        <v>1</v>
      </c>
      <c r="G32" s="169">
        <v>0.1</v>
      </c>
      <c r="H32" s="174">
        <f t="shared" ref="H32:H37" si="33">E32*F32*G32</f>
        <v>1.0000000000000002E-6</v>
      </c>
      <c r="I32" s="175">
        <v>640</v>
      </c>
      <c r="J32" s="187">
        <f>I32</f>
        <v>640</v>
      </c>
      <c r="K32" s="177" t="s">
        <v>175</v>
      </c>
      <c r="L32" s="178">
        <v>540</v>
      </c>
      <c r="M32" s="179" t="str">
        <f t="shared" ref="M32:N37" si="34">A32</f>
        <v>С1</v>
      </c>
      <c r="N32" s="179" t="str">
        <f t="shared" si="34"/>
        <v>Резервуар РВС (8206T0001)</v>
      </c>
      <c r="O32" s="179" t="str">
        <f t="shared" ref="O32:O37" si="35">D32</f>
        <v>Полное-пожар</v>
      </c>
      <c r="P32" s="179" t="s">
        <v>83</v>
      </c>
      <c r="Q32" s="179" t="s">
        <v>83</v>
      </c>
      <c r="R32" s="179" t="s">
        <v>83</v>
      </c>
      <c r="S32" s="179" t="s">
        <v>83</v>
      </c>
      <c r="T32" s="179" t="s">
        <v>83</v>
      </c>
      <c r="U32" s="179" t="s">
        <v>83</v>
      </c>
      <c r="V32" s="179" t="s">
        <v>83</v>
      </c>
      <c r="W32" s="179" t="s">
        <v>83</v>
      </c>
      <c r="X32" s="179" t="s">
        <v>83</v>
      </c>
      <c r="Y32" s="179" t="s">
        <v>83</v>
      </c>
      <c r="Z32" s="179" t="s">
        <v>83</v>
      </c>
      <c r="AA32" s="179" t="s">
        <v>83</v>
      </c>
      <c r="AB32" s="179" t="s">
        <v>83</v>
      </c>
      <c r="AC32" s="179" t="s">
        <v>83</v>
      </c>
      <c r="AD32" s="179" t="s">
        <v>83</v>
      </c>
      <c r="AE32" s="179" t="s">
        <v>83</v>
      </c>
      <c r="AF32" s="179" t="s">
        <v>83</v>
      </c>
      <c r="AG32" s="179" t="s">
        <v>83</v>
      </c>
      <c r="AH32" s="179" t="s">
        <v>83</v>
      </c>
      <c r="AI32" s="179" t="s">
        <v>83</v>
      </c>
      <c r="AJ32" s="180">
        <v>1</v>
      </c>
      <c r="AK32" s="180">
        <v>2</v>
      </c>
      <c r="AL32" s="181">
        <v>0.75</v>
      </c>
      <c r="AM32" s="181">
        <v>2.7E-2</v>
      </c>
      <c r="AN32" s="181">
        <v>3</v>
      </c>
      <c r="AQ32" s="182">
        <f>AM32*I32+AL32</f>
        <v>18.03</v>
      </c>
      <c r="AR32" s="182">
        <f t="shared" ref="AR32:AR37" si="36">0.1*AQ32</f>
        <v>1.8030000000000002</v>
      </c>
      <c r="AS32" s="183">
        <f t="shared" ref="AS32:AS37" si="37">AJ32*3+0.25*AK32</f>
        <v>3.5</v>
      </c>
      <c r="AT32" s="183">
        <f t="shared" ref="AT32:AT37" si="38">SUM(AQ32:AS32)/4</f>
        <v>5.8332500000000005</v>
      </c>
      <c r="AU32" s="182">
        <f>10068.2*J32*POWER(10,-6)</f>
        <v>6.4436479999999996</v>
      </c>
      <c r="AV32" s="183">
        <f t="shared" ref="AV32:AV37" si="39">AU32+AT32+AS32+AR32+AQ32</f>
        <v>35.609898000000001</v>
      </c>
      <c r="AW32" s="184">
        <f t="shared" ref="AW32:AW37" si="40">AJ32*H32</f>
        <v>1.0000000000000002E-6</v>
      </c>
      <c r="AX32" s="184">
        <f t="shared" ref="AX32:AX37" si="41">H32*AK32</f>
        <v>2.0000000000000003E-6</v>
      </c>
      <c r="AY32" s="184">
        <f t="shared" ref="AY32:AY37" si="42">H32*AV32</f>
        <v>3.5609898000000007E-5</v>
      </c>
    </row>
    <row r="33" spans="1:51" s="179" customFormat="1" ht="15" thickBot="1" x14ac:dyDescent="0.35">
      <c r="A33" s="169" t="s">
        <v>19</v>
      </c>
      <c r="B33" s="169" t="str">
        <f>B32</f>
        <v>Резервуар РВС (8206T0001)</v>
      </c>
      <c r="C33" s="171" t="s">
        <v>205</v>
      </c>
      <c r="D33" s="172" t="s">
        <v>59</v>
      </c>
      <c r="E33" s="185">
        <f>E32</f>
        <v>1.0000000000000001E-5</v>
      </c>
      <c r="F33" s="186">
        <f>F32</f>
        <v>1</v>
      </c>
      <c r="G33" s="169">
        <v>0.18000000000000002</v>
      </c>
      <c r="H33" s="174">
        <f t="shared" si="33"/>
        <v>1.8000000000000003E-6</v>
      </c>
      <c r="I33" s="187">
        <f>I32</f>
        <v>640</v>
      </c>
      <c r="J33" s="187">
        <f>I32</f>
        <v>640</v>
      </c>
      <c r="K33" s="177" t="s">
        <v>176</v>
      </c>
      <c r="L33" s="178">
        <v>0</v>
      </c>
      <c r="M33" s="179" t="str">
        <f t="shared" si="34"/>
        <v>С2</v>
      </c>
      <c r="N33" s="179" t="str">
        <f t="shared" si="34"/>
        <v>Резервуар РВС (8206T0001)</v>
      </c>
      <c r="O33" s="179" t="str">
        <f t="shared" si="35"/>
        <v>Полное-пожар</v>
      </c>
      <c r="P33" s="179" t="s">
        <v>83</v>
      </c>
      <c r="Q33" s="179" t="s">
        <v>83</v>
      </c>
      <c r="R33" s="179" t="s">
        <v>83</v>
      </c>
      <c r="S33" s="179" t="s">
        <v>83</v>
      </c>
      <c r="T33" s="179" t="s">
        <v>83</v>
      </c>
      <c r="U33" s="179" t="s">
        <v>83</v>
      </c>
      <c r="V33" s="179" t="s">
        <v>83</v>
      </c>
      <c r="W33" s="179" t="s">
        <v>83</v>
      </c>
      <c r="X33" s="179" t="s">
        <v>83</v>
      </c>
      <c r="Y33" s="179" t="s">
        <v>83</v>
      </c>
      <c r="Z33" s="179" t="s">
        <v>83</v>
      </c>
      <c r="AA33" s="179" t="s">
        <v>83</v>
      </c>
      <c r="AB33" s="179" t="s">
        <v>83</v>
      </c>
      <c r="AC33" s="179" t="s">
        <v>83</v>
      </c>
      <c r="AD33" s="179" t="s">
        <v>83</v>
      </c>
      <c r="AE33" s="179" t="s">
        <v>83</v>
      </c>
      <c r="AF33" s="179" t="s">
        <v>83</v>
      </c>
      <c r="AG33" s="179" t="s">
        <v>83</v>
      </c>
      <c r="AH33" s="179" t="s">
        <v>83</v>
      </c>
      <c r="AI33" s="179" t="s">
        <v>83</v>
      </c>
      <c r="AJ33" s="180">
        <v>2</v>
      </c>
      <c r="AK33" s="180">
        <v>2</v>
      </c>
      <c r="AL33" s="179">
        <f>AL32</f>
        <v>0.75</v>
      </c>
      <c r="AM33" s="179">
        <f>AM32</f>
        <v>2.7E-2</v>
      </c>
      <c r="AN33" s="179">
        <f>AN32</f>
        <v>3</v>
      </c>
      <c r="AQ33" s="182">
        <f>AM33*I33+AL33</f>
        <v>18.03</v>
      </c>
      <c r="AR33" s="182">
        <f t="shared" si="36"/>
        <v>1.8030000000000002</v>
      </c>
      <c r="AS33" s="183">
        <f t="shared" si="37"/>
        <v>6.5</v>
      </c>
      <c r="AT33" s="183">
        <f t="shared" si="38"/>
        <v>6.5832500000000005</v>
      </c>
      <c r="AU33" s="182">
        <f>10068.2*J33*POWER(10,-6)*10</f>
        <v>64.436479999999989</v>
      </c>
      <c r="AV33" s="183">
        <f t="shared" si="39"/>
        <v>97.352729999999994</v>
      </c>
      <c r="AW33" s="184">
        <f t="shared" si="40"/>
        <v>3.6000000000000007E-6</v>
      </c>
      <c r="AX33" s="184">
        <f t="shared" si="41"/>
        <v>3.6000000000000007E-6</v>
      </c>
      <c r="AY33" s="184">
        <f t="shared" si="42"/>
        <v>1.7523491400000003E-4</v>
      </c>
    </row>
    <row r="34" spans="1:51" s="179" customFormat="1" x14ac:dyDescent="0.3">
      <c r="A34" s="169" t="s">
        <v>20</v>
      </c>
      <c r="B34" s="169" t="str">
        <f>B32</f>
        <v>Резервуар РВС (8206T0001)</v>
      </c>
      <c r="C34" s="171" t="s">
        <v>198</v>
      </c>
      <c r="D34" s="172" t="s">
        <v>60</v>
      </c>
      <c r="E34" s="185">
        <f>E32</f>
        <v>1.0000000000000001E-5</v>
      </c>
      <c r="F34" s="186">
        <f>F32</f>
        <v>1</v>
      </c>
      <c r="G34" s="169">
        <v>0.72000000000000008</v>
      </c>
      <c r="H34" s="174">
        <f t="shared" si="33"/>
        <v>7.2000000000000014E-6</v>
      </c>
      <c r="I34" s="187">
        <f>I32</f>
        <v>640</v>
      </c>
      <c r="J34" s="169">
        <v>0</v>
      </c>
      <c r="K34" s="177" t="s">
        <v>177</v>
      </c>
      <c r="L34" s="178">
        <v>0</v>
      </c>
      <c r="M34" s="179" t="str">
        <f t="shared" si="34"/>
        <v>С3</v>
      </c>
      <c r="N34" s="179" t="str">
        <f t="shared" si="34"/>
        <v>Резервуар РВС (8206T0001)</v>
      </c>
      <c r="O34" s="179" t="str">
        <f t="shared" si="35"/>
        <v>Полное-ликвидация</v>
      </c>
      <c r="P34" s="179" t="s">
        <v>83</v>
      </c>
      <c r="Q34" s="179" t="s">
        <v>83</v>
      </c>
      <c r="R34" s="179" t="s">
        <v>83</v>
      </c>
      <c r="S34" s="179" t="s">
        <v>83</v>
      </c>
      <c r="T34" s="179" t="s">
        <v>83</v>
      </c>
      <c r="U34" s="179" t="s">
        <v>83</v>
      </c>
      <c r="V34" s="179" t="s">
        <v>83</v>
      </c>
      <c r="W34" s="179" t="s">
        <v>83</v>
      </c>
      <c r="X34" s="179" t="s">
        <v>83</v>
      </c>
      <c r="Y34" s="179" t="s">
        <v>83</v>
      </c>
      <c r="Z34" s="179" t="s">
        <v>83</v>
      </c>
      <c r="AA34" s="179" t="s">
        <v>83</v>
      </c>
      <c r="AB34" s="179" t="s">
        <v>83</v>
      </c>
      <c r="AC34" s="179" t="s">
        <v>83</v>
      </c>
      <c r="AD34" s="179" t="s">
        <v>83</v>
      </c>
      <c r="AE34" s="179" t="s">
        <v>83</v>
      </c>
      <c r="AF34" s="179" t="s">
        <v>83</v>
      </c>
      <c r="AG34" s="179" t="s">
        <v>83</v>
      </c>
      <c r="AH34" s="179" t="s">
        <v>83</v>
      </c>
      <c r="AI34" s="179" t="s">
        <v>83</v>
      </c>
      <c r="AJ34" s="179">
        <v>0</v>
      </c>
      <c r="AK34" s="179">
        <v>0</v>
      </c>
      <c r="AL34" s="179">
        <f>AL32</f>
        <v>0.75</v>
      </c>
      <c r="AM34" s="179">
        <f>AM32</f>
        <v>2.7E-2</v>
      </c>
      <c r="AN34" s="179">
        <f>AN32</f>
        <v>3</v>
      </c>
      <c r="AQ34" s="182">
        <f>AM34*I34*0.1+AL34</f>
        <v>2.4780000000000002</v>
      </c>
      <c r="AR34" s="182">
        <f t="shared" si="36"/>
        <v>0.24780000000000002</v>
      </c>
      <c r="AS34" s="183">
        <f t="shared" si="37"/>
        <v>0</v>
      </c>
      <c r="AT34" s="183">
        <f t="shared" si="38"/>
        <v>0.68145000000000011</v>
      </c>
      <c r="AU34" s="182">
        <f>1333*J33*POWER(10,-6)</f>
        <v>0.85311999999999999</v>
      </c>
      <c r="AV34" s="183">
        <f t="shared" si="39"/>
        <v>4.26037</v>
      </c>
      <c r="AW34" s="184">
        <f t="shared" si="40"/>
        <v>0</v>
      </c>
      <c r="AX34" s="184">
        <f t="shared" si="41"/>
        <v>0</v>
      </c>
      <c r="AY34" s="184">
        <f t="shared" si="42"/>
        <v>3.0674664000000008E-5</v>
      </c>
    </row>
    <row r="35" spans="1:51" s="179" customFormat="1" x14ac:dyDescent="0.3">
      <c r="A35" s="169" t="s">
        <v>21</v>
      </c>
      <c r="B35" s="169" t="str">
        <f>B32</f>
        <v>Резервуар РВС (8206T0001)</v>
      </c>
      <c r="C35" s="171" t="s">
        <v>199</v>
      </c>
      <c r="D35" s="172" t="s">
        <v>84</v>
      </c>
      <c r="E35" s="173">
        <v>1E-4</v>
      </c>
      <c r="F35" s="186">
        <f>F32</f>
        <v>1</v>
      </c>
      <c r="G35" s="169">
        <v>0.1</v>
      </c>
      <c r="H35" s="174">
        <f t="shared" si="33"/>
        <v>1.0000000000000001E-5</v>
      </c>
      <c r="I35" s="187">
        <f>0.15*I32</f>
        <v>96</v>
      </c>
      <c r="J35" s="187">
        <f>I35</f>
        <v>96</v>
      </c>
      <c r="K35" s="190" t="s">
        <v>179</v>
      </c>
      <c r="L35" s="191">
        <v>45390</v>
      </c>
      <c r="M35" s="179" t="str">
        <f t="shared" si="34"/>
        <v>С4</v>
      </c>
      <c r="N35" s="179" t="str">
        <f t="shared" si="34"/>
        <v>Резервуар РВС (8206T0001)</v>
      </c>
      <c r="O35" s="179" t="str">
        <f t="shared" si="35"/>
        <v>Частичное-пожар</v>
      </c>
      <c r="P35" s="179" t="s">
        <v>83</v>
      </c>
      <c r="Q35" s="179" t="s">
        <v>83</v>
      </c>
      <c r="R35" s="179" t="s">
        <v>83</v>
      </c>
      <c r="S35" s="179" t="s">
        <v>83</v>
      </c>
      <c r="T35" s="179" t="s">
        <v>83</v>
      </c>
      <c r="U35" s="179" t="s">
        <v>83</v>
      </c>
      <c r="V35" s="179" t="s">
        <v>83</v>
      </c>
      <c r="W35" s="179" t="s">
        <v>83</v>
      </c>
      <c r="X35" s="179" t="s">
        <v>83</v>
      </c>
      <c r="Y35" s="179" t="s">
        <v>83</v>
      </c>
      <c r="Z35" s="179" t="s">
        <v>83</v>
      </c>
      <c r="AA35" s="179" t="s">
        <v>83</v>
      </c>
      <c r="AB35" s="179" t="s">
        <v>83</v>
      </c>
      <c r="AC35" s="179" t="s">
        <v>83</v>
      </c>
      <c r="AD35" s="179" t="s">
        <v>83</v>
      </c>
      <c r="AE35" s="179" t="s">
        <v>83</v>
      </c>
      <c r="AF35" s="179" t="s">
        <v>83</v>
      </c>
      <c r="AG35" s="179" t="s">
        <v>83</v>
      </c>
      <c r="AH35" s="179" t="s">
        <v>83</v>
      </c>
      <c r="AI35" s="179" t="s">
        <v>83</v>
      </c>
      <c r="AJ35" s="179">
        <v>0</v>
      </c>
      <c r="AK35" s="179">
        <v>2</v>
      </c>
      <c r="AL35" s="179">
        <f>0.1*$AL$2</f>
        <v>7.5000000000000002E-4</v>
      </c>
      <c r="AM35" s="179">
        <f>AM32</f>
        <v>2.7E-2</v>
      </c>
      <c r="AN35" s="179">
        <f>ROUNDUP(AN32/3,0)</f>
        <v>1</v>
      </c>
      <c r="AQ35" s="182">
        <f>AM35*I35+AL35</f>
        <v>2.5927500000000001</v>
      </c>
      <c r="AR35" s="182">
        <f t="shared" si="36"/>
        <v>0.25927500000000003</v>
      </c>
      <c r="AS35" s="183">
        <f t="shared" si="37"/>
        <v>0.5</v>
      </c>
      <c r="AT35" s="183">
        <f t="shared" si="38"/>
        <v>0.83800625000000006</v>
      </c>
      <c r="AU35" s="182">
        <f>10068.2*J35*POWER(10,-6)</f>
        <v>0.96654720000000005</v>
      </c>
      <c r="AV35" s="183">
        <f t="shared" si="39"/>
        <v>5.1565784500000005</v>
      </c>
      <c r="AW35" s="184">
        <f t="shared" si="40"/>
        <v>0</v>
      </c>
      <c r="AX35" s="184">
        <f t="shared" si="41"/>
        <v>2.0000000000000002E-5</v>
      </c>
      <c r="AY35" s="184">
        <f t="shared" si="42"/>
        <v>5.1565784500000008E-5</v>
      </c>
    </row>
    <row r="36" spans="1:51" s="179" customFormat="1" x14ac:dyDescent="0.3">
      <c r="A36" s="169" t="s">
        <v>22</v>
      </c>
      <c r="B36" s="169" t="str">
        <f>B32</f>
        <v>Резервуар РВС (8206T0001)</v>
      </c>
      <c r="C36" s="171" t="s">
        <v>206</v>
      </c>
      <c r="D36" s="172" t="s">
        <v>84</v>
      </c>
      <c r="E36" s="185">
        <f>E35</f>
        <v>1E-4</v>
      </c>
      <c r="F36" s="186">
        <f>F32</f>
        <v>1</v>
      </c>
      <c r="G36" s="169">
        <v>4.5000000000000005E-2</v>
      </c>
      <c r="H36" s="174">
        <f t="shared" si="33"/>
        <v>4.500000000000001E-6</v>
      </c>
      <c r="I36" s="187">
        <f>0.15*I32</f>
        <v>96</v>
      </c>
      <c r="J36" s="187">
        <f>I35</f>
        <v>96</v>
      </c>
      <c r="K36" s="190" t="s">
        <v>180</v>
      </c>
      <c r="L36" s="191">
        <v>3</v>
      </c>
      <c r="M36" s="179" t="str">
        <f t="shared" si="34"/>
        <v>С5</v>
      </c>
      <c r="N36" s="179" t="str">
        <f t="shared" si="34"/>
        <v>Резервуар РВС (8206T0001)</v>
      </c>
      <c r="O36" s="179" t="str">
        <f t="shared" si="35"/>
        <v>Частичное-пожар</v>
      </c>
      <c r="P36" s="179" t="s">
        <v>83</v>
      </c>
      <c r="Q36" s="179" t="s">
        <v>83</v>
      </c>
      <c r="R36" s="179" t="s">
        <v>83</v>
      </c>
      <c r="S36" s="179" t="s">
        <v>83</v>
      </c>
      <c r="T36" s="179" t="s">
        <v>83</v>
      </c>
      <c r="U36" s="179" t="s">
        <v>83</v>
      </c>
      <c r="V36" s="179" t="s">
        <v>83</v>
      </c>
      <c r="W36" s="179" t="s">
        <v>83</v>
      </c>
      <c r="X36" s="179" t="s">
        <v>83</v>
      </c>
      <c r="Y36" s="179" t="s">
        <v>83</v>
      </c>
      <c r="Z36" s="179" t="s">
        <v>83</v>
      </c>
      <c r="AA36" s="179" t="s">
        <v>83</v>
      </c>
      <c r="AB36" s="179" t="s">
        <v>83</v>
      </c>
      <c r="AC36" s="179" t="s">
        <v>83</v>
      </c>
      <c r="AD36" s="179" t="s">
        <v>83</v>
      </c>
      <c r="AE36" s="179" t="s">
        <v>83</v>
      </c>
      <c r="AF36" s="179" t="s">
        <v>83</v>
      </c>
      <c r="AG36" s="179" t="s">
        <v>83</v>
      </c>
      <c r="AH36" s="179" t="s">
        <v>83</v>
      </c>
      <c r="AI36" s="179" t="s">
        <v>83</v>
      </c>
      <c r="AJ36" s="179">
        <v>0</v>
      </c>
      <c r="AK36" s="179">
        <v>1</v>
      </c>
      <c r="AL36" s="179">
        <f>0.1*$AL$2</f>
        <v>7.5000000000000002E-4</v>
      </c>
      <c r="AM36" s="179">
        <f>AM32</f>
        <v>2.7E-2</v>
      </c>
      <c r="AN36" s="179">
        <f>ROUNDUP(AN32/3,0)</f>
        <v>1</v>
      </c>
      <c r="AQ36" s="182">
        <f>AM36*I36+AL36</f>
        <v>2.5927500000000001</v>
      </c>
      <c r="AR36" s="182">
        <f t="shared" si="36"/>
        <v>0.25927500000000003</v>
      </c>
      <c r="AS36" s="183">
        <f t="shared" si="37"/>
        <v>0.25</v>
      </c>
      <c r="AT36" s="183">
        <f t="shared" si="38"/>
        <v>0.77550625000000006</v>
      </c>
      <c r="AU36" s="182">
        <f>10068.2*J36*POWER(10,-6)*10</f>
        <v>9.6654720000000012</v>
      </c>
      <c r="AV36" s="183">
        <f t="shared" si="39"/>
        <v>13.543003250000002</v>
      </c>
      <c r="AW36" s="184">
        <f t="shared" si="40"/>
        <v>0</v>
      </c>
      <c r="AX36" s="184">
        <f t="shared" si="41"/>
        <v>4.500000000000001E-6</v>
      </c>
      <c r="AY36" s="184">
        <f t="shared" si="42"/>
        <v>6.094351462500002E-5</v>
      </c>
    </row>
    <row r="37" spans="1:51" s="179" customFormat="1" ht="15" thickBot="1" x14ac:dyDescent="0.35">
      <c r="A37" s="169" t="s">
        <v>23</v>
      </c>
      <c r="B37" s="169" t="str">
        <f>B32</f>
        <v>Резервуар РВС (8206T0001)</v>
      </c>
      <c r="C37" s="171" t="s">
        <v>201</v>
      </c>
      <c r="D37" s="172" t="s">
        <v>61</v>
      </c>
      <c r="E37" s="185">
        <f>E35</f>
        <v>1E-4</v>
      </c>
      <c r="F37" s="186">
        <f>F32</f>
        <v>1</v>
      </c>
      <c r="G37" s="169">
        <v>0.85499999999999998</v>
      </c>
      <c r="H37" s="174">
        <f t="shared" si="33"/>
        <v>8.5500000000000005E-5</v>
      </c>
      <c r="I37" s="187">
        <f>0.15*I32</f>
        <v>96</v>
      </c>
      <c r="J37" s="169">
        <v>0</v>
      </c>
      <c r="K37" s="192" t="s">
        <v>191</v>
      </c>
      <c r="L37" s="192">
        <v>11</v>
      </c>
      <c r="M37" s="179" t="str">
        <f t="shared" si="34"/>
        <v>С6</v>
      </c>
      <c r="N37" s="179" t="str">
        <f t="shared" si="34"/>
        <v>Резервуар РВС (8206T0001)</v>
      </c>
      <c r="O37" s="179" t="str">
        <f t="shared" si="35"/>
        <v>Частичное-ликвидация</v>
      </c>
      <c r="P37" s="179" t="s">
        <v>83</v>
      </c>
      <c r="Q37" s="179" t="s">
        <v>83</v>
      </c>
      <c r="R37" s="179" t="s">
        <v>83</v>
      </c>
      <c r="S37" s="179" t="s">
        <v>83</v>
      </c>
      <c r="T37" s="179" t="s">
        <v>83</v>
      </c>
      <c r="U37" s="179" t="s">
        <v>83</v>
      </c>
      <c r="V37" s="179" t="s">
        <v>83</v>
      </c>
      <c r="W37" s="179" t="s">
        <v>83</v>
      </c>
      <c r="X37" s="179" t="s">
        <v>83</v>
      </c>
      <c r="Y37" s="179" t="s">
        <v>83</v>
      </c>
      <c r="Z37" s="179" t="s">
        <v>83</v>
      </c>
      <c r="AA37" s="179" t="s">
        <v>83</v>
      </c>
      <c r="AB37" s="179" t="s">
        <v>83</v>
      </c>
      <c r="AC37" s="179" t="s">
        <v>83</v>
      </c>
      <c r="AD37" s="179" t="s">
        <v>83</v>
      </c>
      <c r="AE37" s="179" t="s">
        <v>83</v>
      </c>
      <c r="AF37" s="179" t="s">
        <v>83</v>
      </c>
      <c r="AG37" s="179" t="s">
        <v>83</v>
      </c>
      <c r="AH37" s="179" t="s">
        <v>83</v>
      </c>
      <c r="AI37" s="179" t="s">
        <v>83</v>
      </c>
      <c r="AJ37" s="179">
        <v>0</v>
      </c>
      <c r="AK37" s="179">
        <v>0</v>
      </c>
      <c r="AL37" s="179">
        <f>0.1*$AL$2</f>
        <v>7.5000000000000002E-4</v>
      </c>
      <c r="AM37" s="179">
        <f>AM32</f>
        <v>2.7E-2</v>
      </c>
      <c r="AN37" s="179">
        <f>ROUNDUP(AN32/3,0)</f>
        <v>1</v>
      </c>
      <c r="AQ37" s="182">
        <f>AM37*I37*0.1+AL37</f>
        <v>0.25995000000000001</v>
      </c>
      <c r="AR37" s="182">
        <f t="shared" si="36"/>
        <v>2.5995000000000004E-2</v>
      </c>
      <c r="AS37" s="183">
        <f t="shared" si="37"/>
        <v>0</v>
      </c>
      <c r="AT37" s="183">
        <f t="shared" si="38"/>
        <v>7.1486250000000001E-2</v>
      </c>
      <c r="AU37" s="182">
        <f>1333*J36*POWER(10,-6)</f>
        <v>0.127968</v>
      </c>
      <c r="AV37" s="183">
        <f t="shared" si="39"/>
        <v>0.48539925</v>
      </c>
      <c r="AW37" s="184">
        <f t="shared" si="40"/>
        <v>0</v>
      </c>
      <c r="AX37" s="184">
        <f t="shared" si="41"/>
        <v>0</v>
      </c>
      <c r="AY37" s="184">
        <f t="shared" si="42"/>
        <v>4.1501635875000002E-5</v>
      </c>
    </row>
    <row r="38" spans="1:51" s="179" customFormat="1" x14ac:dyDescent="0.3">
      <c r="A38" s="180"/>
      <c r="B38" s="180"/>
      <c r="D38" s="271"/>
      <c r="E38" s="272"/>
      <c r="F38" s="273"/>
      <c r="G38" s="180"/>
      <c r="H38" s="184"/>
      <c r="I38" s="183"/>
      <c r="J38" s="180"/>
      <c r="K38" s="180"/>
      <c r="L38" s="180"/>
      <c r="AQ38" s="182"/>
      <c r="AR38" s="182"/>
      <c r="AS38" s="183"/>
      <c r="AT38" s="183"/>
      <c r="AU38" s="182"/>
      <c r="AV38" s="183"/>
      <c r="AW38" s="184"/>
      <c r="AX38" s="184"/>
      <c r="AY38" s="184"/>
    </row>
    <row r="39" spans="1:51" s="179" customFormat="1" x14ac:dyDescent="0.3">
      <c r="A39" s="180"/>
      <c r="B39" s="180"/>
      <c r="D39" s="271"/>
      <c r="E39" s="272"/>
      <c r="F39" s="273"/>
      <c r="G39" s="180"/>
      <c r="H39" s="184"/>
      <c r="I39" s="183"/>
      <c r="J39" s="180"/>
      <c r="K39" s="180"/>
      <c r="L39" s="180"/>
      <c r="AQ39" s="182"/>
      <c r="AR39" s="182"/>
      <c r="AS39" s="183"/>
      <c r="AT39" s="183"/>
      <c r="AU39" s="182"/>
      <c r="AV39" s="183"/>
      <c r="AW39" s="184"/>
      <c r="AX39" s="184"/>
      <c r="AY39" s="184"/>
    </row>
    <row r="40" spans="1:51" s="179" customFormat="1" x14ac:dyDescent="0.3">
      <c r="A40" s="180"/>
      <c r="B40" s="180"/>
      <c r="D40" s="271"/>
      <c r="E40" s="272"/>
      <c r="F40" s="273"/>
      <c r="G40" s="180"/>
      <c r="H40" s="184"/>
      <c r="I40" s="183"/>
      <c r="J40" s="180"/>
      <c r="K40" s="180"/>
      <c r="L40" s="180"/>
      <c r="AQ40" s="182"/>
      <c r="AR40" s="182"/>
      <c r="AS40" s="183"/>
      <c r="AT40" s="183"/>
      <c r="AU40" s="182"/>
      <c r="AV40" s="183"/>
      <c r="AW40" s="184"/>
      <c r="AX40" s="184"/>
      <c r="AY40" s="184"/>
    </row>
    <row r="41" spans="1:51" ht="15" thickBot="1" x14ac:dyDescent="0.35"/>
    <row r="42" spans="1:51" s="179" customFormat="1" ht="15" thickBot="1" x14ac:dyDescent="0.35">
      <c r="A42" s="169" t="s">
        <v>18</v>
      </c>
      <c r="B42" s="170" t="s">
        <v>597</v>
      </c>
      <c r="C42" s="171" t="s">
        <v>196</v>
      </c>
      <c r="D42" s="172" t="s">
        <v>59</v>
      </c>
      <c r="E42" s="173">
        <v>1.0000000000000001E-5</v>
      </c>
      <c r="F42" s="170">
        <v>1</v>
      </c>
      <c r="G42" s="169">
        <v>0.1</v>
      </c>
      <c r="H42" s="174">
        <f t="shared" ref="H42:H47" si="43">E42*F42*G42</f>
        <v>1.0000000000000002E-6</v>
      </c>
      <c r="I42" s="175">
        <v>1320</v>
      </c>
      <c r="J42" s="187">
        <f>I42</f>
        <v>1320</v>
      </c>
      <c r="K42" s="177" t="s">
        <v>175</v>
      </c>
      <c r="L42" s="178">
        <v>948</v>
      </c>
      <c r="M42" s="179" t="str">
        <f t="shared" ref="M42:M47" si="44">A42</f>
        <v>С1</v>
      </c>
      <c r="N42" s="179" t="str">
        <f t="shared" ref="N42:N47" si="45">B42</f>
        <v>Резервуар РВС (8207T0001)</v>
      </c>
      <c r="O42" s="179" t="str">
        <f t="shared" ref="O42:O47" si="46">D42</f>
        <v>Полное-пожар</v>
      </c>
      <c r="P42" s="179" t="s">
        <v>83</v>
      </c>
      <c r="Q42" s="179" t="s">
        <v>83</v>
      </c>
      <c r="R42" s="179" t="s">
        <v>83</v>
      </c>
      <c r="S42" s="179" t="s">
        <v>83</v>
      </c>
      <c r="T42" s="179" t="s">
        <v>83</v>
      </c>
      <c r="U42" s="179" t="s">
        <v>83</v>
      </c>
      <c r="V42" s="179" t="s">
        <v>83</v>
      </c>
      <c r="W42" s="179" t="s">
        <v>83</v>
      </c>
      <c r="X42" s="179" t="s">
        <v>83</v>
      </c>
      <c r="Y42" s="179" t="s">
        <v>83</v>
      </c>
      <c r="Z42" s="179" t="s">
        <v>83</v>
      </c>
      <c r="AA42" s="179" t="s">
        <v>83</v>
      </c>
      <c r="AB42" s="179" t="s">
        <v>83</v>
      </c>
      <c r="AC42" s="179" t="s">
        <v>83</v>
      </c>
      <c r="AD42" s="179" t="s">
        <v>83</v>
      </c>
      <c r="AE42" s="179" t="s">
        <v>83</v>
      </c>
      <c r="AF42" s="179" t="s">
        <v>83</v>
      </c>
      <c r="AG42" s="179" t="s">
        <v>83</v>
      </c>
      <c r="AH42" s="179" t="s">
        <v>83</v>
      </c>
      <c r="AI42" s="179" t="s">
        <v>83</v>
      </c>
      <c r="AJ42" s="180">
        <v>1</v>
      </c>
      <c r="AK42" s="180">
        <v>2</v>
      </c>
      <c r="AL42" s="181">
        <v>0.75</v>
      </c>
      <c r="AM42" s="181">
        <v>2.7E-2</v>
      </c>
      <c r="AN42" s="181">
        <v>3</v>
      </c>
      <c r="AQ42" s="182">
        <f>AM42*I42+AL42</f>
        <v>36.39</v>
      </c>
      <c r="AR42" s="182">
        <f t="shared" ref="AR42:AR47" si="47">0.1*AQ42</f>
        <v>3.6390000000000002</v>
      </c>
      <c r="AS42" s="183">
        <f t="shared" ref="AS42:AS47" si="48">AJ42*3+0.25*AK42</f>
        <v>3.5</v>
      </c>
      <c r="AT42" s="183">
        <f t="shared" ref="AT42:AT47" si="49">SUM(AQ42:AS42)/4</f>
        <v>10.882250000000001</v>
      </c>
      <c r="AU42" s="182">
        <f>10068.2*J42*POWER(10,-6)</f>
        <v>13.290024000000001</v>
      </c>
      <c r="AV42" s="183">
        <f t="shared" ref="AV42:AV47" si="50">AU42+AT42+AS42+AR42+AQ42</f>
        <v>67.701273999999998</v>
      </c>
      <c r="AW42" s="184">
        <f t="shared" ref="AW42:AW47" si="51">AJ42*H42</f>
        <v>1.0000000000000002E-6</v>
      </c>
      <c r="AX42" s="184">
        <f t="shared" ref="AX42:AX47" si="52">H42*AK42</f>
        <v>2.0000000000000003E-6</v>
      </c>
      <c r="AY42" s="184">
        <f t="shared" ref="AY42:AY47" si="53">H42*AV42</f>
        <v>6.7701274000000011E-5</v>
      </c>
    </row>
    <row r="43" spans="1:51" s="179" customFormat="1" ht="15" thickBot="1" x14ac:dyDescent="0.35">
      <c r="A43" s="169" t="s">
        <v>19</v>
      </c>
      <c r="B43" s="169" t="str">
        <f>B42</f>
        <v>Резервуар РВС (8207T0001)</v>
      </c>
      <c r="C43" s="171" t="s">
        <v>205</v>
      </c>
      <c r="D43" s="172" t="s">
        <v>59</v>
      </c>
      <c r="E43" s="185">
        <f>E42</f>
        <v>1.0000000000000001E-5</v>
      </c>
      <c r="F43" s="186">
        <f>F42</f>
        <v>1</v>
      </c>
      <c r="G43" s="169">
        <v>0.18000000000000002</v>
      </c>
      <c r="H43" s="174">
        <f t="shared" si="43"/>
        <v>1.8000000000000003E-6</v>
      </c>
      <c r="I43" s="187">
        <f>I42</f>
        <v>1320</v>
      </c>
      <c r="J43" s="187">
        <f>I42</f>
        <v>1320</v>
      </c>
      <c r="K43" s="177" t="s">
        <v>176</v>
      </c>
      <c r="L43" s="178">
        <v>0</v>
      </c>
      <c r="M43" s="179" t="str">
        <f t="shared" si="44"/>
        <v>С2</v>
      </c>
      <c r="N43" s="179" t="str">
        <f t="shared" si="45"/>
        <v>Резервуар РВС (8207T0001)</v>
      </c>
      <c r="O43" s="179" t="str">
        <f t="shared" si="46"/>
        <v>Полное-пожар</v>
      </c>
      <c r="P43" s="179" t="s">
        <v>83</v>
      </c>
      <c r="Q43" s="179" t="s">
        <v>83</v>
      </c>
      <c r="R43" s="179" t="s">
        <v>83</v>
      </c>
      <c r="S43" s="179" t="s">
        <v>83</v>
      </c>
      <c r="T43" s="179" t="s">
        <v>83</v>
      </c>
      <c r="U43" s="179" t="s">
        <v>83</v>
      </c>
      <c r="V43" s="179" t="s">
        <v>83</v>
      </c>
      <c r="W43" s="179" t="s">
        <v>83</v>
      </c>
      <c r="X43" s="179" t="s">
        <v>83</v>
      </c>
      <c r="Y43" s="179" t="s">
        <v>83</v>
      </c>
      <c r="Z43" s="179" t="s">
        <v>83</v>
      </c>
      <c r="AA43" s="179" t="s">
        <v>83</v>
      </c>
      <c r="AB43" s="179" t="s">
        <v>83</v>
      </c>
      <c r="AC43" s="179" t="s">
        <v>83</v>
      </c>
      <c r="AD43" s="179" t="s">
        <v>83</v>
      </c>
      <c r="AE43" s="179" t="s">
        <v>83</v>
      </c>
      <c r="AF43" s="179" t="s">
        <v>83</v>
      </c>
      <c r="AG43" s="179" t="s">
        <v>83</v>
      </c>
      <c r="AH43" s="179" t="s">
        <v>83</v>
      </c>
      <c r="AI43" s="179" t="s">
        <v>83</v>
      </c>
      <c r="AJ43" s="180">
        <v>2</v>
      </c>
      <c r="AK43" s="180">
        <v>2</v>
      </c>
      <c r="AL43" s="179">
        <f>AL42</f>
        <v>0.75</v>
      </c>
      <c r="AM43" s="179">
        <f>AM42</f>
        <v>2.7E-2</v>
      </c>
      <c r="AN43" s="179">
        <f>AN42</f>
        <v>3</v>
      </c>
      <c r="AQ43" s="182">
        <f>AM43*I43+AL43</f>
        <v>36.39</v>
      </c>
      <c r="AR43" s="182">
        <f t="shared" si="47"/>
        <v>3.6390000000000002</v>
      </c>
      <c r="AS43" s="183">
        <f t="shared" si="48"/>
        <v>6.5</v>
      </c>
      <c r="AT43" s="183">
        <f t="shared" si="49"/>
        <v>11.632250000000001</v>
      </c>
      <c r="AU43" s="182">
        <f>10068.2*J43*POWER(10,-6)*10</f>
        <v>132.90024</v>
      </c>
      <c r="AV43" s="183">
        <f t="shared" si="50"/>
        <v>191.06148999999999</v>
      </c>
      <c r="AW43" s="184">
        <f t="shared" si="51"/>
        <v>3.6000000000000007E-6</v>
      </c>
      <c r="AX43" s="184">
        <f t="shared" si="52"/>
        <v>3.6000000000000007E-6</v>
      </c>
      <c r="AY43" s="184">
        <f t="shared" si="53"/>
        <v>3.4391068200000005E-4</v>
      </c>
    </row>
    <row r="44" spans="1:51" s="179" customFormat="1" x14ac:dyDescent="0.3">
      <c r="A44" s="169" t="s">
        <v>20</v>
      </c>
      <c r="B44" s="169" t="str">
        <f>B42</f>
        <v>Резервуар РВС (8207T0001)</v>
      </c>
      <c r="C44" s="171" t="s">
        <v>198</v>
      </c>
      <c r="D44" s="172" t="s">
        <v>60</v>
      </c>
      <c r="E44" s="185">
        <f>E42</f>
        <v>1.0000000000000001E-5</v>
      </c>
      <c r="F44" s="186">
        <f>F42</f>
        <v>1</v>
      </c>
      <c r="G44" s="169">
        <v>0.72000000000000008</v>
      </c>
      <c r="H44" s="174">
        <f t="shared" si="43"/>
        <v>7.2000000000000014E-6</v>
      </c>
      <c r="I44" s="187">
        <f>I42</f>
        <v>1320</v>
      </c>
      <c r="J44" s="169">
        <v>0</v>
      </c>
      <c r="K44" s="177" t="s">
        <v>177</v>
      </c>
      <c r="L44" s="178">
        <v>0</v>
      </c>
      <c r="M44" s="179" t="str">
        <f t="shared" si="44"/>
        <v>С3</v>
      </c>
      <c r="N44" s="179" t="str">
        <f t="shared" si="45"/>
        <v>Резервуар РВС (8207T0001)</v>
      </c>
      <c r="O44" s="179" t="str">
        <f t="shared" si="46"/>
        <v>Полное-ликвидация</v>
      </c>
      <c r="P44" s="179" t="s">
        <v>83</v>
      </c>
      <c r="Q44" s="179" t="s">
        <v>83</v>
      </c>
      <c r="R44" s="179" t="s">
        <v>83</v>
      </c>
      <c r="S44" s="179" t="s">
        <v>83</v>
      </c>
      <c r="T44" s="179" t="s">
        <v>83</v>
      </c>
      <c r="U44" s="179" t="s">
        <v>83</v>
      </c>
      <c r="V44" s="179" t="s">
        <v>83</v>
      </c>
      <c r="W44" s="179" t="s">
        <v>83</v>
      </c>
      <c r="X44" s="179" t="s">
        <v>83</v>
      </c>
      <c r="Y44" s="179" t="s">
        <v>83</v>
      </c>
      <c r="Z44" s="179" t="s">
        <v>83</v>
      </c>
      <c r="AA44" s="179" t="s">
        <v>83</v>
      </c>
      <c r="AB44" s="179" t="s">
        <v>83</v>
      </c>
      <c r="AC44" s="179" t="s">
        <v>83</v>
      </c>
      <c r="AD44" s="179" t="s">
        <v>83</v>
      </c>
      <c r="AE44" s="179" t="s">
        <v>83</v>
      </c>
      <c r="AF44" s="179" t="s">
        <v>83</v>
      </c>
      <c r="AG44" s="179" t="s">
        <v>83</v>
      </c>
      <c r="AH44" s="179" t="s">
        <v>83</v>
      </c>
      <c r="AI44" s="179" t="s">
        <v>83</v>
      </c>
      <c r="AJ44" s="179">
        <v>0</v>
      </c>
      <c r="AK44" s="179">
        <v>0</v>
      </c>
      <c r="AL44" s="179">
        <f>AL42</f>
        <v>0.75</v>
      </c>
      <c r="AM44" s="179">
        <f>AM42</f>
        <v>2.7E-2</v>
      </c>
      <c r="AN44" s="179">
        <f>AN42</f>
        <v>3</v>
      </c>
      <c r="AQ44" s="182">
        <f>AM44*I44*0.1+AL44</f>
        <v>4.3140000000000001</v>
      </c>
      <c r="AR44" s="182">
        <f t="shared" si="47"/>
        <v>0.43140000000000001</v>
      </c>
      <c r="AS44" s="183">
        <f t="shared" si="48"/>
        <v>0</v>
      </c>
      <c r="AT44" s="183">
        <f t="shared" si="49"/>
        <v>1.18635</v>
      </c>
      <c r="AU44" s="182">
        <f>1333*J43*POWER(10,-6)</f>
        <v>1.75956</v>
      </c>
      <c r="AV44" s="183">
        <f t="shared" si="50"/>
        <v>7.6913099999999996</v>
      </c>
      <c r="AW44" s="184">
        <f t="shared" si="51"/>
        <v>0</v>
      </c>
      <c r="AX44" s="184">
        <f t="shared" si="52"/>
        <v>0</v>
      </c>
      <c r="AY44" s="184">
        <f t="shared" si="53"/>
        <v>5.537743200000001E-5</v>
      </c>
    </row>
    <row r="45" spans="1:51" s="179" customFormat="1" x14ac:dyDescent="0.3">
      <c r="A45" s="169" t="s">
        <v>21</v>
      </c>
      <c r="B45" s="169" t="str">
        <f>B42</f>
        <v>Резервуар РВС (8207T0001)</v>
      </c>
      <c r="C45" s="171" t="s">
        <v>199</v>
      </c>
      <c r="D45" s="172" t="s">
        <v>84</v>
      </c>
      <c r="E45" s="173">
        <v>1E-4</v>
      </c>
      <c r="F45" s="186">
        <f>F42</f>
        <v>1</v>
      </c>
      <c r="G45" s="169">
        <v>0.1</v>
      </c>
      <c r="H45" s="174">
        <f t="shared" si="43"/>
        <v>1.0000000000000001E-5</v>
      </c>
      <c r="I45" s="187">
        <f>0.15*I42</f>
        <v>198</v>
      </c>
      <c r="J45" s="187">
        <f>I45</f>
        <v>198</v>
      </c>
      <c r="K45" s="190" t="s">
        <v>179</v>
      </c>
      <c r="L45" s="191">
        <v>45390</v>
      </c>
      <c r="M45" s="179" t="str">
        <f t="shared" si="44"/>
        <v>С4</v>
      </c>
      <c r="N45" s="179" t="str">
        <f t="shared" si="45"/>
        <v>Резервуар РВС (8207T0001)</v>
      </c>
      <c r="O45" s="179" t="str">
        <f t="shared" si="46"/>
        <v>Частичное-пожар</v>
      </c>
      <c r="P45" s="179" t="s">
        <v>83</v>
      </c>
      <c r="Q45" s="179" t="s">
        <v>83</v>
      </c>
      <c r="R45" s="179" t="s">
        <v>83</v>
      </c>
      <c r="S45" s="179" t="s">
        <v>83</v>
      </c>
      <c r="T45" s="179" t="s">
        <v>83</v>
      </c>
      <c r="U45" s="179" t="s">
        <v>83</v>
      </c>
      <c r="V45" s="179" t="s">
        <v>83</v>
      </c>
      <c r="W45" s="179" t="s">
        <v>83</v>
      </c>
      <c r="X45" s="179" t="s">
        <v>83</v>
      </c>
      <c r="Y45" s="179" t="s">
        <v>83</v>
      </c>
      <c r="Z45" s="179" t="s">
        <v>83</v>
      </c>
      <c r="AA45" s="179" t="s">
        <v>83</v>
      </c>
      <c r="AB45" s="179" t="s">
        <v>83</v>
      </c>
      <c r="AC45" s="179" t="s">
        <v>83</v>
      </c>
      <c r="AD45" s="179" t="s">
        <v>83</v>
      </c>
      <c r="AE45" s="179" t="s">
        <v>83</v>
      </c>
      <c r="AF45" s="179" t="s">
        <v>83</v>
      </c>
      <c r="AG45" s="179" t="s">
        <v>83</v>
      </c>
      <c r="AH45" s="179" t="s">
        <v>83</v>
      </c>
      <c r="AI45" s="179" t="s">
        <v>83</v>
      </c>
      <c r="AJ45" s="179">
        <v>0</v>
      </c>
      <c r="AK45" s="179">
        <v>2</v>
      </c>
      <c r="AL45" s="179">
        <f>0.1*$AL$2</f>
        <v>7.5000000000000002E-4</v>
      </c>
      <c r="AM45" s="179">
        <f>AM42</f>
        <v>2.7E-2</v>
      </c>
      <c r="AN45" s="179">
        <f>ROUNDUP(AN42/3,0)</f>
        <v>1</v>
      </c>
      <c r="AQ45" s="182">
        <f>AM45*I45+AL45</f>
        <v>5.3467500000000001</v>
      </c>
      <c r="AR45" s="182">
        <f t="shared" si="47"/>
        <v>0.53467500000000001</v>
      </c>
      <c r="AS45" s="183">
        <f t="shared" si="48"/>
        <v>0.5</v>
      </c>
      <c r="AT45" s="183">
        <f t="shared" si="49"/>
        <v>1.59535625</v>
      </c>
      <c r="AU45" s="182">
        <f>10068.2*J45*POWER(10,-6)</f>
        <v>1.9935035999999999</v>
      </c>
      <c r="AV45" s="183">
        <f t="shared" si="50"/>
        <v>9.9702848500000005</v>
      </c>
      <c r="AW45" s="184">
        <f t="shared" si="51"/>
        <v>0</v>
      </c>
      <c r="AX45" s="184">
        <f t="shared" si="52"/>
        <v>2.0000000000000002E-5</v>
      </c>
      <c r="AY45" s="184">
        <f t="shared" si="53"/>
        <v>9.9702848500000013E-5</v>
      </c>
    </row>
    <row r="46" spans="1:51" s="179" customFormat="1" x14ac:dyDescent="0.3">
      <c r="A46" s="169" t="s">
        <v>22</v>
      </c>
      <c r="B46" s="169" t="str">
        <f>B42</f>
        <v>Резервуар РВС (8207T0001)</v>
      </c>
      <c r="C46" s="171" t="s">
        <v>206</v>
      </c>
      <c r="D46" s="172" t="s">
        <v>84</v>
      </c>
      <c r="E46" s="185">
        <f>E45</f>
        <v>1E-4</v>
      </c>
      <c r="F46" s="186">
        <f>F42</f>
        <v>1</v>
      </c>
      <c r="G46" s="169">
        <v>4.5000000000000005E-2</v>
      </c>
      <c r="H46" s="174">
        <f t="shared" si="43"/>
        <v>4.500000000000001E-6</v>
      </c>
      <c r="I46" s="187">
        <f>0.15*I42</f>
        <v>198</v>
      </c>
      <c r="J46" s="187">
        <f>I45</f>
        <v>198</v>
      </c>
      <c r="K46" s="190" t="s">
        <v>180</v>
      </c>
      <c r="L46" s="191">
        <v>3</v>
      </c>
      <c r="M46" s="179" t="str">
        <f t="shared" si="44"/>
        <v>С5</v>
      </c>
      <c r="N46" s="179" t="str">
        <f t="shared" si="45"/>
        <v>Резервуар РВС (8207T0001)</v>
      </c>
      <c r="O46" s="179" t="str">
        <f t="shared" si="46"/>
        <v>Частичное-пожар</v>
      </c>
      <c r="P46" s="179" t="s">
        <v>83</v>
      </c>
      <c r="Q46" s="179" t="s">
        <v>83</v>
      </c>
      <c r="R46" s="179" t="s">
        <v>83</v>
      </c>
      <c r="S46" s="179" t="s">
        <v>83</v>
      </c>
      <c r="T46" s="179" t="s">
        <v>83</v>
      </c>
      <c r="U46" s="179" t="s">
        <v>83</v>
      </c>
      <c r="V46" s="179" t="s">
        <v>83</v>
      </c>
      <c r="W46" s="179" t="s">
        <v>83</v>
      </c>
      <c r="X46" s="179" t="s">
        <v>83</v>
      </c>
      <c r="Y46" s="179" t="s">
        <v>83</v>
      </c>
      <c r="Z46" s="179" t="s">
        <v>83</v>
      </c>
      <c r="AA46" s="179" t="s">
        <v>83</v>
      </c>
      <c r="AB46" s="179" t="s">
        <v>83</v>
      </c>
      <c r="AC46" s="179" t="s">
        <v>83</v>
      </c>
      <c r="AD46" s="179" t="s">
        <v>83</v>
      </c>
      <c r="AE46" s="179" t="s">
        <v>83</v>
      </c>
      <c r="AF46" s="179" t="s">
        <v>83</v>
      </c>
      <c r="AG46" s="179" t="s">
        <v>83</v>
      </c>
      <c r="AH46" s="179" t="s">
        <v>83</v>
      </c>
      <c r="AI46" s="179" t="s">
        <v>83</v>
      </c>
      <c r="AJ46" s="179">
        <v>0</v>
      </c>
      <c r="AK46" s="179">
        <v>1</v>
      </c>
      <c r="AL46" s="179">
        <f>0.1*$AL$2</f>
        <v>7.5000000000000002E-4</v>
      </c>
      <c r="AM46" s="179">
        <f>AM42</f>
        <v>2.7E-2</v>
      </c>
      <c r="AN46" s="179">
        <f>ROUNDUP(AN42/3,0)</f>
        <v>1</v>
      </c>
      <c r="AQ46" s="182">
        <f>AM46*I46+AL46</f>
        <v>5.3467500000000001</v>
      </c>
      <c r="AR46" s="182">
        <f t="shared" si="47"/>
        <v>0.53467500000000001</v>
      </c>
      <c r="AS46" s="183">
        <f t="shared" si="48"/>
        <v>0.25</v>
      </c>
      <c r="AT46" s="183">
        <f t="shared" si="49"/>
        <v>1.53285625</v>
      </c>
      <c r="AU46" s="182">
        <f>10068.2*J46*POWER(10,-6)*10</f>
        <v>19.935036</v>
      </c>
      <c r="AV46" s="183">
        <f t="shared" si="50"/>
        <v>27.599317249999999</v>
      </c>
      <c r="AW46" s="184">
        <f t="shared" si="51"/>
        <v>0</v>
      </c>
      <c r="AX46" s="184">
        <f t="shared" si="52"/>
        <v>4.500000000000001E-6</v>
      </c>
      <c r="AY46" s="184">
        <f t="shared" si="53"/>
        <v>1.2419692762500001E-4</v>
      </c>
    </row>
    <row r="47" spans="1:51" s="179" customFormat="1" ht="15" thickBot="1" x14ac:dyDescent="0.35">
      <c r="A47" s="169" t="s">
        <v>23</v>
      </c>
      <c r="B47" s="169" t="str">
        <f>B42</f>
        <v>Резервуар РВС (8207T0001)</v>
      </c>
      <c r="C47" s="171" t="s">
        <v>201</v>
      </c>
      <c r="D47" s="172" t="s">
        <v>61</v>
      </c>
      <c r="E47" s="185">
        <f>E45</f>
        <v>1E-4</v>
      </c>
      <c r="F47" s="186">
        <f>F42</f>
        <v>1</v>
      </c>
      <c r="G47" s="169">
        <v>0.85499999999999998</v>
      </c>
      <c r="H47" s="174">
        <f t="shared" si="43"/>
        <v>8.5500000000000005E-5</v>
      </c>
      <c r="I47" s="187">
        <f>0.15*I42</f>
        <v>198</v>
      </c>
      <c r="J47" s="169">
        <v>0</v>
      </c>
      <c r="K47" s="192" t="s">
        <v>191</v>
      </c>
      <c r="L47" s="192">
        <v>11</v>
      </c>
      <c r="M47" s="179" t="str">
        <f t="shared" si="44"/>
        <v>С6</v>
      </c>
      <c r="N47" s="179" t="str">
        <f t="shared" si="45"/>
        <v>Резервуар РВС (8207T0001)</v>
      </c>
      <c r="O47" s="179" t="str">
        <f t="shared" si="46"/>
        <v>Частичное-ликвидация</v>
      </c>
      <c r="P47" s="179" t="s">
        <v>83</v>
      </c>
      <c r="Q47" s="179" t="s">
        <v>83</v>
      </c>
      <c r="R47" s="179" t="s">
        <v>83</v>
      </c>
      <c r="S47" s="179" t="s">
        <v>83</v>
      </c>
      <c r="T47" s="179" t="s">
        <v>83</v>
      </c>
      <c r="U47" s="179" t="s">
        <v>83</v>
      </c>
      <c r="V47" s="179" t="s">
        <v>83</v>
      </c>
      <c r="W47" s="179" t="s">
        <v>83</v>
      </c>
      <c r="X47" s="179" t="s">
        <v>83</v>
      </c>
      <c r="Y47" s="179" t="s">
        <v>83</v>
      </c>
      <c r="Z47" s="179" t="s">
        <v>83</v>
      </c>
      <c r="AA47" s="179" t="s">
        <v>83</v>
      </c>
      <c r="AB47" s="179" t="s">
        <v>83</v>
      </c>
      <c r="AC47" s="179" t="s">
        <v>83</v>
      </c>
      <c r="AD47" s="179" t="s">
        <v>83</v>
      </c>
      <c r="AE47" s="179" t="s">
        <v>83</v>
      </c>
      <c r="AF47" s="179" t="s">
        <v>83</v>
      </c>
      <c r="AG47" s="179" t="s">
        <v>83</v>
      </c>
      <c r="AH47" s="179" t="s">
        <v>83</v>
      </c>
      <c r="AI47" s="179" t="s">
        <v>83</v>
      </c>
      <c r="AJ47" s="179">
        <v>0</v>
      </c>
      <c r="AK47" s="179">
        <v>0</v>
      </c>
      <c r="AL47" s="179">
        <f>0.1*$AL$2</f>
        <v>7.5000000000000002E-4</v>
      </c>
      <c r="AM47" s="179">
        <f>AM42</f>
        <v>2.7E-2</v>
      </c>
      <c r="AN47" s="179">
        <f>ROUNDUP(AN42/3,0)</f>
        <v>1</v>
      </c>
      <c r="AQ47" s="182">
        <f>AM47*I47*0.1+AL47</f>
        <v>0.5353500000000001</v>
      </c>
      <c r="AR47" s="182">
        <f t="shared" si="47"/>
        <v>5.3535000000000013E-2</v>
      </c>
      <c r="AS47" s="183">
        <f t="shared" si="48"/>
        <v>0</v>
      </c>
      <c r="AT47" s="183">
        <f t="shared" si="49"/>
        <v>0.14722125000000003</v>
      </c>
      <c r="AU47" s="182">
        <f>1333*J46*POWER(10,-6)</f>
        <v>0.263934</v>
      </c>
      <c r="AV47" s="183">
        <f t="shared" si="50"/>
        <v>1.0000402500000001</v>
      </c>
      <c r="AW47" s="184">
        <f t="shared" si="51"/>
        <v>0</v>
      </c>
      <c r="AX47" s="184">
        <f t="shared" si="52"/>
        <v>0</v>
      </c>
      <c r="AY47" s="184">
        <f t="shared" si="53"/>
        <v>8.5503441375000009E-5</v>
      </c>
    </row>
    <row r="48" spans="1:51" s="179" customFormat="1" x14ac:dyDescent="0.3">
      <c r="A48" s="180"/>
      <c r="B48" s="180"/>
      <c r="D48" s="271"/>
      <c r="E48" s="272"/>
      <c r="F48" s="273"/>
      <c r="G48" s="180"/>
      <c r="H48" s="184"/>
      <c r="I48" s="183"/>
      <c r="J48" s="180"/>
      <c r="K48" s="180"/>
      <c r="L48" s="180"/>
      <c r="AQ48" s="182"/>
      <c r="AR48" s="182"/>
      <c r="AS48" s="183"/>
      <c r="AT48" s="183"/>
      <c r="AU48" s="182"/>
      <c r="AV48" s="183"/>
      <c r="AW48" s="184"/>
      <c r="AX48" s="184"/>
      <c r="AY48" s="184"/>
    </row>
    <row r="49" spans="1:51" s="179" customFormat="1" x14ac:dyDescent="0.3">
      <c r="A49" s="180"/>
      <c r="B49" s="180"/>
      <c r="D49" s="271"/>
      <c r="E49" s="272"/>
      <c r="F49" s="273"/>
      <c r="G49" s="180"/>
      <c r="H49" s="184"/>
      <c r="I49" s="183"/>
      <c r="J49" s="180"/>
      <c r="K49" s="180"/>
      <c r="L49" s="180"/>
      <c r="AQ49" s="182"/>
      <c r="AR49" s="182"/>
      <c r="AS49" s="183"/>
      <c r="AT49" s="183"/>
      <c r="AU49" s="182"/>
      <c r="AV49" s="183"/>
      <c r="AW49" s="184"/>
      <c r="AX49" s="184"/>
      <c r="AY49" s="184"/>
    </row>
    <row r="50" spans="1:51" s="179" customFormat="1" x14ac:dyDescent="0.3">
      <c r="A50" s="180"/>
      <c r="B50" s="180"/>
      <c r="D50" s="271"/>
      <c r="E50" s="272"/>
      <c r="F50" s="273"/>
      <c r="G50" s="180"/>
      <c r="H50" s="184"/>
      <c r="I50" s="183"/>
      <c r="J50" s="180"/>
      <c r="K50" s="180"/>
      <c r="L50" s="180"/>
      <c r="AQ50" s="182"/>
      <c r="AR50" s="182"/>
      <c r="AS50" s="183"/>
      <c r="AT50" s="183"/>
      <c r="AU50" s="182"/>
      <c r="AV50" s="183"/>
      <c r="AW50" s="184"/>
      <c r="AX50" s="184"/>
      <c r="AY50" s="184"/>
    </row>
    <row r="51" spans="1:51" ht="15" thickBot="1" x14ac:dyDescent="0.35"/>
    <row r="52" spans="1:51" ht="15" thickBot="1" x14ac:dyDescent="0.35">
      <c r="A52" s="48" t="s">
        <v>18</v>
      </c>
      <c r="B52" s="150" t="s">
        <v>595</v>
      </c>
      <c r="C52" s="166" t="s">
        <v>159</v>
      </c>
      <c r="D52" s="49" t="s">
        <v>59</v>
      </c>
      <c r="E52" s="153">
        <v>9.9999999999999995E-8</v>
      </c>
      <c r="F52" s="150">
        <v>257</v>
      </c>
      <c r="G52" s="48">
        <v>0.2</v>
      </c>
      <c r="H52" s="50">
        <f t="shared" ref="H52:H57" si="54">E52*F52*G52</f>
        <v>5.1399999999999999E-6</v>
      </c>
      <c r="I52" s="151">
        <v>3.51</v>
      </c>
      <c r="J52" s="149">
        <f>I52</f>
        <v>3.51</v>
      </c>
      <c r="K52" s="159" t="s">
        <v>175</v>
      </c>
      <c r="L52" s="164">
        <v>350</v>
      </c>
      <c r="M52" s="92" t="str">
        <f t="shared" ref="M52:N57" si="55">A52</f>
        <v>С1</v>
      </c>
      <c r="N52" s="92" t="str">
        <f t="shared" si="55"/>
        <v>Трубопровод рег. №1038</v>
      </c>
      <c r="O52" s="92" t="str">
        <f t="shared" ref="O52:O57" si="56">D52</f>
        <v>Полное-пожар</v>
      </c>
      <c r="P52" s="92">
        <v>17.100000000000001</v>
      </c>
      <c r="Q52" s="92">
        <v>23.5</v>
      </c>
      <c r="R52" s="92">
        <v>33.1</v>
      </c>
      <c r="S52" s="92">
        <v>61.2</v>
      </c>
      <c r="T52" s="92" t="s">
        <v>83</v>
      </c>
      <c r="U52" s="92" t="s">
        <v>83</v>
      </c>
      <c r="V52" s="92" t="s">
        <v>83</v>
      </c>
      <c r="W52" s="92" t="s">
        <v>83</v>
      </c>
      <c r="X52" s="92" t="s">
        <v>83</v>
      </c>
      <c r="Y52" s="92" t="s">
        <v>83</v>
      </c>
      <c r="Z52" s="92" t="s">
        <v>83</v>
      </c>
      <c r="AA52" s="92" t="s">
        <v>83</v>
      </c>
      <c r="AB52" s="92" t="s">
        <v>83</v>
      </c>
      <c r="AC52" s="92" t="s">
        <v>83</v>
      </c>
      <c r="AD52" s="92" t="s">
        <v>83</v>
      </c>
      <c r="AE52" s="92" t="s">
        <v>83</v>
      </c>
      <c r="AF52" s="92" t="s">
        <v>83</v>
      </c>
      <c r="AG52" s="92" t="s">
        <v>83</v>
      </c>
      <c r="AH52" s="92" t="s">
        <v>83</v>
      </c>
      <c r="AI52" s="92" t="s">
        <v>83</v>
      </c>
      <c r="AJ52" s="52">
        <v>1</v>
      </c>
      <c r="AK52" s="52">
        <v>2</v>
      </c>
      <c r="AL52" s="152">
        <v>0.75</v>
      </c>
      <c r="AM52" s="152">
        <v>2.7E-2</v>
      </c>
      <c r="AN52" s="152">
        <v>3</v>
      </c>
      <c r="AO52" s="92"/>
      <c r="AP52" s="92"/>
      <c r="AQ52" s="93">
        <f>AM52*I52+AL52</f>
        <v>0.84477000000000002</v>
      </c>
      <c r="AR52" s="93">
        <f t="shared" ref="AR52:AR57" si="57">0.1*AQ52</f>
        <v>8.447700000000001E-2</v>
      </c>
      <c r="AS52" s="94">
        <f t="shared" ref="AS52:AS57" si="58">AJ52*3+0.25*AK52</f>
        <v>3.5</v>
      </c>
      <c r="AT52" s="94">
        <f t="shared" ref="AT52:AT57" si="59">SUM(AQ52:AS52)/4</f>
        <v>1.10731175</v>
      </c>
      <c r="AU52" s="93">
        <f>10068.2*J52*POWER(10,-6)</f>
        <v>3.5339381999999996E-2</v>
      </c>
      <c r="AV52" s="94">
        <f t="shared" ref="AV52:AV57" si="60">AU52+AT52+AS52+AR52+AQ52</f>
        <v>5.5718981319999994</v>
      </c>
      <c r="AW52" s="95">
        <f t="shared" ref="AW52:AW57" si="61">AJ52*H52</f>
        <v>5.1399999999999999E-6</v>
      </c>
      <c r="AX52" s="95">
        <f t="shared" ref="AX52:AX57" si="62">H52*AK52</f>
        <v>1.028E-5</v>
      </c>
      <c r="AY52" s="95">
        <f t="shared" ref="AY52:AY57" si="63">H52*AV52</f>
        <v>2.8639556398479995E-5</v>
      </c>
    </row>
    <row r="53" spans="1:51" ht="15" thickBot="1" x14ac:dyDescent="0.35">
      <c r="A53" s="48" t="s">
        <v>19</v>
      </c>
      <c r="B53" s="48" t="str">
        <f>B52</f>
        <v>Трубопровод рег. №1038</v>
      </c>
      <c r="C53" s="166" t="s">
        <v>174</v>
      </c>
      <c r="D53" s="49" t="s">
        <v>59</v>
      </c>
      <c r="E53" s="154">
        <f>E52</f>
        <v>9.9999999999999995E-8</v>
      </c>
      <c r="F53" s="155">
        <f>F52</f>
        <v>257</v>
      </c>
      <c r="G53" s="48">
        <v>0.04</v>
      </c>
      <c r="H53" s="50">
        <f t="shared" si="54"/>
        <v>1.0279999999999999E-6</v>
      </c>
      <c r="I53" s="149">
        <f>I52</f>
        <v>3.51</v>
      </c>
      <c r="J53" s="149">
        <f>I52</f>
        <v>3.51</v>
      </c>
      <c r="K53" s="159" t="s">
        <v>176</v>
      </c>
      <c r="L53" s="164">
        <v>0</v>
      </c>
      <c r="M53" s="92" t="str">
        <f t="shared" si="55"/>
        <v>С2</v>
      </c>
      <c r="N53" s="92" t="str">
        <f t="shared" si="55"/>
        <v>Трубопровод рег. №1038</v>
      </c>
      <c r="O53" s="92" t="str">
        <f t="shared" si="56"/>
        <v>Полное-пожар</v>
      </c>
      <c r="P53" s="92">
        <v>17.100000000000001</v>
      </c>
      <c r="Q53" s="92">
        <v>23.5</v>
      </c>
      <c r="R53" s="92">
        <v>33.1</v>
      </c>
      <c r="S53" s="92">
        <v>61.2</v>
      </c>
      <c r="T53" s="92" t="s">
        <v>83</v>
      </c>
      <c r="U53" s="92" t="s">
        <v>83</v>
      </c>
      <c r="V53" s="92" t="s">
        <v>83</v>
      </c>
      <c r="W53" s="92" t="s">
        <v>83</v>
      </c>
      <c r="X53" s="92" t="s">
        <v>83</v>
      </c>
      <c r="Y53" s="92" t="s">
        <v>83</v>
      </c>
      <c r="Z53" s="92" t="s">
        <v>83</v>
      </c>
      <c r="AA53" s="92" t="s">
        <v>83</v>
      </c>
      <c r="AB53" s="92" t="s">
        <v>83</v>
      </c>
      <c r="AC53" s="92" t="s">
        <v>83</v>
      </c>
      <c r="AD53" s="92" t="s">
        <v>83</v>
      </c>
      <c r="AE53" s="92" t="s">
        <v>83</v>
      </c>
      <c r="AF53" s="92" t="s">
        <v>83</v>
      </c>
      <c r="AG53" s="92" t="s">
        <v>83</v>
      </c>
      <c r="AH53" s="92" t="s">
        <v>83</v>
      </c>
      <c r="AI53" s="92" t="s">
        <v>83</v>
      </c>
      <c r="AJ53" s="52">
        <v>2</v>
      </c>
      <c r="AK53" s="52">
        <v>2</v>
      </c>
      <c r="AL53" s="92">
        <f>AL52</f>
        <v>0.75</v>
      </c>
      <c r="AM53" s="92">
        <f>AM52</f>
        <v>2.7E-2</v>
      </c>
      <c r="AN53" s="92">
        <f>AN52</f>
        <v>3</v>
      </c>
      <c r="AO53" s="92"/>
      <c r="AP53" s="92"/>
      <c r="AQ53" s="93">
        <f>AM53*I53+AL53</f>
        <v>0.84477000000000002</v>
      </c>
      <c r="AR53" s="93">
        <f t="shared" si="57"/>
        <v>8.447700000000001E-2</v>
      </c>
      <c r="AS53" s="94">
        <f t="shared" si="58"/>
        <v>6.5</v>
      </c>
      <c r="AT53" s="94">
        <f t="shared" si="59"/>
        <v>1.85731175</v>
      </c>
      <c r="AU53" s="93">
        <f>10068.2*J53*POWER(10,-6)*10</f>
        <v>0.35339381999999997</v>
      </c>
      <c r="AV53" s="94">
        <f t="shared" si="60"/>
        <v>9.6399525700000002</v>
      </c>
      <c r="AW53" s="95">
        <f t="shared" si="61"/>
        <v>2.0559999999999999E-6</v>
      </c>
      <c r="AX53" s="95">
        <f t="shared" si="62"/>
        <v>2.0559999999999999E-6</v>
      </c>
      <c r="AY53" s="95">
        <f t="shared" si="63"/>
        <v>9.90987124196E-6</v>
      </c>
    </row>
    <row r="54" spans="1:51" x14ac:dyDescent="0.3">
      <c r="A54" s="48" t="s">
        <v>20</v>
      </c>
      <c r="B54" s="48" t="str">
        <f>B52</f>
        <v>Трубопровод рег. №1038</v>
      </c>
      <c r="C54" s="166" t="s">
        <v>161</v>
      </c>
      <c r="D54" s="49" t="s">
        <v>60</v>
      </c>
      <c r="E54" s="154">
        <f>E52</f>
        <v>9.9999999999999995E-8</v>
      </c>
      <c r="F54" s="155">
        <f>F52</f>
        <v>257</v>
      </c>
      <c r="G54" s="48">
        <v>0.76</v>
      </c>
      <c r="H54" s="50">
        <f t="shared" si="54"/>
        <v>1.9531999999999999E-5</v>
      </c>
      <c r="I54" s="149">
        <f>I52</f>
        <v>3.51</v>
      </c>
      <c r="J54" s="48">
        <v>0</v>
      </c>
      <c r="K54" s="159" t="s">
        <v>177</v>
      </c>
      <c r="L54" s="164">
        <v>0</v>
      </c>
      <c r="M54" s="92" t="str">
        <f t="shared" si="55"/>
        <v>С3</v>
      </c>
      <c r="N54" s="92" t="str">
        <f t="shared" si="55"/>
        <v>Трубопровод рег. №1038</v>
      </c>
      <c r="O54" s="92" t="str">
        <f t="shared" si="56"/>
        <v>Полное-ликвидация</v>
      </c>
      <c r="P54" s="92" t="s">
        <v>83</v>
      </c>
      <c r="Q54" s="92" t="s">
        <v>83</v>
      </c>
      <c r="R54" s="92" t="s">
        <v>83</v>
      </c>
      <c r="S54" s="92" t="s">
        <v>83</v>
      </c>
      <c r="T54" s="92" t="s">
        <v>83</v>
      </c>
      <c r="U54" s="92" t="s">
        <v>83</v>
      </c>
      <c r="V54" s="92" t="s">
        <v>83</v>
      </c>
      <c r="W54" s="92" t="s">
        <v>83</v>
      </c>
      <c r="X54" s="92" t="s">
        <v>83</v>
      </c>
      <c r="Y54" s="92" t="s">
        <v>83</v>
      </c>
      <c r="Z54" s="92" t="s">
        <v>83</v>
      </c>
      <c r="AA54" s="92" t="s">
        <v>83</v>
      </c>
      <c r="AB54" s="92" t="s">
        <v>83</v>
      </c>
      <c r="AC54" s="92" t="s">
        <v>83</v>
      </c>
      <c r="AD54" s="92" t="s">
        <v>83</v>
      </c>
      <c r="AE54" s="92" t="s">
        <v>83</v>
      </c>
      <c r="AF54" s="92" t="s">
        <v>83</v>
      </c>
      <c r="AG54" s="92" t="s">
        <v>83</v>
      </c>
      <c r="AH54" s="92" t="s">
        <v>83</v>
      </c>
      <c r="AI54" s="92" t="s">
        <v>83</v>
      </c>
      <c r="AJ54" s="92">
        <v>0</v>
      </c>
      <c r="AK54" s="92">
        <v>0</v>
      </c>
      <c r="AL54" s="92">
        <f>AL52</f>
        <v>0.75</v>
      </c>
      <c r="AM54" s="92">
        <f>AM52</f>
        <v>2.7E-2</v>
      </c>
      <c r="AN54" s="92">
        <f>AN52</f>
        <v>3</v>
      </c>
      <c r="AO54" s="92"/>
      <c r="AP54" s="92"/>
      <c r="AQ54" s="93">
        <f>AM54*I54*0.1+AL54</f>
        <v>0.75947699999999996</v>
      </c>
      <c r="AR54" s="93">
        <f t="shared" si="57"/>
        <v>7.5947700000000007E-2</v>
      </c>
      <c r="AS54" s="94">
        <f t="shared" si="58"/>
        <v>0</v>
      </c>
      <c r="AT54" s="94">
        <f t="shared" si="59"/>
        <v>0.20885617499999998</v>
      </c>
      <c r="AU54" s="93">
        <f>1333*J53*POWER(10,-6)</f>
        <v>4.6788300000000001E-3</v>
      </c>
      <c r="AV54" s="94">
        <f t="shared" si="60"/>
        <v>1.0489597049999999</v>
      </c>
      <c r="AW54" s="95">
        <f t="shared" si="61"/>
        <v>0</v>
      </c>
      <c r="AX54" s="95">
        <f t="shared" si="62"/>
        <v>0</v>
      </c>
      <c r="AY54" s="95">
        <f t="shared" si="63"/>
        <v>2.0488280958059997E-5</v>
      </c>
    </row>
    <row r="55" spans="1:51" x14ac:dyDescent="0.3">
      <c r="A55" s="48" t="s">
        <v>21</v>
      </c>
      <c r="B55" s="48" t="str">
        <f>B52</f>
        <v>Трубопровод рег. №1038</v>
      </c>
      <c r="C55" s="166" t="s">
        <v>162</v>
      </c>
      <c r="D55" s="49" t="s">
        <v>84</v>
      </c>
      <c r="E55" s="153">
        <v>5.0000000000000004E-6</v>
      </c>
      <c r="F55" s="155">
        <f>F52</f>
        <v>257</v>
      </c>
      <c r="G55" s="48">
        <v>0.2</v>
      </c>
      <c r="H55" s="50">
        <f t="shared" si="54"/>
        <v>2.5700000000000001E-4</v>
      </c>
      <c r="I55" s="149">
        <f>0.15*I52</f>
        <v>0.52649999999999997</v>
      </c>
      <c r="J55" s="149">
        <f>I55</f>
        <v>0.52649999999999997</v>
      </c>
      <c r="K55" s="161" t="s">
        <v>179</v>
      </c>
      <c r="L55" s="165">
        <v>45390</v>
      </c>
      <c r="M55" s="92" t="str">
        <f t="shared" si="55"/>
        <v>С4</v>
      </c>
      <c r="N55" s="92" t="str">
        <f t="shared" si="55"/>
        <v>Трубопровод рег. №1038</v>
      </c>
      <c r="O55" s="92" t="str">
        <f t="shared" si="56"/>
        <v>Частичное-пожар</v>
      </c>
      <c r="P55" s="92">
        <v>12.8</v>
      </c>
      <c r="Q55" s="92">
        <v>16.399999999999999</v>
      </c>
      <c r="R55" s="92">
        <v>21.7</v>
      </c>
      <c r="S55" s="92">
        <v>37.299999999999997</v>
      </c>
      <c r="T55" s="92" t="s">
        <v>83</v>
      </c>
      <c r="U55" s="92" t="s">
        <v>83</v>
      </c>
      <c r="V55" s="92" t="s">
        <v>83</v>
      </c>
      <c r="W55" s="92" t="s">
        <v>83</v>
      </c>
      <c r="X55" s="92" t="s">
        <v>83</v>
      </c>
      <c r="Y55" s="92" t="s">
        <v>83</v>
      </c>
      <c r="Z55" s="92" t="s">
        <v>83</v>
      </c>
      <c r="AA55" s="92" t="s">
        <v>83</v>
      </c>
      <c r="AB55" s="92" t="s">
        <v>83</v>
      </c>
      <c r="AC55" s="92" t="s">
        <v>83</v>
      </c>
      <c r="AD55" s="92" t="s">
        <v>83</v>
      </c>
      <c r="AE55" s="92" t="s">
        <v>83</v>
      </c>
      <c r="AF55" s="92" t="s">
        <v>83</v>
      </c>
      <c r="AG55" s="92" t="s">
        <v>83</v>
      </c>
      <c r="AH55" s="92" t="s">
        <v>83</v>
      </c>
      <c r="AI55" s="92" t="s">
        <v>83</v>
      </c>
      <c r="AJ55" s="92">
        <v>0</v>
      </c>
      <c r="AK55" s="92">
        <v>2</v>
      </c>
      <c r="AL55" s="92">
        <f>0.1*$AL$2</f>
        <v>7.5000000000000002E-4</v>
      </c>
      <c r="AM55" s="92">
        <f>AM52</f>
        <v>2.7E-2</v>
      </c>
      <c r="AN55" s="92">
        <f>ROUNDUP(AN52/3,0)</f>
        <v>1</v>
      </c>
      <c r="AO55" s="92"/>
      <c r="AP55" s="92"/>
      <c r="AQ55" s="93">
        <f>AM55*I55+AL55</f>
        <v>1.49655E-2</v>
      </c>
      <c r="AR55" s="93">
        <f t="shared" si="57"/>
        <v>1.4965500000000001E-3</v>
      </c>
      <c r="AS55" s="94">
        <f t="shared" si="58"/>
        <v>0.5</v>
      </c>
      <c r="AT55" s="94">
        <f t="shared" si="59"/>
        <v>0.1291155125</v>
      </c>
      <c r="AU55" s="93">
        <f>10068.2*J55*POWER(10,-6)</f>
        <v>5.3009072999999993E-3</v>
      </c>
      <c r="AV55" s="94">
        <f t="shared" si="60"/>
        <v>0.65087846979999997</v>
      </c>
      <c r="AW55" s="95">
        <f t="shared" si="61"/>
        <v>0</v>
      </c>
      <c r="AX55" s="95">
        <f t="shared" si="62"/>
        <v>5.1400000000000003E-4</v>
      </c>
      <c r="AY55" s="95">
        <f t="shared" si="63"/>
        <v>1.6727576673860001E-4</v>
      </c>
    </row>
    <row r="56" spans="1:51" x14ac:dyDescent="0.3">
      <c r="A56" s="48" t="s">
        <v>22</v>
      </c>
      <c r="B56" s="48" t="str">
        <f>B52</f>
        <v>Трубопровод рег. №1038</v>
      </c>
      <c r="C56" s="166" t="s">
        <v>190</v>
      </c>
      <c r="D56" s="49" t="s">
        <v>84</v>
      </c>
      <c r="E56" s="154">
        <f>E55</f>
        <v>5.0000000000000004E-6</v>
      </c>
      <c r="F56" s="155">
        <f>F52</f>
        <v>257</v>
      </c>
      <c r="G56" s="48">
        <v>0.04</v>
      </c>
      <c r="H56" s="50">
        <f t="shared" si="54"/>
        <v>5.1400000000000003E-5</v>
      </c>
      <c r="I56" s="149">
        <f>0.15*I52</f>
        <v>0.52649999999999997</v>
      </c>
      <c r="J56" s="149">
        <f>I55</f>
        <v>0.52649999999999997</v>
      </c>
      <c r="K56" s="161" t="s">
        <v>180</v>
      </c>
      <c r="L56" s="165">
        <v>3</v>
      </c>
      <c r="M56" s="92" t="str">
        <f t="shared" si="55"/>
        <v>С5</v>
      </c>
      <c r="N56" s="92" t="str">
        <f t="shared" si="55"/>
        <v>Трубопровод рег. №1038</v>
      </c>
      <c r="O56" s="92" t="str">
        <f t="shared" si="56"/>
        <v>Частичное-пожар</v>
      </c>
      <c r="P56" s="92">
        <v>12.8</v>
      </c>
      <c r="Q56" s="92">
        <v>16.399999999999999</v>
      </c>
      <c r="R56" s="92">
        <v>21.7</v>
      </c>
      <c r="S56" s="92">
        <v>37.299999999999997</v>
      </c>
      <c r="T56" s="92" t="s">
        <v>83</v>
      </c>
      <c r="U56" s="92" t="s">
        <v>83</v>
      </c>
      <c r="V56" s="92" t="s">
        <v>83</v>
      </c>
      <c r="W56" s="92" t="s">
        <v>83</v>
      </c>
      <c r="X56" s="92" t="s">
        <v>83</v>
      </c>
      <c r="Y56" s="92" t="s">
        <v>83</v>
      </c>
      <c r="Z56" s="92" t="s">
        <v>83</v>
      </c>
      <c r="AA56" s="92" t="s">
        <v>83</v>
      </c>
      <c r="AB56" s="92" t="s">
        <v>83</v>
      </c>
      <c r="AC56" s="92" t="s">
        <v>83</v>
      </c>
      <c r="AD56" s="92" t="s">
        <v>83</v>
      </c>
      <c r="AE56" s="92" t="s">
        <v>83</v>
      </c>
      <c r="AF56" s="92" t="s">
        <v>83</v>
      </c>
      <c r="AG56" s="92" t="s">
        <v>83</v>
      </c>
      <c r="AH56" s="92" t="s">
        <v>83</v>
      </c>
      <c r="AI56" s="92" t="s">
        <v>83</v>
      </c>
      <c r="AJ56" s="92">
        <v>0</v>
      </c>
      <c r="AK56" s="92">
        <v>1</v>
      </c>
      <c r="AL56" s="92">
        <f>0.1*$AL$2</f>
        <v>7.5000000000000002E-4</v>
      </c>
      <c r="AM56" s="92">
        <f>AM52</f>
        <v>2.7E-2</v>
      </c>
      <c r="AN56" s="92">
        <f>ROUNDUP(AN52/3,0)</f>
        <v>1</v>
      </c>
      <c r="AO56" s="92"/>
      <c r="AP56" s="92"/>
      <c r="AQ56" s="93">
        <f>AM56*I56+AL56</f>
        <v>1.49655E-2</v>
      </c>
      <c r="AR56" s="93">
        <f t="shared" si="57"/>
        <v>1.4965500000000001E-3</v>
      </c>
      <c r="AS56" s="94">
        <f t="shared" si="58"/>
        <v>0.25</v>
      </c>
      <c r="AT56" s="94">
        <f t="shared" si="59"/>
        <v>6.6615512500000001E-2</v>
      </c>
      <c r="AU56" s="93">
        <f>10068.2*J56*POWER(10,-6)*10</f>
        <v>5.300907299999999E-2</v>
      </c>
      <c r="AV56" s="94">
        <f t="shared" si="60"/>
        <v>0.3860866355</v>
      </c>
      <c r="AW56" s="95">
        <f t="shared" si="61"/>
        <v>0</v>
      </c>
      <c r="AX56" s="95">
        <f t="shared" si="62"/>
        <v>5.1400000000000003E-5</v>
      </c>
      <c r="AY56" s="95">
        <f t="shared" si="63"/>
        <v>1.98448530647E-5</v>
      </c>
    </row>
    <row r="57" spans="1:51" ht="15" thickBot="1" x14ac:dyDescent="0.35">
      <c r="A57" s="48" t="s">
        <v>23</v>
      </c>
      <c r="B57" s="48" t="str">
        <f>B52</f>
        <v>Трубопровод рег. №1038</v>
      </c>
      <c r="C57" s="166" t="s">
        <v>164</v>
      </c>
      <c r="D57" s="49" t="s">
        <v>61</v>
      </c>
      <c r="E57" s="154">
        <f>E55</f>
        <v>5.0000000000000004E-6</v>
      </c>
      <c r="F57" s="155">
        <f>F52</f>
        <v>257</v>
      </c>
      <c r="G57" s="48">
        <v>0.76</v>
      </c>
      <c r="H57" s="50">
        <f t="shared" si="54"/>
        <v>9.7659999999999999E-4</v>
      </c>
      <c r="I57" s="149">
        <f>0.15*I52</f>
        <v>0.52649999999999997</v>
      </c>
      <c r="J57" s="48">
        <v>0</v>
      </c>
      <c r="K57" s="162" t="s">
        <v>191</v>
      </c>
      <c r="L57" s="168">
        <v>3</v>
      </c>
      <c r="M57" s="92" t="str">
        <f t="shared" si="55"/>
        <v>С6</v>
      </c>
      <c r="N57" s="92" t="str">
        <f t="shared" si="55"/>
        <v>Трубопровод рег. №1038</v>
      </c>
      <c r="O57" s="92" t="str">
        <f t="shared" si="56"/>
        <v>Частичное-ликвидация</v>
      </c>
      <c r="P57" s="92" t="s">
        <v>83</v>
      </c>
      <c r="Q57" s="92" t="s">
        <v>83</v>
      </c>
      <c r="R57" s="92" t="s">
        <v>83</v>
      </c>
      <c r="S57" s="92" t="s">
        <v>83</v>
      </c>
      <c r="T57" s="92" t="s">
        <v>83</v>
      </c>
      <c r="U57" s="92" t="s">
        <v>83</v>
      </c>
      <c r="V57" s="92" t="s">
        <v>83</v>
      </c>
      <c r="W57" s="92" t="s">
        <v>83</v>
      </c>
      <c r="X57" s="92" t="s">
        <v>83</v>
      </c>
      <c r="Y57" s="92" t="s">
        <v>83</v>
      </c>
      <c r="Z57" s="92" t="s">
        <v>83</v>
      </c>
      <c r="AA57" s="92" t="s">
        <v>83</v>
      </c>
      <c r="AB57" s="92" t="s">
        <v>83</v>
      </c>
      <c r="AC57" s="92" t="s">
        <v>83</v>
      </c>
      <c r="AD57" s="92" t="s">
        <v>83</v>
      </c>
      <c r="AE57" s="92" t="s">
        <v>83</v>
      </c>
      <c r="AF57" s="92" t="s">
        <v>83</v>
      </c>
      <c r="AG57" s="92" t="s">
        <v>83</v>
      </c>
      <c r="AH57" s="92" t="s">
        <v>83</v>
      </c>
      <c r="AI57" s="92" t="s">
        <v>83</v>
      </c>
      <c r="AJ57" s="92">
        <v>0</v>
      </c>
      <c r="AK57" s="92">
        <v>0</v>
      </c>
      <c r="AL57" s="92">
        <f>0.1*$AL$2</f>
        <v>7.5000000000000002E-4</v>
      </c>
      <c r="AM57" s="92">
        <f>AM52</f>
        <v>2.7E-2</v>
      </c>
      <c r="AN57" s="92">
        <f>ROUNDUP(AN52/3,0)</f>
        <v>1</v>
      </c>
      <c r="AO57" s="92"/>
      <c r="AP57" s="92"/>
      <c r="AQ57" s="93">
        <f>AM57*I57*0.1+AL57</f>
        <v>2.17155E-3</v>
      </c>
      <c r="AR57" s="93">
        <f t="shared" si="57"/>
        <v>2.1715500000000002E-4</v>
      </c>
      <c r="AS57" s="94">
        <f t="shared" si="58"/>
        <v>0</v>
      </c>
      <c r="AT57" s="94">
        <f t="shared" si="59"/>
        <v>5.9717625000000002E-4</v>
      </c>
      <c r="AU57" s="93">
        <f>1333*J56*POWER(10,-6)</f>
        <v>7.0182449999999993E-4</v>
      </c>
      <c r="AV57" s="94">
        <f t="shared" si="60"/>
        <v>3.6877057499999999E-3</v>
      </c>
      <c r="AW57" s="95">
        <f t="shared" si="61"/>
        <v>0</v>
      </c>
      <c r="AX57" s="95">
        <f t="shared" si="62"/>
        <v>0</v>
      </c>
      <c r="AY57" s="95">
        <f t="shared" si="63"/>
        <v>3.6014134354499999E-6</v>
      </c>
    </row>
    <row r="58" spans="1:51" x14ac:dyDescent="0.3">
      <c r="A58" s="48"/>
      <c r="B58" s="48"/>
      <c r="C58" s="166"/>
      <c r="D58" s="49"/>
      <c r="E58" s="154"/>
      <c r="F58" s="155"/>
      <c r="G58" s="48"/>
      <c r="H58" s="50"/>
      <c r="I58" s="149"/>
      <c r="J58" s="48"/>
      <c r="K58" s="278"/>
      <c r="L58" s="279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3"/>
      <c r="AR58" s="93"/>
      <c r="AS58" s="94"/>
      <c r="AT58" s="94"/>
      <c r="AU58" s="93"/>
      <c r="AV58" s="94"/>
      <c r="AW58" s="95"/>
      <c r="AX58" s="95"/>
      <c r="AY58" s="95"/>
    </row>
    <row r="59" spans="1:51" s="267" customForma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</row>
    <row r="60" spans="1:51" s="267" customForma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</row>
    <row r="61" spans="1:51" ht="15" thickBot="1" x14ac:dyDescent="0.35"/>
    <row r="62" spans="1:51" ht="15" thickBot="1" x14ac:dyDescent="0.35">
      <c r="A62" s="48" t="s">
        <v>18</v>
      </c>
      <c r="B62" s="150" t="s">
        <v>598</v>
      </c>
      <c r="C62" s="166" t="s">
        <v>159</v>
      </c>
      <c r="D62" s="49" t="s">
        <v>59</v>
      </c>
      <c r="E62" s="153">
        <v>9.9999999999999995E-8</v>
      </c>
      <c r="F62" s="150">
        <v>1250</v>
      </c>
      <c r="G62" s="48">
        <v>0.2</v>
      </c>
      <c r="H62" s="50">
        <f t="shared" ref="H62:H67" si="64">E62*F62*G62</f>
        <v>2.5000000000000001E-5</v>
      </c>
      <c r="I62" s="151">
        <v>25.31</v>
      </c>
      <c r="J62" s="149">
        <f>I62</f>
        <v>25.31</v>
      </c>
      <c r="K62" s="159" t="s">
        <v>175</v>
      </c>
      <c r="L62" s="164">
        <f>J62*20</f>
        <v>506.2</v>
      </c>
      <c r="M62" s="92" t="str">
        <f t="shared" ref="M62:M67" si="65">A62</f>
        <v>С1</v>
      </c>
      <c r="N62" s="92" t="str">
        <f t="shared" ref="N62:N67" si="66">B62</f>
        <v>Трубопровод дизельного топлива на пуск рег.№1029</v>
      </c>
      <c r="O62" s="92" t="str">
        <f t="shared" ref="O62:O67" si="67">D62</f>
        <v>Полное-пожар</v>
      </c>
      <c r="P62" s="92">
        <v>17.100000000000001</v>
      </c>
      <c r="Q62" s="92">
        <v>23.5</v>
      </c>
      <c r="R62" s="92">
        <v>33.1</v>
      </c>
      <c r="S62" s="92">
        <v>61.2</v>
      </c>
      <c r="T62" s="92" t="s">
        <v>83</v>
      </c>
      <c r="U62" s="92" t="s">
        <v>83</v>
      </c>
      <c r="V62" s="92" t="s">
        <v>83</v>
      </c>
      <c r="W62" s="92" t="s">
        <v>83</v>
      </c>
      <c r="X62" s="92" t="s">
        <v>83</v>
      </c>
      <c r="Y62" s="92" t="s">
        <v>83</v>
      </c>
      <c r="Z62" s="92" t="s">
        <v>83</v>
      </c>
      <c r="AA62" s="92" t="s">
        <v>83</v>
      </c>
      <c r="AB62" s="92" t="s">
        <v>83</v>
      </c>
      <c r="AC62" s="92" t="s">
        <v>83</v>
      </c>
      <c r="AD62" s="92" t="s">
        <v>83</v>
      </c>
      <c r="AE62" s="92" t="s">
        <v>83</v>
      </c>
      <c r="AF62" s="92" t="s">
        <v>83</v>
      </c>
      <c r="AG62" s="92" t="s">
        <v>83</v>
      </c>
      <c r="AH62" s="92" t="s">
        <v>83</v>
      </c>
      <c r="AI62" s="92" t="s">
        <v>83</v>
      </c>
      <c r="AJ62" s="52">
        <v>1</v>
      </c>
      <c r="AK62" s="52">
        <v>2</v>
      </c>
      <c r="AL62" s="152">
        <v>0.75</v>
      </c>
      <c r="AM62" s="152">
        <v>2.7E-2</v>
      </c>
      <c r="AN62" s="152">
        <v>3</v>
      </c>
      <c r="AO62" s="92"/>
      <c r="AP62" s="92"/>
      <c r="AQ62" s="93">
        <f>AM62*I62+AL62</f>
        <v>1.43337</v>
      </c>
      <c r="AR62" s="93">
        <f t="shared" ref="AR62:AR67" si="68">0.1*AQ62</f>
        <v>0.14333700000000002</v>
      </c>
      <c r="AS62" s="94">
        <f t="shared" ref="AS62:AS67" si="69">AJ62*3+0.25*AK62</f>
        <v>3.5</v>
      </c>
      <c r="AT62" s="94">
        <f t="shared" ref="AT62:AT67" si="70">SUM(AQ62:AS62)/4</f>
        <v>1.26917675</v>
      </c>
      <c r="AU62" s="93">
        <f>10068.2*J62*POWER(10,-6)</f>
        <v>0.25482614199999998</v>
      </c>
      <c r="AV62" s="94">
        <f t="shared" ref="AV62:AV67" si="71">AU62+AT62+AS62+AR62+AQ62</f>
        <v>6.6007098920000002</v>
      </c>
      <c r="AW62" s="95">
        <f t="shared" ref="AW62:AW67" si="72">AJ62*H62</f>
        <v>2.5000000000000001E-5</v>
      </c>
      <c r="AX62" s="95">
        <f t="shared" ref="AX62:AX67" si="73">H62*AK62</f>
        <v>5.0000000000000002E-5</v>
      </c>
      <c r="AY62" s="95">
        <f t="shared" ref="AY62:AY67" si="74">H62*AV62</f>
        <v>1.6501774730000001E-4</v>
      </c>
    </row>
    <row r="63" spans="1:51" ht="15" thickBot="1" x14ac:dyDescent="0.35">
      <c r="A63" s="48" t="s">
        <v>19</v>
      </c>
      <c r="B63" s="48" t="str">
        <f>B62</f>
        <v>Трубопровод дизельного топлива на пуск рег.№1029</v>
      </c>
      <c r="C63" s="166" t="s">
        <v>174</v>
      </c>
      <c r="D63" s="49" t="s">
        <v>59</v>
      </c>
      <c r="E63" s="154">
        <f>E62</f>
        <v>9.9999999999999995E-8</v>
      </c>
      <c r="F63" s="155">
        <f>F62</f>
        <v>1250</v>
      </c>
      <c r="G63" s="48">
        <v>0.04</v>
      </c>
      <c r="H63" s="50">
        <f t="shared" si="64"/>
        <v>5.0000000000000004E-6</v>
      </c>
      <c r="I63" s="149">
        <f>I62</f>
        <v>25.31</v>
      </c>
      <c r="J63" s="149">
        <f>I62</f>
        <v>25.31</v>
      </c>
      <c r="K63" s="159" t="s">
        <v>176</v>
      </c>
      <c r="L63" s="164">
        <v>0</v>
      </c>
      <c r="M63" s="92" t="str">
        <f t="shared" si="65"/>
        <v>С2</v>
      </c>
      <c r="N63" s="92" t="str">
        <f t="shared" si="66"/>
        <v>Трубопровод дизельного топлива на пуск рег.№1029</v>
      </c>
      <c r="O63" s="92" t="str">
        <f t="shared" si="67"/>
        <v>Полное-пожар</v>
      </c>
      <c r="P63" s="92">
        <v>17.100000000000001</v>
      </c>
      <c r="Q63" s="92">
        <v>23.5</v>
      </c>
      <c r="R63" s="92">
        <v>33.1</v>
      </c>
      <c r="S63" s="92">
        <v>61.2</v>
      </c>
      <c r="T63" s="92" t="s">
        <v>83</v>
      </c>
      <c r="U63" s="92" t="s">
        <v>83</v>
      </c>
      <c r="V63" s="92" t="s">
        <v>83</v>
      </c>
      <c r="W63" s="92" t="s">
        <v>83</v>
      </c>
      <c r="X63" s="92" t="s">
        <v>83</v>
      </c>
      <c r="Y63" s="92" t="s">
        <v>83</v>
      </c>
      <c r="Z63" s="92" t="s">
        <v>83</v>
      </c>
      <c r="AA63" s="92" t="s">
        <v>83</v>
      </c>
      <c r="AB63" s="92" t="s">
        <v>83</v>
      </c>
      <c r="AC63" s="92" t="s">
        <v>83</v>
      </c>
      <c r="AD63" s="92" t="s">
        <v>83</v>
      </c>
      <c r="AE63" s="92" t="s">
        <v>83</v>
      </c>
      <c r="AF63" s="92" t="s">
        <v>83</v>
      </c>
      <c r="AG63" s="92" t="s">
        <v>83</v>
      </c>
      <c r="AH63" s="92" t="s">
        <v>83</v>
      </c>
      <c r="AI63" s="92" t="s">
        <v>83</v>
      </c>
      <c r="AJ63" s="52">
        <v>2</v>
      </c>
      <c r="AK63" s="52">
        <v>2</v>
      </c>
      <c r="AL63" s="92">
        <f>AL62</f>
        <v>0.75</v>
      </c>
      <c r="AM63" s="92">
        <f>AM62</f>
        <v>2.7E-2</v>
      </c>
      <c r="AN63" s="92">
        <f>AN62</f>
        <v>3</v>
      </c>
      <c r="AO63" s="92"/>
      <c r="AP63" s="92"/>
      <c r="AQ63" s="93">
        <f>AM63*I63+AL63</f>
        <v>1.43337</v>
      </c>
      <c r="AR63" s="93">
        <f t="shared" si="68"/>
        <v>0.14333700000000002</v>
      </c>
      <c r="AS63" s="94">
        <f t="shared" si="69"/>
        <v>6.5</v>
      </c>
      <c r="AT63" s="94">
        <f t="shared" si="70"/>
        <v>2.0191767500000002</v>
      </c>
      <c r="AU63" s="93">
        <f>10068.2*J63*POWER(10,-6)*10</f>
        <v>2.5482614199999998</v>
      </c>
      <c r="AV63" s="94">
        <f t="shared" si="71"/>
        <v>12.64414517</v>
      </c>
      <c r="AW63" s="95">
        <f t="shared" si="72"/>
        <v>1.0000000000000001E-5</v>
      </c>
      <c r="AX63" s="95">
        <f t="shared" si="73"/>
        <v>1.0000000000000001E-5</v>
      </c>
      <c r="AY63" s="95">
        <f t="shared" si="74"/>
        <v>6.322072585E-5</v>
      </c>
    </row>
    <row r="64" spans="1:51" x14ac:dyDescent="0.3">
      <c r="A64" s="48" t="s">
        <v>20</v>
      </c>
      <c r="B64" s="48" t="str">
        <f>B62</f>
        <v>Трубопровод дизельного топлива на пуск рег.№1029</v>
      </c>
      <c r="C64" s="166" t="s">
        <v>161</v>
      </c>
      <c r="D64" s="49" t="s">
        <v>60</v>
      </c>
      <c r="E64" s="154">
        <f>E62</f>
        <v>9.9999999999999995E-8</v>
      </c>
      <c r="F64" s="155">
        <f>F62</f>
        <v>1250</v>
      </c>
      <c r="G64" s="48">
        <v>0.76</v>
      </c>
      <c r="H64" s="50">
        <f t="shared" si="64"/>
        <v>9.5000000000000005E-5</v>
      </c>
      <c r="I64" s="149">
        <f>I62</f>
        <v>25.31</v>
      </c>
      <c r="J64" s="48">
        <v>0</v>
      </c>
      <c r="K64" s="159" t="s">
        <v>177</v>
      </c>
      <c r="L64" s="164">
        <v>0</v>
      </c>
      <c r="M64" s="92" t="str">
        <f t="shared" si="65"/>
        <v>С3</v>
      </c>
      <c r="N64" s="92" t="str">
        <f t="shared" si="66"/>
        <v>Трубопровод дизельного топлива на пуск рег.№1029</v>
      </c>
      <c r="O64" s="92" t="str">
        <f t="shared" si="67"/>
        <v>Полное-ликвидация</v>
      </c>
      <c r="P64" s="92" t="s">
        <v>83</v>
      </c>
      <c r="Q64" s="92" t="s">
        <v>83</v>
      </c>
      <c r="R64" s="92" t="s">
        <v>83</v>
      </c>
      <c r="S64" s="92" t="s">
        <v>83</v>
      </c>
      <c r="T64" s="92" t="s">
        <v>83</v>
      </c>
      <c r="U64" s="92" t="s">
        <v>83</v>
      </c>
      <c r="V64" s="92" t="s">
        <v>83</v>
      </c>
      <c r="W64" s="92" t="s">
        <v>83</v>
      </c>
      <c r="X64" s="92" t="s">
        <v>83</v>
      </c>
      <c r="Y64" s="92" t="s">
        <v>83</v>
      </c>
      <c r="Z64" s="92" t="s">
        <v>83</v>
      </c>
      <c r="AA64" s="92" t="s">
        <v>83</v>
      </c>
      <c r="AB64" s="92" t="s">
        <v>83</v>
      </c>
      <c r="AC64" s="92" t="s">
        <v>83</v>
      </c>
      <c r="AD64" s="92" t="s">
        <v>83</v>
      </c>
      <c r="AE64" s="92" t="s">
        <v>83</v>
      </c>
      <c r="AF64" s="92" t="s">
        <v>83</v>
      </c>
      <c r="AG64" s="92" t="s">
        <v>83</v>
      </c>
      <c r="AH64" s="92" t="s">
        <v>83</v>
      </c>
      <c r="AI64" s="92" t="s">
        <v>83</v>
      </c>
      <c r="AJ64" s="92">
        <v>0</v>
      </c>
      <c r="AK64" s="92">
        <v>0</v>
      </c>
      <c r="AL64" s="92">
        <f>AL62</f>
        <v>0.75</v>
      </c>
      <c r="AM64" s="92">
        <f>AM62</f>
        <v>2.7E-2</v>
      </c>
      <c r="AN64" s="92">
        <f>AN62</f>
        <v>3</v>
      </c>
      <c r="AO64" s="92"/>
      <c r="AP64" s="92"/>
      <c r="AQ64" s="93">
        <f>AM64*I64*0.1+AL64</f>
        <v>0.81833699999999998</v>
      </c>
      <c r="AR64" s="93">
        <f t="shared" si="68"/>
        <v>8.1833700000000009E-2</v>
      </c>
      <c r="AS64" s="94">
        <f t="shared" si="69"/>
        <v>0</v>
      </c>
      <c r="AT64" s="94">
        <f t="shared" si="70"/>
        <v>0.225042675</v>
      </c>
      <c r="AU64" s="93">
        <f>1333*J63*POWER(10,-6)</f>
        <v>3.3738229999999994E-2</v>
      </c>
      <c r="AV64" s="94">
        <f t="shared" si="71"/>
        <v>1.1589516049999999</v>
      </c>
      <c r="AW64" s="95">
        <f t="shared" si="72"/>
        <v>0</v>
      </c>
      <c r="AX64" s="95">
        <f t="shared" si="73"/>
        <v>0</v>
      </c>
      <c r="AY64" s="95">
        <f t="shared" si="74"/>
        <v>1.10100402475E-4</v>
      </c>
    </row>
    <row r="65" spans="1:51" x14ac:dyDescent="0.3">
      <c r="A65" s="48" t="s">
        <v>21</v>
      </c>
      <c r="B65" s="48" t="str">
        <f>B62</f>
        <v>Трубопровод дизельного топлива на пуск рег.№1029</v>
      </c>
      <c r="C65" s="166" t="s">
        <v>162</v>
      </c>
      <c r="D65" s="49" t="s">
        <v>84</v>
      </c>
      <c r="E65" s="153">
        <v>5.0000000000000004E-6</v>
      </c>
      <c r="F65" s="155">
        <f>F62</f>
        <v>1250</v>
      </c>
      <c r="G65" s="48">
        <v>0.2</v>
      </c>
      <c r="H65" s="50">
        <f t="shared" si="64"/>
        <v>1.2500000000000002E-3</v>
      </c>
      <c r="I65" s="149">
        <f>0.15*I62</f>
        <v>3.7964999999999995</v>
      </c>
      <c r="J65" s="149">
        <f>I65</f>
        <v>3.7964999999999995</v>
      </c>
      <c r="K65" s="161" t="s">
        <v>179</v>
      </c>
      <c r="L65" s="165">
        <v>45390</v>
      </c>
      <c r="M65" s="92" t="str">
        <f t="shared" si="65"/>
        <v>С4</v>
      </c>
      <c r="N65" s="92" t="str">
        <f t="shared" si="66"/>
        <v>Трубопровод дизельного топлива на пуск рег.№1029</v>
      </c>
      <c r="O65" s="92" t="str">
        <f t="shared" si="67"/>
        <v>Частичное-пожар</v>
      </c>
      <c r="P65" s="92">
        <v>12.8</v>
      </c>
      <c r="Q65" s="92">
        <v>16.399999999999999</v>
      </c>
      <c r="R65" s="92">
        <v>21.7</v>
      </c>
      <c r="S65" s="92">
        <v>37.299999999999997</v>
      </c>
      <c r="T65" s="92" t="s">
        <v>83</v>
      </c>
      <c r="U65" s="92" t="s">
        <v>83</v>
      </c>
      <c r="V65" s="92" t="s">
        <v>83</v>
      </c>
      <c r="W65" s="92" t="s">
        <v>83</v>
      </c>
      <c r="X65" s="92" t="s">
        <v>83</v>
      </c>
      <c r="Y65" s="92" t="s">
        <v>83</v>
      </c>
      <c r="Z65" s="92" t="s">
        <v>83</v>
      </c>
      <c r="AA65" s="92" t="s">
        <v>83</v>
      </c>
      <c r="AB65" s="92" t="s">
        <v>83</v>
      </c>
      <c r="AC65" s="92" t="s">
        <v>83</v>
      </c>
      <c r="AD65" s="92" t="s">
        <v>83</v>
      </c>
      <c r="AE65" s="92" t="s">
        <v>83</v>
      </c>
      <c r="AF65" s="92" t="s">
        <v>83</v>
      </c>
      <c r="AG65" s="92" t="s">
        <v>83</v>
      </c>
      <c r="AH65" s="92" t="s">
        <v>83</v>
      </c>
      <c r="AI65" s="92" t="s">
        <v>83</v>
      </c>
      <c r="AJ65" s="92">
        <v>0</v>
      </c>
      <c r="AK65" s="92">
        <v>2</v>
      </c>
      <c r="AL65" s="92">
        <f>0.1*$AL$2</f>
        <v>7.5000000000000002E-4</v>
      </c>
      <c r="AM65" s="92">
        <f>AM62</f>
        <v>2.7E-2</v>
      </c>
      <c r="AN65" s="92">
        <f>ROUNDUP(AN62/3,0)</f>
        <v>1</v>
      </c>
      <c r="AO65" s="92"/>
      <c r="AP65" s="92"/>
      <c r="AQ65" s="93">
        <f>AM65*I65+AL65</f>
        <v>0.10325549999999999</v>
      </c>
      <c r="AR65" s="93">
        <f t="shared" si="68"/>
        <v>1.0325549999999999E-2</v>
      </c>
      <c r="AS65" s="94">
        <f t="shared" si="69"/>
        <v>0.5</v>
      </c>
      <c r="AT65" s="94">
        <f t="shared" si="70"/>
        <v>0.15339526249999999</v>
      </c>
      <c r="AU65" s="93">
        <f>10068.2*J65*POWER(10,-6)</f>
        <v>3.8223921299999991E-2</v>
      </c>
      <c r="AV65" s="94">
        <f t="shared" si="71"/>
        <v>0.80520023379999994</v>
      </c>
      <c r="AW65" s="95">
        <f t="shared" si="72"/>
        <v>0</v>
      </c>
      <c r="AX65" s="95">
        <f t="shared" si="73"/>
        <v>2.5000000000000005E-3</v>
      </c>
      <c r="AY65" s="95">
        <f t="shared" si="74"/>
        <v>1.00650029225E-3</v>
      </c>
    </row>
    <row r="66" spans="1:51" x14ac:dyDescent="0.3">
      <c r="A66" s="48" t="s">
        <v>22</v>
      </c>
      <c r="B66" s="48" t="str">
        <f>B62</f>
        <v>Трубопровод дизельного топлива на пуск рег.№1029</v>
      </c>
      <c r="C66" s="166" t="s">
        <v>190</v>
      </c>
      <c r="D66" s="49" t="s">
        <v>84</v>
      </c>
      <c r="E66" s="154">
        <f>E65</f>
        <v>5.0000000000000004E-6</v>
      </c>
      <c r="F66" s="155">
        <f>F62</f>
        <v>1250</v>
      </c>
      <c r="G66" s="48">
        <v>0.04</v>
      </c>
      <c r="H66" s="50">
        <f t="shared" si="64"/>
        <v>2.5000000000000001E-4</v>
      </c>
      <c r="I66" s="149">
        <f>0.15*I62</f>
        <v>3.7964999999999995</v>
      </c>
      <c r="J66" s="149">
        <f>I65</f>
        <v>3.7964999999999995</v>
      </c>
      <c r="K66" s="161" t="s">
        <v>180</v>
      </c>
      <c r="L66" s="165">
        <v>3</v>
      </c>
      <c r="M66" s="92" t="str">
        <f t="shared" si="65"/>
        <v>С5</v>
      </c>
      <c r="N66" s="92" t="str">
        <f t="shared" si="66"/>
        <v>Трубопровод дизельного топлива на пуск рег.№1029</v>
      </c>
      <c r="O66" s="92" t="str">
        <f t="shared" si="67"/>
        <v>Частичное-пожар</v>
      </c>
      <c r="P66" s="92">
        <v>12.8</v>
      </c>
      <c r="Q66" s="92">
        <v>16.399999999999999</v>
      </c>
      <c r="R66" s="92">
        <v>21.7</v>
      </c>
      <c r="S66" s="92">
        <v>37.299999999999997</v>
      </c>
      <c r="T66" s="92" t="s">
        <v>83</v>
      </c>
      <c r="U66" s="92" t="s">
        <v>83</v>
      </c>
      <c r="V66" s="92" t="s">
        <v>83</v>
      </c>
      <c r="W66" s="92" t="s">
        <v>83</v>
      </c>
      <c r="X66" s="92" t="s">
        <v>83</v>
      </c>
      <c r="Y66" s="92" t="s">
        <v>83</v>
      </c>
      <c r="Z66" s="92" t="s">
        <v>83</v>
      </c>
      <c r="AA66" s="92" t="s">
        <v>83</v>
      </c>
      <c r="AB66" s="92" t="s">
        <v>83</v>
      </c>
      <c r="AC66" s="92" t="s">
        <v>83</v>
      </c>
      <c r="AD66" s="92" t="s">
        <v>83</v>
      </c>
      <c r="AE66" s="92" t="s">
        <v>83</v>
      </c>
      <c r="AF66" s="92" t="s">
        <v>83</v>
      </c>
      <c r="AG66" s="92" t="s">
        <v>83</v>
      </c>
      <c r="AH66" s="92" t="s">
        <v>83</v>
      </c>
      <c r="AI66" s="92" t="s">
        <v>83</v>
      </c>
      <c r="AJ66" s="92">
        <v>0</v>
      </c>
      <c r="AK66" s="92">
        <v>1</v>
      </c>
      <c r="AL66" s="92">
        <f>0.1*$AL$2</f>
        <v>7.5000000000000002E-4</v>
      </c>
      <c r="AM66" s="92">
        <f>AM62</f>
        <v>2.7E-2</v>
      </c>
      <c r="AN66" s="92">
        <f>ROUNDUP(AN62/3,0)</f>
        <v>1</v>
      </c>
      <c r="AO66" s="92"/>
      <c r="AP66" s="92"/>
      <c r="AQ66" s="93">
        <f>AM66*I66+AL66</f>
        <v>0.10325549999999999</v>
      </c>
      <c r="AR66" s="93">
        <f t="shared" si="68"/>
        <v>1.0325549999999999E-2</v>
      </c>
      <c r="AS66" s="94">
        <f t="shared" si="69"/>
        <v>0.25</v>
      </c>
      <c r="AT66" s="94">
        <f t="shared" si="70"/>
        <v>9.089526249999999E-2</v>
      </c>
      <c r="AU66" s="93">
        <f>10068.2*J66*POWER(10,-6)*10</f>
        <v>0.38223921299999991</v>
      </c>
      <c r="AV66" s="94">
        <f t="shared" si="71"/>
        <v>0.83671552549999983</v>
      </c>
      <c r="AW66" s="95">
        <f t="shared" si="72"/>
        <v>0</v>
      </c>
      <c r="AX66" s="95">
        <f t="shared" si="73"/>
        <v>2.5000000000000001E-4</v>
      </c>
      <c r="AY66" s="95">
        <f t="shared" si="74"/>
        <v>2.0917888137499997E-4</v>
      </c>
    </row>
    <row r="67" spans="1:51" ht="15" thickBot="1" x14ac:dyDescent="0.35">
      <c r="A67" s="48" t="s">
        <v>23</v>
      </c>
      <c r="B67" s="48" t="str">
        <f>B62</f>
        <v>Трубопровод дизельного топлива на пуск рег.№1029</v>
      </c>
      <c r="C67" s="166" t="s">
        <v>164</v>
      </c>
      <c r="D67" s="49" t="s">
        <v>61</v>
      </c>
      <c r="E67" s="154">
        <f>E65</f>
        <v>5.0000000000000004E-6</v>
      </c>
      <c r="F67" s="155">
        <f>F62</f>
        <v>1250</v>
      </c>
      <c r="G67" s="48">
        <v>0.76</v>
      </c>
      <c r="H67" s="50">
        <f t="shared" si="64"/>
        <v>4.7500000000000007E-3</v>
      </c>
      <c r="I67" s="149">
        <f>0.15*I62</f>
        <v>3.7964999999999995</v>
      </c>
      <c r="J67" s="48">
        <v>0</v>
      </c>
      <c r="K67" s="162" t="s">
        <v>191</v>
      </c>
      <c r="L67" s="168">
        <v>3</v>
      </c>
      <c r="M67" s="92" t="str">
        <f t="shared" si="65"/>
        <v>С6</v>
      </c>
      <c r="N67" s="92" t="str">
        <f t="shared" si="66"/>
        <v>Трубопровод дизельного топлива на пуск рег.№1029</v>
      </c>
      <c r="O67" s="92" t="str">
        <f t="shared" si="67"/>
        <v>Частичное-ликвидация</v>
      </c>
      <c r="P67" s="92" t="s">
        <v>83</v>
      </c>
      <c r="Q67" s="92" t="s">
        <v>83</v>
      </c>
      <c r="R67" s="92" t="s">
        <v>83</v>
      </c>
      <c r="S67" s="92" t="s">
        <v>83</v>
      </c>
      <c r="T67" s="92" t="s">
        <v>83</v>
      </c>
      <c r="U67" s="92" t="s">
        <v>83</v>
      </c>
      <c r="V67" s="92" t="s">
        <v>83</v>
      </c>
      <c r="W67" s="92" t="s">
        <v>83</v>
      </c>
      <c r="X67" s="92" t="s">
        <v>83</v>
      </c>
      <c r="Y67" s="92" t="s">
        <v>83</v>
      </c>
      <c r="Z67" s="92" t="s">
        <v>83</v>
      </c>
      <c r="AA67" s="92" t="s">
        <v>83</v>
      </c>
      <c r="AB67" s="92" t="s">
        <v>83</v>
      </c>
      <c r="AC67" s="92" t="s">
        <v>83</v>
      </c>
      <c r="AD67" s="92" t="s">
        <v>83</v>
      </c>
      <c r="AE67" s="92" t="s">
        <v>83</v>
      </c>
      <c r="AF67" s="92" t="s">
        <v>83</v>
      </c>
      <c r="AG67" s="92" t="s">
        <v>83</v>
      </c>
      <c r="AH67" s="92" t="s">
        <v>83</v>
      </c>
      <c r="AI67" s="92" t="s">
        <v>83</v>
      </c>
      <c r="AJ67" s="92">
        <v>0</v>
      </c>
      <c r="AK67" s="92">
        <v>0</v>
      </c>
      <c r="AL67" s="92">
        <f>0.1*$AL$2</f>
        <v>7.5000000000000002E-4</v>
      </c>
      <c r="AM67" s="92">
        <f>AM62</f>
        <v>2.7E-2</v>
      </c>
      <c r="AN67" s="92">
        <f>ROUNDUP(AN62/3,0)</f>
        <v>1</v>
      </c>
      <c r="AO67" s="92"/>
      <c r="AP67" s="92"/>
      <c r="AQ67" s="93">
        <f>AM67*I67*0.1+AL67</f>
        <v>1.100055E-2</v>
      </c>
      <c r="AR67" s="93">
        <f t="shared" si="68"/>
        <v>1.100055E-3</v>
      </c>
      <c r="AS67" s="94">
        <f t="shared" si="69"/>
        <v>0</v>
      </c>
      <c r="AT67" s="94">
        <f t="shared" si="70"/>
        <v>3.0251512500000001E-3</v>
      </c>
      <c r="AU67" s="93">
        <f>1333*J66*POWER(10,-6)</f>
        <v>5.0607344999999996E-3</v>
      </c>
      <c r="AV67" s="94">
        <f t="shared" si="71"/>
        <v>2.0186490750000001E-2</v>
      </c>
      <c r="AW67" s="95">
        <f t="shared" si="72"/>
        <v>0</v>
      </c>
      <c r="AX67" s="95">
        <f t="shared" si="73"/>
        <v>0</v>
      </c>
      <c r="AY67" s="95">
        <f t="shared" si="74"/>
        <v>9.5885831062500021E-5</v>
      </c>
    </row>
    <row r="68" spans="1:51" x14ac:dyDescent="0.3">
      <c r="A68" s="48"/>
      <c r="B68" s="48"/>
      <c r="C68" s="166"/>
      <c r="D68" s="49"/>
      <c r="E68" s="154"/>
      <c r="F68" s="155"/>
      <c r="G68" s="48"/>
      <c r="H68" s="50"/>
      <c r="I68" s="149"/>
      <c r="J68" s="48"/>
      <c r="K68" s="278"/>
      <c r="L68" s="279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3"/>
      <c r="AR68" s="93"/>
      <c r="AS68" s="94"/>
      <c r="AT68" s="94"/>
      <c r="AU68" s="93"/>
      <c r="AV68" s="94"/>
      <c r="AW68" s="95"/>
      <c r="AX68" s="95"/>
      <c r="AY68" s="95"/>
    </row>
    <row r="69" spans="1:51" s="267" customFormat="1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</row>
    <row r="70" spans="1:51" s="267" customFormat="1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</row>
    <row r="71" spans="1:51" ht="15" thickBot="1" x14ac:dyDescent="0.35"/>
    <row r="72" spans="1:51" s="179" customFormat="1" ht="15" thickBot="1" x14ac:dyDescent="0.35">
      <c r="A72" s="169" t="s">
        <v>18</v>
      </c>
      <c r="B72" s="170" t="s">
        <v>599</v>
      </c>
      <c r="C72" s="171" t="s">
        <v>196</v>
      </c>
      <c r="D72" s="172" t="s">
        <v>59</v>
      </c>
      <c r="E72" s="173">
        <v>1.0000000000000001E-5</v>
      </c>
      <c r="F72" s="170">
        <v>1</v>
      </c>
      <c r="G72" s="169">
        <v>0.1</v>
      </c>
      <c r="H72" s="174">
        <f t="shared" ref="H72:H77" si="75">E72*F72*G72</f>
        <v>1.0000000000000002E-6</v>
      </c>
      <c r="I72" s="175">
        <v>1320</v>
      </c>
      <c r="J72" s="187">
        <f>I72</f>
        <v>1320</v>
      </c>
      <c r="K72" s="177" t="s">
        <v>175</v>
      </c>
      <c r="L72" s="178">
        <v>948</v>
      </c>
      <c r="M72" s="179" t="str">
        <f t="shared" ref="M72:M77" si="76">A72</f>
        <v>С1</v>
      </c>
      <c r="N72" s="179" t="str">
        <f t="shared" ref="N72:N77" si="77">B72</f>
        <v>Резервуар РВС (8204T0001)</v>
      </c>
      <c r="O72" s="179" t="str">
        <f t="shared" ref="O72:O77" si="78">D72</f>
        <v>Полное-пожар</v>
      </c>
      <c r="P72" s="179" t="s">
        <v>83</v>
      </c>
      <c r="Q72" s="179" t="s">
        <v>83</v>
      </c>
      <c r="R72" s="179" t="s">
        <v>83</v>
      </c>
      <c r="S72" s="179" t="s">
        <v>83</v>
      </c>
      <c r="T72" s="179" t="s">
        <v>83</v>
      </c>
      <c r="U72" s="179" t="s">
        <v>83</v>
      </c>
      <c r="V72" s="179" t="s">
        <v>83</v>
      </c>
      <c r="W72" s="179" t="s">
        <v>83</v>
      </c>
      <c r="X72" s="179" t="s">
        <v>83</v>
      </c>
      <c r="Y72" s="179" t="s">
        <v>83</v>
      </c>
      <c r="Z72" s="179" t="s">
        <v>83</v>
      </c>
      <c r="AA72" s="179" t="s">
        <v>83</v>
      </c>
      <c r="AB72" s="179" t="s">
        <v>83</v>
      </c>
      <c r="AC72" s="179" t="s">
        <v>83</v>
      </c>
      <c r="AD72" s="179" t="s">
        <v>83</v>
      </c>
      <c r="AE72" s="179" t="s">
        <v>83</v>
      </c>
      <c r="AF72" s="179" t="s">
        <v>83</v>
      </c>
      <c r="AG72" s="179" t="s">
        <v>83</v>
      </c>
      <c r="AH72" s="179" t="s">
        <v>83</v>
      </c>
      <c r="AI72" s="179" t="s">
        <v>83</v>
      </c>
      <c r="AJ72" s="180">
        <v>1</v>
      </c>
      <c r="AK72" s="180">
        <v>2</v>
      </c>
      <c r="AL72" s="181">
        <v>0.75</v>
      </c>
      <c r="AM72" s="181">
        <v>2.7E-2</v>
      </c>
      <c r="AN72" s="181">
        <v>3</v>
      </c>
      <c r="AQ72" s="182">
        <f>AM72*I72+AL72</f>
        <v>36.39</v>
      </c>
      <c r="AR72" s="182">
        <f t="shared" ref="AR72:AR77" si="79">0.1*AQ72</f>
        <v>3.6390000000000002</v>
      </c>
      <c r="AS72" s="183">
        <f t="shared" ref="AS72:AS77" si="80">AJ72*3+0.25*AK72</f>
        <v>3.5</v>
      </c>
      <c r="AT72" s="183">
        <f t="shared" ref="AT72:AT77" si="81">SUM(AQ72:AS72)/4</f>
        <v>10.882250000000001</v>
      </c>
      <c r="AU72" s="182">
        <f>10068.2*J72*POWER(10,-6)</f>
        <v>13.290024000000001</v>
      </c>
      <c r="AV72" s="183">
        <f t="shared" ref="AV72:AV77" si="82">AU72+AT72+AS72+AR72+AQ72</f>
        <v>67.701273999999998</v>
      </c>
      <c r="AW72" s="184">
        <f t="shared" ref="AW72:AW77" si="83">AJ72*H72</f>
        <v>1.0000000000000002E-6</v>
      </c>
      <c r="AX72" s="184">
        <f t="shared" ref="AX72:AX77" si="84">H72*AK72</f>
        <v>2.0000000000000003E-6</v>
      </c>
      <c r="AY72" s="184">
        <f t="shared" ref="AY72:AY77" si="85">H72*AV72</f>
        <v>6.7701274000000011E-5</v>
      </c>
    </row>
    <row r="73" spans="1:51" s="179" customFormat="1" ht="15" thickBot="1" x14ac:dyDescent="0.35">
      <c r="A73" s="169" t="s">
        <v>19</v>
      </c>
      <c r="B73" s="169" t="str">
        <f>B72</f>
        <v>Резервуар РВС (8204T0001)</v>
      </c>
      <c r="C73" s="171" t="s">
        <v>205</v>
      </c>
      <c r="D73" s="172" t="s">
        <v>59</v>
      </c>
      <c r="E73" s="185">
        <f>E72</f>
        <v>1.0000000000000001E-5</v>
      </c>
      <c r="F73" s="186">
        <f>F72</f>
        <v>1</v>
      </c>
      <c r="G73" s="169">
        <v>0.18000000000000002</v>
      </c>
      <c r="H73" s="174">
        <f t="shared" si="75"/>
        <v>1.8000000000000003E-6</v>
      </c>
      <c r="I73" s="187">
        <f>I72</f>
        <v>1320</v>
      </c>
      <c r="J73" s="187">
        <f>I72</f>
        <v>1320</v>
      </c>
      <c r="K73" s="177" t="s">
        <v>176</v>
      </c>
      <c r="L73" s="178">
        <v>0</v>
      </c>
      <c r="M73" s="179" t="str">
        <f t="shared" si="76"/>
        <v>С2</v>
      </c>
      <c r="N73" s="179" t="str">
        <f t="shared" si="77"/>
        <v>Резервуар РВС (8204T0001)</v>
      </c>
      <c r="O73" s="179" t="str">
        <f t="shared" si="78"/>
        <v>Полное-пожар</v>
      </c>
      <c r="P73" s="179" t="s">
        <v>83</v>
      </c>
      <c r="Q73" s="179" t="s">
        <v>83</v>
      </c>
      <c r="R73" s="179" t="s">
        <v>83</v>
      </c>
      <c r="S73" s="179" t="s">
        <v>83</v>
      </c>
      <c r="T73" s="179" t="s">
        <v>83</v>
      </c>
      <c r="U73" s="179" t="s">
        <v>83</v>
      </c>
      <c r="V73" s="179" t="s">
        <v>83</v>
      </c>
      <c r="W73" s="179" t="s">
        <v>83</v>
      </c>
      <c r="X73" s="179" t="s">
        <v>83</v>
      </c>
      <c r="Y73" s="179" t="s">
        <v>83</v>
      </c>
      <c r="Z73" s="179" t="s">
        <v>83</v>
      </c>
      <c r="AA73" s="179" t="s">
        <v>83</v>
      </c>
      <c r="AB73" s="179" t="s">
        <v>83</v>
      </c>
      <c r="AC73" s="179" t="s">
        <v>83</v>
      </c>
      <c r="AD73" s="179" t="s">
        <v>83</v>
      </c>
      <c r="AE73" s="179" t="s">
        <v>83</v>
      </c>
      <c r="AF73" s="179" t="s">
        <v>83</v>
      </c>
      <c r="AG73" s="179" t="s">
        <v>83</v>
      </c>
      <c r="AH73" s="179" t="s">
        <v>83</v>
      </c>
      <c r="AI73" s="179" t="s">
        <v>83</v>
      </c>
      <c r="AJ73" s="180">
        <v>2</v>
      </c>
      <c r="AK73" s="180">
        <v>2</v>
      </c>
      <c r="AL73" s="179">
        <f>AL72</f>
        <v>0.75</v>
      </c>
      <c r="AM73" s="179">
        <f>AM72</f>
        <v>2.7E-2</v>
      </c>
      <c r="AN73" s="179">
        <f>AN72</f>
        <v>3</v>
      </c>
      <c r="AQ73" s="182">
        <f>AM73*I73+AL73</f>
        <v>36.39</v>
      </c>
      <c r="AR73" s="182">
        <f t="shared" si="79"/>
        <v>3.6390000000000002</v>
      </c>
      <c r="AS73" s="183">
        <f t="shared" si="80"/>
        <v>6.5</v>
      </c>
      <c r="AT73" s="183">
        <f t="shared" si="81"/>
        <v>11.632250000000001</v>
      </c>
      <c r="AU73" s="182">
        <f>10068.2*J73*POWER(10,-6)*10</f>
        <v>132.90024</v>
      </c>
      <c r="AV73" s="183">
        <f t="shared" si="82"/>
        <v>191.06148999999999</v>
      </c>
      <c r="AW73" s="184">
        <f t="shared" si="83"/>
        <v>3.6000000000000007E-6</v>
      </c>
      <c r="AX73" s="184">
        <f t="shared" si="84"/>
        <v>3.6000000000000007E-6</v>
      </c>
      <c r="AY73" s="184">
        <f t="shared" si="85"/>
        <v>3.4391068200000005E-4</v>
      </c>
    </row>
    <row r="74" spans="1:51" s="179" customFormat="1" x14ac:dyDescent="0.3">
      <c r="A74" s="169" t="s">
        <v>20</v>
      </c>
      <c r="B74" s="169" t="str">
        <f>B72</f>
        <v>Резервуар РВС (8204T0001)</v>
      </c>
      <c r="C74" s="171" t="s">
        <v>198</v>
      </c>
      <c r="D74" s="172" t="s">
        <v>60</v>
      </c>
      <c r="E74" s="185">
        <f>E72</f>
        <v>1.0000000000000001E-5</v>
      </c>
      <c r="F74" s="186">
        <f>F72</f>
        <v>1</v>
      </c>
      <c r="G74" s="169">
        <v>0.72000000000000008</v>
      </c>
      <c r="H74" s="174">
        <f t="shared" si="75"/>
        <v>7.2000000000000014E-6</v>
      </c>
      <c r="I74" s="187">
        <f>I72</f>
        <v>1320</v>
      </c>
      <c r="J74" s="169">
        <v>0</v>
      </c>
      <c r="K74" s="177" t="s">
        <v>177</v>
      </c>
      <c r="L74" s="178">
        <v>0</v>
      </c>
      <c r="M74" s="179" t="str">
        <f t="shared" si="76"/>
        <v>С3</v>
      </c>
      <c r="N74" s="179" t="str">
        <f t="shared" si="77"/>
        <v>Резервуар РВС (8204T0001)</v>
      </c>
      <c r="O74" s="179" t="str">
        <f t="shared" si="78"/>
        <v>Полное-ликвидация</v>
      </c>
      <c r="P74" s="179" t="s">
        <v>83</v>
      </c>
      <c r="Q74" s="179" t="s">
        <v>83</v>
      </c>
      <c r="R74" s="179" t="s">
        <v>83</v>
      </c>
      <c r="S74" s="179" t="s">
        <v>83</v>
      </c>
      <c r="T74" s="179" t="s">
        <v>83</v>
      </c>
      <c r="U74" s="179" t="s">
        <v>83</v>
      </c>
      <c r="V74" s="179" t="s">
        <v>83</v>
      </c>
      <c r="W74" s="179" t="s">
        <v>83</v>
      </c>
      <c r="X74" s="179" t="s">
        <v>83</v>
      </c>
      <c r="Y74" s="179" t="s">
        <v>83</v>
      </c>
      <c r="Z74" s="179" t="s">
        <v>83</v>
      </c>
      <c r="AA74" s="179" t="s">
        <v>83</v>
      </c>
      <c r="AB74" s="179" t="s">
        <v>83</v>
      </c>
      <c r="AC74" s="179" t="s">
        <v>83</v>
      </c>
      <c r="AD74" s="179" t="s">
        <v>83</v>
      </c>
      <c r="AE74" s="179" t="s">
        <v>83</v>
      </c>
      <c r="AF74" s="179" t="s">
        <v>83</v>
      </c>
      <c r="AG74" s="179" t="s">
        <v>83</v>
      </c>
      <c r="AH74" s="179" t="s">
        <v>83</v>
      </c>
      <c r="AI74" s="179" t="s">
        <v>83</v>
      </c>
      <c r="AJ74" s="179">
        <v>0</v>
      </c>
      <c r="AK74" s="179">
        <v>0</v>
      </c>
      <c r="AL74" s="179">
        <f>AL72</f>
        <v>0.75</v>
      </c>
      <c r="AM74" s="179">
        <f>AM72</f>
        <v>2.7E-2</v>
      </c>
      <c r="AN74" s="179">
        <f>AN72</f>
        <v>3</v>
      </c>
      <c r="AQ74" s="182">
        <f>AM74*I74*0.1+AL74</f>
        <v>4.3140000000000001</v>
      </c>
      <c r="AR74" s="182">
        <f t="shared" si="79"/>
        <v>0.43140000000000001</v>
      </c>
      <c r="AS74" s="183">
        <f t="shared" si="80"/>
        <v>0</v>
      </c>
      <c r="AT74" s="183">
        <f t="shared" si="81"/>
        <v>1.18635</v>
      </c>
      <c r="AU74" s="182">
        <f>1333*J73*POWER(10,-6)</f>
        <v>1.75956</v>
      </c>
      <c r="AV74" s="183">
        <f t="shared" si="82"/>
        <v>7.6913099999999996</v>
      </c>
      <c r="AW74" s="184">
        <f t="shared" si="83"/>
        <v>0</v>
      </c>
      <c r="AX74" s="184">
        <f t="shared" si="84"/>
        <v>0</v>
      </c>
      <c r="AY74" s="184">
        <f t="shared" si="85"/>
        <v>5.537743200000001E-5</v>
      </c>
    </row>
    <row r="75" spans="1:51" s="179" customFormat="1" x14ac:dyDescent="0.3">
      <c r="A75" s="169" t="s">
        <v>21</v>
      </c>
      <c r="B75" s="169" t="str">
        <f>B72</f>
        <v>Резервуар РВС (8204T0001)</v>
      </c>
      <c r="C75" s="171" t="s">
        <v>199</v>
      </c>
      <c r="D75" s="172" t="s">
        <v>84</v>
      </c>
      <c r="E75" s="173">
        <v>1E-4</v>
      </c>
      <c r="F75" s="186">
        <f>F72</f>
        <v>1</v>
      </c>
      <c r="G75" s="169">
        <v>0.1</v>
      </c>
      <c r="H75" s="174">
        <f t="shared" si="75"/>
        <v>1.0000000000000001E-5</v>
      </c>
      <c r="I75" s="187">
        <f>0.15*I72</f>
        <v>198</v>
      </c>
      <c r="J75" s="187">
        <f>I75</f>
        <v>198</v>
      </c>
      <c r="K75" s="190" t="s">
        <v>179</v>
      </c>
      <c r="L75" s="191">
        <v>45390</v>
      </c>
      <c r="M75" s="179" t="str">
        <f t="shared" si="76"/>
        <v>С4</v>
      </c>
      <c r="N75" s="179" t="str">
        <f t="shared" si="77"/>
        <v>Резервуар РВС (8204T0001)</v>
      </c>
      <c r="O75" s="179" t="str">
        <f t="shared" si="78"/>
        <v>Частичное-пожар</v>
      </c>
      <c r="P75" s="179" t="s">
        <v>83</v>
      </c>
      <c r="Q75" s="179" t="s">
        <v>83</v>
      </c>
      <c r="R75" s="179" t="s">
        <v>83</v>
      </c>
      <c r="S75" s="179" t="s">
        <v>83</v>
      </c>
      <c r="T75" s="179" t="s">
        <v>83</v>
      </c>
      <c r="U75" s="179" t="s">
        <v>83</v>
      </c>
      <c r="V75" s="179" t="s">
        <v>83</v>
      </c>
      <c r="W75" s="179" t="s">
        <v>83</v>
      </c>
      <c r="X75" s="179" t="s">
        <v>83</v>
      </c>
      <c r="Y75" s="179" t="s">
        <v>83</v>
      </c>
      <c r="Z75" s="179" t="s">
        <v>83</v>
      </c>
      <c r="AA75" s="179" t="s">
        <v>83</v>
      </c>
      <c r="AB75" s="179" t="s">
        <v>83</v>
      </c>
      <c r="AC75" s="179" t="s">
        <v>83</v>
      </c>
      <c r="AD75" s="179" t="s">
        <v>83</v>
      </c>
      <c r="AE75" s="179" t="s">
        <v>83</v>
      </c>
      <c r="AF75" s="179" t="s">
        <v>83</v>
      </c>
      <c r="AG75" s="179" t="s">
        <v>83</v>
      </c>
      <c r="AH75" s="179" t="s">
        <v>83</v>
      </c>
      <c r="AI75" s="179" t="s">
        <v>83</v>
      </c>
      <c r="AJ75" s="179">
        <v>0</v>
      </c>
      <c r="AK75" s="179">
        <v>2</v>
      </c>
      <c r="AL75" s="179">
        <f>0.1*$AL$2</f>
        <v>7.5000000000000002E-4</v>
      </c>
      <c r="AM75" s="179">
        <f>AM72</f>
        <v>2.7E-2</v>
      </c>
      <c r="AN75" s="179">
        <f>ROUNDUP(AN72/3,0)</f>
        <v>1</v>
      </c>
      <c r="AQ75" s="182">
        <f>AM75*I75+AL75</f>
        <v>5.3467500000000001</v>
      </c>
      <c r="AR75" s="182">
        <f t="shared" si="79"/>
        <v>0.53467500000000001</v>
      </c>
      <c r="AS75" s="183">
        <f t="shared" si="80"/>
        <v>0.5</v>
      </c>
      <c r="AT75" s="183">
        <f t="shared" si="81"/>
        <v>1.59535625</v>
      </c>
      <c r="AU75" s="182">
        <f>10068.2*J75*POWER(10,-6)</f>
        <v>1.9935035999999999</v>
      </c>
      <c r="AV75" s="183">
        <f t="shared" si="82"/>
        <v>9.9702848500000005</v>
      </c>
      <c r="AW75" s="184">
        <f t="shared" si="83"/>
        <v>0</v>
      </c>
      <c r="AX75" s="184">
        <f t="shared" si="84"/>
        <v>2.0000000000000002E-5</v>
      </c>
      <c r="AY75" s="184">
        <f t="shared" si="85"/>
        <v>9.9702848500000013E-5</v>
      </c>
    </row>
    <row r="76" spans="1:51" s="179" customFormat="1" x14ac:dyDescent="0.3">
      <c r="A76" s="169" t="s">
        <v>22</v>
      </c>
      <c r="B76" s="169" t="str">
        <f>B72</f>
        <v>Резервуар РВС (8204T0001)</v>
      </c>
      <c r="C76" s="171" t="s">
        <v>206</v>
      </c>
      <c r="D76" s="172" t="s">
        <v>84</v>
      </c>
      <c r="E76" s="185">
        <f>E75</f>
        <v>1E-4</v>
      </c>
      <c r="F76" s="186">
        <f>F72</f>
        <v>1</v>
      </c>
      <c r="G76" s="169">
        <v>4.5000000000000005E-2</v>
      </c>
      <c r="H76" s="174">
        <f t="shared" si="75"/>
        <v>4.500000000000001E-6</v>
      </c>
      <c r="I76" s="187">
        <f>0.15*I72</f>
        <v>198</v>
      </c>
      <c r="J76" s="187">
        <f>I75</f>
        <v>198</v>
      </c>
      <c r="K76" s="190" t="s">
        <v>180</v>
      </c>
      <c r="L76" s="191">
        <v>3</v>
      </c>
      <c r="M76" s="179" t="str">
        <f t="shared" si="76"/>
        <v>С5</v>
      </c>
      <c r="N76" s="179" t="str">
        <f t="shared" si="77"/>
        <v>Резервуар РВС (8204T0001)</v>
      </c>
      <c r="O76" s="179" t="str">
        <f t="shared" si="78"/>
        <v>Частичное-пожар</v>
      </c>
      <c r="P76" s="179" t="s">
        <v>83</v>
      </c>
      <c r="Q76" s="179" t="s">
        <v>83</v>
      </c>
      <c r="R76" s="179" t="s">
        <v>83</v>
      </c>
      <c r="S76" s="179" t="s">
        <v>83</v>
      </c>
      <c r="T76" s="179" t="s">
        <v>83</v>
      </c>
      <c r="U76" s="179" t="s">
        <v>83</v>
      </c>
      <c r="V76" s="179" t="s">
        <v>83</v>
      </c>
      <c r="W76" s="179" t="s">
        <v>83</v>
      </c>
      <c r="X76" s="179" t="s">
        <v>83</v>
      </c>
      <c r="Y76" s="179" t="s">
        <v>83</v>
      </c>
      <c r="Z76" s="179" t="s">
        <v>83</v>
      </c>
      <c r="AA76" s="179" t="s">
        <v>83</v>
      </c>
      <c r="AB76" s="179" t="s">
        <v>83</v>
      </c>
      <c r="AC76" s="179" t="s">
        <v>83</v>
      </c>
      <c r="AD76" s="179" t="s">
        <v>83</v>
      </c>
      <c r="AE76" s="179" t="s">
        <v>83</v>
      </c>
      <c r="AF76" s="179" t="s">
        <v>83</v>
      </c>
      <c r="AG76" s="179" t="s">
        <v>83</v>
      </c>
      <c r="AH76" s="179" t="s">
        <v>83</v>
      </c>
      <c r="AI76" s="179" t="s">
        <v>83</v>
      </c>
      <c r="AJ76" s="179">
        <v>0</v>
      </c>
      <c r="AK76" s="179">
        <v>1</v>
      </c>
      <c r="AL76" s="179">
        <f>0.1*$AL$2</f>
        <v>7.5000000000000002E-4</v>
      </c>
      <c r="AM76" s="179">
        <f>AM72</f>
        <v>2.7E-2</v>
      </c>
      <c r="AN76" s="179">
        <f>ROUNDUP(AN72/3,0)</f>
        <v>1</v>
      </c>
      <c r="AQ76" s="182">
        <f>AM76*I76+AL76</f>
        <v>5.3467500000000001</v>
      </c>
      <c r="AR76" s="182">
        <f t="shared" si="79"/>
        <v>0.53467500000000001</v>
      </c>
      <c r="AS76" s="183">
        <f t="shared" si="80"/>
        <v>0.25</v>
      </c>
      <c r="AT76" s="183">
        <f t="shared" si="81"/>
        <v>1.53285625</v>
      </c>
      <c r="AU76" s="182">
        <f>10068.2*J76*POWER(10,-6)*10</f>
        <v>19.935036</v>
      </c>
      <c r="AV76" s="183">
        <f t="shared" si="82"/>
        <v>27.599317249999999</v>
      </c>
      <c r="AW76" s="184">
        <f t="shared" si="83"/>
        <v>0</v>
      </c>
      <c r="AX76" s="184">
        <f t="shared" si="84"/>
        <v>4.500000000000001E-6</v>
      </c>
      <c r="AY76" s="184">
        <f t="shared" si="85"/>
        <v>1.2419692762500001E-4</v>
      </c>
    </row>
    <row r="77" spans="1:51" s="179" customFormat="1" ht="15" thickBot="1" x14ac:dyDescent="0.35">
      <c r="A77" s="169" t="s">
        <v>23</v>
      </c>
      <c r="B77" s="169" t="str">
        <f>B72</f>
        <v>Резервуар РВС (8204T0001)</v>
      </c>
      <c r="C77" s="171" t="s">
        <v>201</v>
      </c>
      <c r="D77" s="172" t="s">
        <v>61</v>
      </c>
      <c r="E77" s="185">
        <f>E75</f>
        <v>1E-4</v>
      </c>
      <c r="F77" s="186">
        <f>F72</f>
        <v>1</v>
      </c>
      <c r="G77" s="169">
        <v>0.85499999999999998</v>
      </c>
      <c r="H77" s="174">
        <f t="shared" si="75"/>
        <v>8.5500000000000005E-5</v>
      </c>
      <c r="I77" s="187">
        <f>0.15*I72</f>
        <v>198</v>
      </c>
      <c r="J77" s="169">
        <v>0</v>
      </c>
      <c r="K77" s="192" t="s">
        <v>191</v>
      </c>
      <c r="L77" s="192">
        <v>11</v>
      </c>
      <c r="M77" s="179" t="str">
        <f t="shared" si="76"/>
        <v>С6</v>
      </c>
      <c r="N77" s="179" t="str">
        <f t="shared" si="77"/>
        <v>Резервуар РВС (8204T0001)</v>
      </c>
      <c r="O77" s="179" t="str">
        <f t="shared" si="78"/>
        <v>Частичное-ликвидация</v>
      </c>
      <c r="P77" s="179" t="s">
        <v>83</v>
      </c>
      <c r="Q77" s="179" t="s">
        <v>83</v>
      </c>
      <c r="R77" s="179" t="s">
        <v>83</v>
      </c>
      <c r="S77" s="179" t="s">
        <v>83</v>
      </c>
      <c r="T77" s="179" t="s">
        <v>83</v>
      </c>
      <c r="U77" s="179" t="s">
        <v>83</v>
      </c>
      <c r="V77" s="179" t="s">
        <v>83</v>
      </c>
      <c r="W77" s="179" t="s">
        <v>83</v>
      </c>
      <c r="X77" s="179" t="s">
        <v>83</v>
      </c>
      <c r="Y77" s="179" t="s">
        <v>83</v>
      </c>
      <c r="Z77" s="179" t="s">
        <v>83</v>
      </c>
      <c r="AA77" s="179" t="s">
        <v>83</v>
      </c>
      <c r="AB77" s="179" t="s">
        <v>83</v>
      </c>
      <c r="AC77" s="179" t="s">
        <v>83</v>
      </c>
      <c r="AD77" s="179" t="s">
        <v>83</v>
      </c>
      <c r="AE77" s="179" t="s">
        <v>83</v>
      </c>
      <c r="AF77" s="179" t="s">
        <v>83</v>
      </c>
      <c r="AG77" s="179" t="s">
        <v>83</v>
      </c>
      <c r="AH77" s="179" t="s">
        <v>83</v>
      </c>
      <c r="AI77" s="179" t="s">
        <v>83</v>
      </c>
      <c r="AJ77" s="179">
        <v>0</v>
      </c>
      <c r="AK77" s="179">
        <v>0</v>
      </c>
      <c r="AL77" s="179">
        <f>0.1*$AL$2</f>
        <v>7.5000000000000002E-4</v>
      </c>
      <c r="AM77" s="179">
        <f>AM72</f>
        <v>2.7E-2</v>
      </c>
      <c r="AN77" s="179">
        <f>ROUNDUP(AN72/3,0)</f>
        <v>1</v>
      </c>
      <c r="AQ77" s="182">
        <f>AM77*I77*0.1+AL77</f>
        <v>0.5353500000000001</v>
      </c>
      <c r="AR77" s="182">
        <f t="shared" si="79"/>
        <v>5.3535000000000013E-2</v>
      </c>
      <c r="AS77" s="183">
        <f t="shared" si="80"/>
        <v>0</v>
      </c>
      <c r="AT77" s="183">
        <f t="shared" si="81"/>
        <v>0.14722125000000003</v>
      </c>
      <c r="AU77" s="182">
        <f>1333*J76*POWER(10,-6)</f>
        <v>0.263934</v>
      </c>
      <c r="AV77" s="183">
        <f t="shared" si="82"/>
        <v>1.0000402500000001</v>
      </c>
      <c r="AW77" s="184">
        <f t="shared" si="83"/>
        <v>0</v>
      </c>
      <c r="AX77" s="184">
        <f t="shared" si="84"/>
        <v>0</v>
      </c>
      <c r="AY77" s="184">
        <f t="shared" si="85"/>
        <v>8.5503441375000009E-5</v>
      </c>
    </row>
    <row r="78" spans="1:51" s="179" customFormat="1" x14ac:dyDescent="0.3">
      <c r="A78" s="180"/>
      <c r="B78" s="180"/>
      <c r="D78" s="271"/>
      <c r="E78" s="272"/>
      <c r="F78" s="273"/>
      <c r="G78" s="180"/>
      <c r="H78" s="184"/>
      <c r="I78" s="183"/>
      <c r="J78" s="180"/>
      <c r="K78" s="180"/>
      <c r="L78" s="180"/>
      <c r="AQ78" s="182"/>
      <c r="AR78" s="182"/>
      <c r="AS78" s="183"/>
      <c r="AT78" s="183"/>
      <c r="AU78" s="182"/>
      <c r="AV78" s="183"/>
      <c r="AW78" s="184"/>
      <c r="AX78" s="184"/>
      <c r="AY78" s="184"/>
    </row>
    <row r="79" spans="1:51" s="179" customFormat="1" x14ac:dyDescent="0.3">
      <c r="A79" s="180"/>
      <c r="B79" s="180"/>
      <c r="D79" s="271"/>
      <c r="E79" s="272"/>
      <c r="F79" s="273"/>
      <c r="G79" s="180"/>
      <c r="H79" s="184"/>
      <c r="I79" s="183"/>
      <c r="J79" s="180"/>
      <c r="K79" s="180"/>
      <c r="L79" s="180"/>
      <c r="AQ79" s="182"/>
      <c r="AR79" s="182"/>
      <c r="AS79" s="183"/>
      <c r="AT79" s="183"/>
      <c r="AU79" s="182"/>
      <c r="AV79" s="183"/>
      <c r="AW79" s="184"/>
      <c r="AX79" s="184"/>
      <c r="AY79" s="184"/>
    </row>
    <row r="80" spans="1:51" s="179" customFormat="1" x14ac:dyDescent="0.3">
      <c r="A80" s="180"/>
      <c r="B80" s="180"/>
      <c r="D80" s="271"/>
      <c r="E80" s="272"/>
      <c r="F80" s="273"/>
      <c r="G80" s="180"/>
      <c r="H80" s="184"/>
      <c r="I80" s="183"/>
      <c r="J80" s="180"/>
      <c r="K80" s="180"/>
      <c r="L80" s="180"/>
      <c r="AQ80" s="182"/>
      <c r="AR80" s="182"/>
      <c r="AS80" s="183"/>
      <c r="AT80" s="183"/>
      <c r="AU80" s="182"/>
      <c r="AV80" s="183"/>
      <c r="AW80" s="184"/>
      <c r="AX80" s="184"/>
      <c r="AY80" s="184"/>
    </row>
    <row r="81" spans="1:51" ht="15" thickBot="1" x14ac:dyDescent="0.35"/>
    <row r="82" spans="1:51" ht="15" thickBot="1" x14ac:dyDescent="0.35">
      <c r="A82" s="48" t="s">
        <v>18</v>
      </c>
      <c r="B82" s="150" t="s">
        <v>598</v>
      </c>
      <c r="C82" s="166" t="s">
        <v>159</v>
      </c>
      <c r="D82" s="49" t="s">
        <v>59</v>
      </c>
      <c r="E82" s="153">
        <v>9.9999999999999995E-8</v>
      </c>
      <c r="F82" s="150">
        <v>180</v>
      </c>
      <c r="G82" s="48">
        <v>0.2</v>
      </c>
      <c r="H82" s="50">
        <f t="shared" ref="H82:H87" si="86">E82*F82*G82</f>
        <v>3.6000000000000003E-6</v>
      </c>
      <c r="I82" s="151">
        <v>7.89</v>
      </c>
      <c r="J82" s="149">
        <f>I82</f>
        <v>7.89</v>
      </c>
      <c r="K82" s="159" t="s">
        <v>175</v>
      </c>
      <c r="L82" s="164">
        <f>J82*20</f>
        <v>157.79999999999998</v>
      </c>
      <c r="M82" s="92" t="str">
        <f t="shared" ref="M82:M87" si="87">A82</f>
        <v>С1</v>
      </c>
      <c r="N82" s="92" t="str">
        <f t="shared" ref="N82:N87" si="88">B82</f>
        <v>Трубопровод дизельного топлива на пуск рег.№1029</v>
      </c>
      <c r="O82" s="92" t="str">
        <f t="shared" ref="O82:O87" si="89">D82</f>
        <v>Полное-пожар</v>
      </c>
      <c r="P82" s="92">
        <v>17.100000000000001</v>
      </c>
      <c r="Q82" s="92">
        <v>23.5</v>
      </c>
      <c r="R82" s="92">
        <v>33.1</v>
      </c>
      <c r="S82" s="92">
        <v>61.2</v>
      </c>
      <c r="T82" s="92" t="s">
        <v>83</v>
      </c>
      <c r="U82" s="92" t="s">
        <v>83</v>
      </c>
      <c r="V82" s="92" t="s">
        <v>83</v>
      </c>
      <c r="W82" s="92" t="s">
        <v>83</v>
      </c>
      <c r="X82" s="92" t="s">
        <v>83</v>
      </c>
      <c r="Y82" s="92" t="s">
        <v>83</v>
      </c>
      <c r="Z82" s="92" t="s">
        <v>83</v>
      </c>
      <c r="AA82" s="92" t="s">
        <v>83</v>
      </c>
      <c r="AB82" s="92" t="s">
        <v>83</v>
      </c>
      <c r="AC82" s="92" t="s">
        <v>83</v>
      </c>
      <c r="AD82" s="92" t="s">
        <v>83</v>
      </c>
      <c r="AE82" s="92" t="s">
        <v>83</v>
      </c>
      <c r="AF82" s="92" t="s">
        <v>83</v>
      </c>
      <c r="AG82" s="92" t="s">
        <v>83</v>
      </c>
      <c r="AH82" s="92" t="s">
        <v>83</v>
      </c>
      <c r="AI82" s="92" t="s">
        <v>83</v>
      </c>
      <c r="AJ82" s="52">
        <v>1</v>
      </c>
      <c r="AK82" s="52">
        <v>2</v>
      </c>
      <c r="AL82" s="152">
        <v>0.75</v>
      </c>
      <c r="AM82" s="152">
        <v>2.7E-2</v>
      </c>
      <c r="AN82" s="152">
        <v>3</v>
      </c>
      <c r="AO82" s="92"/>
      <c r="AP82" s="92"/>
      <c r="AQ82" s="93">
        <f>AM82*I82+AL82</f>
        <v>0.96303000000000005</v>
      </c>
      <c r="AR82" s="93">
        <f t="shared" ref="AR82:AR87" si="90">0.1*AQ82</f>
        <v>9.6303000000000014E-2</v>
      </c>
      <c r="AS82" s="94">
        <f t="shared" ref="AS82:AS87" si="91">AJ82*3+0.25*AK82</f>
        <v>3.5</v>
      </c>
      <c r="AT82" s="94">
        <f t="shared" ref="AT82:AT87" si="92">SUM(AQ82:AS82)/4</f>
        <v>1.1398332500000001</v>
      </c>
      <c r="AU82" s="93">
        <f>10068.2*J82*POWER(10,-6)</f>
        <v>7.9438097999999999E-2</v>
      </c>
      <c r="AV82" s="94">
        <f t="shared" ref="AV82:AV87" si="93">AU82+AT82+AS82+AR82+AQ82</f>
        <v>5.778604348</v>
      </c>
      <c r="AW82" s="95">
        <f t="shared" ref="AW82:AW87" si="94">AJ82*H82</f>
        <v>3.6000000000000003E-6</v>
      </c>
      <c r="AX82" s="95">
        <f t="shared" ref="AX82:AX87" si="95">H82*AK82</f>
        <v>7.2000000000000005E-6</v>
      </c>
      <c r="AY82" s="95">
        <f t="shared" ref="AY82:AY87" si="96">H82*AV82</f>
        <v>2.08029756528E-5</v>
      </c>
    </row>
    <row r="83" spans="1:51" ht="15" thickBot="1" x14ac:dyDescent="0.35">
      <c r="A83" s="48" t="s">
        <v>19</v>
      </c>
      <c r="B83" s="48" t="str">
        <f>B82</f>
        <v>Трубопровод дизельного топлива на пуск рег.№1029</v>
      </c>
      <c r="C83" s="166" t="s">
        <v>174</v>
      </c>
      <c r="D83" s="49" t="s">
        <v>59</v>
      </c>
      <c r="E83" s="154">
        <f>E82</f>
        <v>9.9999999999999995E-8</v>
      </c>
      <c r="F83" s="155">
        <f>F82</f>
        <v>180</v>
      </c>
      <c r="G83" s="48">
        <v>0.04</v>
      </c>
      <c r="H83" s="50">
        <f t="shared" si="86"/>
        <v>7.1999999999999999E-7</v>
      </c>
      <c r="I83" s="149">
        <f>I82</f>
        <v>7.89</v>
      </c>
      <c r="J83" s="149">
        <f>I82</f>
        <v>7.89</v>
      </c>
      <c r="K83" s="159" t="s">
        <v>176</v>
      </c>
      <c r="L83" s="164">
        <v>0</v>
      </c>
      <c r="M83" s="92" t="str">
        <f t="shared" si="87"/>
        <v>С2</v>
      </c>
      <c r="N83" s="92" t="str">
        <f t="shared" si="88"/>
        <v>Трубопровод дизельного топлива на пуск рег.№1029</v>
      </c>
      <c r="O83" s="92" t="str">
        <f t="shared" si="89"/>
        <v>Полное-пожар</v>
      </c>
      <c r="P83" s="92">
        <v>17.100000000000001</v>
      </c>
      <c r="Q83" s="92">
        <v>23.5</v>
      </c>
      <c r="R83" s="92">
        <v>33.1</v>
      </c>
      <c r="S83" s="92">
        <v>61.2</v>
      </c>
      <c r="T83" s="92" t="s">
        <v>83</v>
      </c>
      <c r="U83" s="92" t="s">
        <v>83</v>
      </c>
      <c r="V83" s="92" t="s">
        <v>83</v>
      </c>
      <c r="W83" s="92" t="s">
        <v>83</v>
      </c>
      <c r="X83" s="92" t="s">
        <v>83</v>
      </c>
      <c r="Y83" s="92" t="s">
        <v>83</v>
      </c>
      <c r="Z83" s="92" t="s">
        <v>83</v>
      </c>
      <c r="AA83" s="92" t="s">
        <v>83</v>
      </c>
      <c r="AB83" s="92" t="s">
        <v>83</v>
      </c>
      <c r="AC83" s="92" t="s">
        <v>83</v>
      </c>
      <c r="AD83" s="92" t="s">
        <v>83</v>
      </c>
      <c r="AE83" s="92" t="s">
        <v>83</v>
      </c>
      <c r="AF83" s="92" t="s">
        <v>83</v>
      </c>
      <c r="AG83" s="92" t="s">
        <v>83</v>
      </c>
      <c r="AH83" s="92" t="s">
        <v>83</v>
      </c>
      <c r="AI83" s="92" t="s">
        <v>83</v>
      </c>
      <c r="AJ83" s="52">
        <v>2</v>
      </c>
      <c r="AK83" s="52">
        <v>2</v>
      </c>
      <c r="AL83" s="92">
        <f>AL82</f>
        <v>0.75</v>
      </c>
      <c r="AM83" s="92">
        <f>AM82</f>
        <v>2.7E-2</v>
      </c>
      <c r="AN83" s="92">
        <f>AN82</f>
        <v>3</v>
      </c>
      <c r="AO83" s="92"/>
      <c r="AP83" s="92"/>
      <c r="AQ83" s="93">
        <f>AM83*I83+AL83</f>
        <v>0.96303000000000005</v>
      </c>
      <c r="AR83" s="93">
        <f t="shared" si="90"/>
        <v>9.6303000000000014E-2</v>
      </c>
      <c r="AS83" s="94">
        <f t="shared" si="91"/>
        <v>6.5</v>
      </c>
      <c r="AT83" s="94">
        <f t="shared" si="92"/>
        <v>1.8898332500000001</v>
      </c>
      <c r="AU83" s="93">
        <f>10068.2*J83*POWER(10,-6)*10</f>
        <v>0.79438098000000001</v>
      </c>
      <c r="AV83" s="94">
        <f t="shared" si="93"/>
        <v>10.243547230000001</v>
      </c>
      <c r="AW83" s="95">
        <f t="shared" si="94"/>
        <v>1.44E-6</v>
      </c>
      <c r="AX83" s="95">
        <f t="shared" si="95"/>
        <v>1.44E-6</v>
      </c>
      <c r="AY83" s="95">
        <f t="shared" si="96"/>
        <v>7.3753540056000005E-6</v>
      </c>
    </row>
    <row r="84" spans="1:51" x14ac:dyDescent="0.3">
      <c r="A84" s="48" t="s">
        <v>20</v>
      </c>
      <c r="B84" s="48" t="str">
        <f>B82</f>
        <v>Трубопровод дизельного топлива на пуск рег.№1029</v>
      </c>
      <c r="C84" s="166" t="s">
        <v>161</v>
      </c>
      <c r="D84" s="49" t="s">
        <v>60</v>
      </c>
      <c r="E84" s="154">
        <f>E82</f>
        <v>9.9999999999999995E-8</v>
      </c>
      <c r="F84" s="155">
        <f>F82</f>
        <v>180</v>
      </c>
      <c r="G84" s="48">
        <v>0.76</v>
      </c>
      <c r="H84" s="50">
        <f t="shared" si="86"/>
        <v>1.3680000000000001E-5</v>
      </c>
      <c r="I84" s="149">
        <f>I82</f>
        <v>7.89</v>
      </c>
      <c r="J84" s="48">
        <v>0</v>
      </c>
      <c r="K84" s="159" t="s">
        <v>177</v>
      </c>
      <c r="L84" s="164">
        <v>0</v>
      </c>
      <c r="M84" s="92" t="str">
        <f t="shared" si="87"/>
        <v>С3</v>
      </c>
      <c r="N84" s="92" t="str">
        <f t="shared" si="88"/>
        <v>Трубопровод дизельного топлива на пуск рег.№1029</v>
      </c>
      <c r="O84" s="92" t="str">
        <f t="shared" si="89"/>
        <v>Полное-ликвидация</v>
      </c>
      <c r="P84" s="92" t="s">
        <v>83</v>
      </c>
      <c r="Q84" s="92" t="s">
        <v>83</v>
      </c>
      <c r="R84" s="92" t="s">
        <v>83</v>
      </c>
      <c r="S84" s="92" t="s">
        <v>83</v>
      </c>
      <c r="T84" s="92" t="s">
        <v>83</v>
      </c>
      <c r="U84" s="92" t="s">
        <v>83</v>
      </c>
      <c r="V84" s="92" t="s">
        <v>83</v>
      </c>
      <c r="W84" s="92" t="s">
        <v>83</v>
      </c>
      <c r="X84" s="92" t="s">
        <v>83</v>
      </c>
      <c r="Y84" s="92" t="s">
        <v>83</v>
      </c>
      <c r="Z84" s="92" t="s">
        <v>83</v>
      </c>
      <c r="AA84" s="92" t="s">
        <v>83</v>
      </c>
      <c r="AB84" s="92" t="s">
        <v>83</v>
      </c>
      <c r="AC84" s="92" t="s">
        <v>83</v>
      </c>
      <c r="AD84" s="92" t="s">
        <v>83</v>
      </c>
      <c r="AE84" s="92" t="s">
        <v>83</v>
      </c>
      <c r="AF84" s="92" t="s">
        <v>83</v>
      </c>
      <c r="AG84" s="92" t="s">
        <v>83</v>
      </c>
      <c r="AH84" s="92" t="s">
        <v>83</v>
      </c>
      <c r="AI84" s="92" t="s">
        <v>83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O84" s="92"/>
      <c r="AP84" s="92"/>
      <c r="AQ84" s="93">
        <f>AM84*I84*0.1+AL84</f>
        <v>0.77130299999999996</v>
      </c>
      <c r="AR84" s="93">
        <f t="shared" si="90"/>
        <v>7.7130299999999999E-2</v>
      </c>
      <c r="AS84" s="94">
        <f t="shared" si="91"/>
        <v>0</v>
      </c>
      <c r="AT84" s="94">
        <f t="shared" si="92"/>
        <v>0.21210832499999999</v>
      </c>
      <c r="AU84" s="93">
        <f>1333*J83*POWER(10,-6)</f>
        <v>1.0517369999999998E-2</v>
      </c>
      <c r="AV84" s="94">
        <f t="shared" si="93"/>
        <v>1.071058995</v>
      </c>
      <c r="AW84" s="95">
        <f t="shared" si="94"/>
        <v>0</v>
      </c>
      <c r="AX84" s="95">
        <f t="shared" si="95"/>
        <v>0</v>
      </c>
      <c r="AY84" s="95">
        <f t="shared" si="96"/>
        <v>1.4652087051600001E-5</v>
      </c>
    </row>
    <row r="85" spans="1:51" x14ac:dyDescent="0.3">
      <c r="A85" s="48" t="s">
        <v>21</v>
      </c>
      <c r="B85" s="48" t="str">
        <f>B82</f>
        <v>Трубопровод дизельного топлива на пуск рег.№1029</v>
      </c>
      <c r="C85" s="166" t="s">
        <v>162</v>
      </c>
      <c r="D85" s="49" t="s">
        <v>84</v>
      </c>
      <c r="E85" s="153">
        <v>5.0000000000000004E-6</v>
      </c>
      <c r="F85" s="155">
        <f>F82</f>
        <v>180</v>
      </c>
      <c r="G85" s="48">
        <v>0.2</v>
      </c>
      <c r="H85" s="50">
        <f t="shared" si="86"/>
        <v>1.8000000000000004E-4</v>
      </c>
      <c r="I85" s="149">
        <f>0.15*I82</f>
        <v>1.1835</v>
      </c>
      <c r="J85" s="149">
        <f>I85</f>
        <v>1.1835</v>
      </c>
      <c r="K85" s="161" t="s">
        <v>179</v>
      </c>
      <c r="L85" s="165">
        <v>45390</v>
      </c>
      <c r="M85" s="92" t="str">
        <f t="shared" si="87"/>
        <v>С4</v>
      </c>
      <c r="N85" s="92" t="str">
        <f t="shared" si="88"/>
        <v>Трубопровод дизельного топлива на пуск рег.№1029</v>
      </c>
      <c r="O85" s="92" t="str">
        <f t="shared" si="89"/>
        <v>Частичное-пожар</v>
      </c>
      <c r="P85" s="92">
        <v>12.8</v>
      </c>
      <c r="Q85" s="92">
        <v>16.399999999999999</v>
      </c>
      <c r="R85" s="92">
        <v>21.7</v>
      </c>
      <c r="S85" s="92">
        <v>37.299999999999997</v>
      </c>
      <c r="T85" s="92" t="s">
        <v>83</v>
      </c>
      <c r="U85" s="92" t="s">
        <v>83</v>
      </c>
      <c r="V85" s="92" t="s">
        <v>83</v>
      </c>
      <c r="W85" s="92" t="s">
        <v>83</v>
      </c>
      <c r="X85" s="92" t="s">
        <v>83</v>
      </c>
      <c r="Y85" s="92" t="s">
        <v>83</v>
      </c>
      <c r="Z85" s="92" t="s">
        <v>83</v>
      </c>
      <c r="AA85" s="92" t="s">
        <v>83</v>
      </c>
      <c r="AB85" s="92" t="s">
        <v>83</v>
      </c>
      <c r="AC85" s="92" t="s">
        <v>83</v>
      </c>
      <c r="AD85" s="92" t="s">
        <v>83</v>
      </c>
      <c r="AE85" s="92" t="s">
        <v>83</v>
      </c>
      <c r="AF85" s="92" t="s">
        <v>83</v>
      </c>
      <c r="AG85" s="92" t="s">
        <v>83</v>
      </c>
      <c r="AH85" s="92" t="s">
        <v>83</v>
      </c>
      <c r="AI85" s="92" t="s">
        <v>83</v>
      </c>
      <c r="AJ85" s="92">
        <v>0</v>
      </c>
      <c r="AK85" s="92">
        <v>2</v>
      </c>
      <c r="AL85" s="92">
        <f>0.1*$AL$2</f>
        <v>7.5000000000000002E-4</v>
      </c>
      <c r="AM85" s="92">
        <f>AM82</f>
        <v>2.7E-2</v>
      </c>
      <c r="AN85" s="92">
        <f>ROUNDUP(AN82/3,0)</f>
        <v>1</v>
      </c>
      <c r="AO85" s="92"/>
      <c r="AP85" s="92"/>
      <c r="AQ85" s="93">
        <f>AM85*I85+AL85</f>
        <v>3.2704499999999997E-2</v>
      </c>
      <c r="AR85" s="93">
        <f t="shared" si="90"/>
        <v>3.2704499999999998E-3</v>
      </c>
      <c r="AS85" s="94">
        <f t="shared" si="91"/>
        <v>0.5</v>
      </c>
      <c r="AT85" s="94">
        <f t="shared" si="92"/>
        <v>0.13399373749999999</v>
      </c>
      <c r="AU85" s="93">
        <f>10068.2*J85*POWER(10,-6)</f>
        <v>1.19157147E-2</v>
      </c>
      <c r="AV85" s="94">
        <f t="shared" si="93"/>
        <v>0.68188440220000002</v>
      </c>
      <c r="AW85" s="95">
        <f t="shared" si="94"/>
        <v>0</v>
      </c>
      <c r="AX85" s="95">
        <f t="shared" si="95"/>
        <v>3.6000000000000008E-4</v>
      </c>
      <c r="AY85" s="95">
        <f t="shared" si="96"/>
        <v>1.2273919239600003E-4</v>
      </c>
    </row>
    <row r="86" spans="1:51" x14ac:dyDescent="0.3">
      <c r="A86" s="48" t="s">
        <v>22</v>
      </c>
      <c r="B86" s="48" t="str">
        <f>B82</f>
        <v>Трубопровод дизельного топлива на пуск рег.№1029</v>
      </c>
      <c r="C86" s="166" t="s">
        <v>190</v>
      </c>
      <c r="D86" s="49" t="s">
        <v>84</v>
      </c>
      <c r="E86" s="154">
        <f>E85</f>
        <v>5.0000000000000004E-6</v>
      </c>
      <c r="F86" s="155">
        <f>F82</f>
        <v>180</v>
      </c>
      <c r="G86" s="48">
        <v>0.04</v>
      </c>
      <c r="H86" s="50">
        <f t="shared" si="86"/>
        <v>3.6000000000000001E-5</v>
      </c>
      <c r="I86" s="149">
        <f>0.15*I82</f>
        <v>1.1835</v>
      </c>
      <c r="J86" s="149">
        <f>I85</f>
        <v>1.1835</v>
      </c>
      <c r="K86" s="161" t="s">
        <v>180</v>
      </c>
      <c r="L86" s="165">
        <v>3</v>
      </c>
      <c r="M86" s="92" t="str">
        <f t="shared" si="87"/>
        <v>С5</v>
      </c>
      <c r="N86" s="92" t="str">
        <f t="shared" si="88"/>
        <v>Трубопровод дизельного топлива на пуск рег.№1029</v>
      </c>
      <c r="O86" s="92" t="str">
        <f t="shared" si="89"/>
        <v>Частичное-пожар</v>
      </c>
      <c r="P86" s="92">
        <v>12.8</v>
      </c>
      <c r="Q86" s="92">
        <v>16.399999999999999</v>
      </c>
      <c r="R86" s="92">
        <v>21.7</v>
      </c>
      <c r="S86" s="92">
        <v>37.299999999999997</v>
      </c>
      <c r="T86" s="92" t="s">
        <v>83</v>
      </c>
      <c r="U86" s="92" t="s">
        <v>83</v>
      </c>
      <c r="V86" s="92" t="s">
        <v>83</v>
      </c>
      <c r="W86" s="92" t="s">
        <v>83</v>
      </c>
      <c r="X86" s="92" t="s">
        <v>83</v>
      </c>
      <c r="Y86" s="92" t="s">
        <v>83</v>
      </c>
      <c r="Z86" s="92" t="s">
        <v>83</v>
      </c>
      <c r="AA86" s="92" t="s">
        <v>83</v>
      </c>
      <c r="AB86" s="92" t="s">
        <v>83</v>
      </c>
      <c r="AC86" s="92" t="s">
        <v>83</v>
      </c>
      <c r="AD86" s="92" t="s">
        <v>83</v>
      </c>
      <c r="AE86" s="92" t="s">
        <v>83</v>
      </c>
      <c r="AF86" s="92" t="s">
        <v>83</v>
      </c>
      <c r="AG86" s="92" t="s">
        <v>83</v>
      </c>
      <c r="AH86" s="92" t="s">
        <v>83</v>
      </c>
      <c r="AI86" s="92" t="s">
        <v>83</v>
      </c>
      <c r="AJ86" s="92">
        <v>0</v>
      </c>
      <c r="AK86" s="92">
        <v>1</v>
      </c>
      <c r="AL86" s="92">
        <f>0.1*$AL$2</f>
        <v>7.5000000000000002E-4</v>
      </c>
      <c r="AM86" s="92">
        <f>AM82</f>
        <v>2.7E-2</v>
      </c>
      <c r="AN86" s="92">
        <f>ROUNDUP(AN82/3,0)</f>
        <v>1</v>
      </c>
      <c r="AO86" s="92"/>
      <c r="AP86" s="92"/>
      <c r="AQ86" s="93">
        <f>AM86*I86+AL86</f>
        <v>3.2704499999999997E-2</v>
      </c>
      <c r="AR86" s="93">
        <f t="shared" si="90"/>
        <v>3.2704499999999998E-3</v>
      </c>
      <c r="AS86" s="94">
        <f t="shared" si="91"/>
        <v>0.25</v>
      </c>
      <c r="AT86" s="94">
        <f t="shared" si="92"/>
        <v>7.1493737500000001E-2</v>
      </c>
      <c r="AU86" s="93">
        <f>10068.2*J86*POWER(10,-6)*10</f>
        <v>0.11915714699999999</v>
      </c>
      <c r="AV86" s="94">
        <f t="shared" si="93"/>
        <v>0.47662583449999996</v>
      </c>
      <c r="AW86" s="95">
        <f t="shared" si="94"/>
        <v>0</v>
      </c>
      <c r="AX86" s="95">
        <f t="shared" si="95"/>
        <v>3.6000000000000001E-5</v>
      </c>
      <c r="AY86" s="95">
        <f t="shared" si="96"/>
        <v>1.7158530042E-5</v>
      </c>
    </row>
    <row r="87" spans="1:51" ht="15" thickBot="1" x14ac:dyDescent="0.35">
      <c r="A87" s="48" t="s">
        <v>23</v>
      </c>
      <c r="B87" s="48" t="str">
        <f>B82</f>
        <v>Трубопровод дизельного топлива на пуск рег.№1029</v>
      </c>
      <c r="C87" s="166" t="s">
        <v>164</v>
      </c>
      <c r="D87" s="49" t="s">
        <v>61</v>
      </c>
      <c r="E87" s="154">
        <f>E85</f>
        <v>5.0000000000000004E-6</v>
      </c>
      <c r="F87" s="155">
        <f>F82</f>
        <v>180</v>
      </c>
      <c r="G87" s="48">
        <v>0.76</v>
      </c>
      <c r="H87" s="50">
        <f t="shared" si="86"/>
        <v>6.8400000000000004E-4</v>
      </c>
      <c r="I87" s="149">
        <f>0.15*I82</f>
        <v>1.1835</v>
      </c>
      <c r="J87" s="48">
        <v>0</v>
      </c>
      <c r="K87" s="162" t="s">
        <v>191</v>
      </c>
      <c r="L87" s="168">
        <v>3</v>
      </c>
      <c r="M87" s="92" t="str">
        <f t="shared" si="87"/>
        <v>С6</v>
      </c>
      <c r="N87" s="92" t="str">
        <f t="shared" si="88"/>
        <v>Трубопровод дизельного топлива на пуск рег.№1029</v>
      </c>
      <c r="O87" s="92" t="str">
        <f t="shared" si="89"/>
        <v>Частичное-ликвидация</v>
      </c>
      <c r="P87" s="92" t="s">
        <v>83</v>
      </c>
      <c r="Q87" s="92" t="s">
        <v>83</v>
      </c>
      <c r="R87" s="92" t="s">
        <v>83</v>
      </c>
      <c r="S87" s="92" t="s">
        <v>83</v>
      </c>
      <c r="T87" s="92" t="s">
        <v>83</v>
      </c>
      <c r="U87" s="92" t="s">
        <v>83</v>
      </c>
      <c r="V87" s="92" t="s">
        <v>83</v>
      </c>
      <c r="W87" s="92" t="s">
        <v>83</v>
      </c>
      <c r="X87" s="92" t="s">
        <v>83</v>
      </c>
      <c r="Y87" s="92" t="s">
        <v>83</v>
      </c>
      <c r="Z87" s="92" t="s">
        <v>83</v>
      </c>
      <c r="AA87" s="92" t="s">
        <v>83</v>
      </c>
      <c r="AB87" s="92" t="s">
        <v>83</v>
      </c>
      <c r="AC87" s="92" t="s">
        <v>83</v>
      </c>
      <c r="AD87" s="92" t="s">
        <v>83</v>
      </c>
      <c r="AE87" s="92" t="s">
        <v>83</v>
      </c>
      <c r="AF87" s="92" t="s">
        <v>83</v>
      </c>
      <c r="AG87" s="92" t="s">
        <v>83</v>
      </c>
      <c r="AH87" s="92" t="s">
        <v>83</v>
      </c>
      <c r="AI87" s="92" t="s">
        <v>83</v>
      </c>
      <c r="AJ87" s="92">
        <v>0</v>
      </c>
      <c r="AK87" s="92">
        <v>0</v>
      </c>
      <c r="AL87" s="92">
        <f>0.1*$AL$2</f>
        <v>7.5000000000000002E-4</v>
      </c>
      <c r="AM87" s="92">
        <f>AM82</f>
        <v>2.7E-2</v>
      </c>
      <c r="AN87" s="92">
        <f>ROUNDUP(AN82/3,0)</f>
        <v>1</v>
      </c>
      <c r="AO87" s="92"/>
      <c r="AP87" s="92"/>
      <c r="AQ87" s="93">
        <f>AM87*I87*0.1+AL87</f>
        <v>3.9454499999999997E-3</v>
      </c>
      <c r="AR87" s="93">
        <f t="shared" si="90"/>
        <v>3.94545E-4</v>
      </c>
      <c r="AS87" s="94">
        <f t="shared" si="91"/>
        <v>0</v>
      </c>
      <c r="AT87" s="94">
        <f t="shared" si="92"/>
        <v>1.0849987499999998E-3</v>
      </c>
      <c r="AU87" s="93">
        <f>1333*J86*POWER(10,-6)</f>
        <v>1.5776054999999999E-3</v>
      </c>
      <c r="AV87" s="94">
        <f t="shared" si="93"/>
        <v>7.0025992499999998E-3</v>
      </c>
      <c r="AW87" s="95">
        <f t="shared" si="94"/>
        <v>0</v>
      </c>
      <c r="AX87" s="95">
        <f t="shared" si="95"/>
        <v>0</v>
      </c>
      <c r="AY87" s="95">
        <f t="shared" si="96"/>
        <v>4.7897778870000002E-6</v>
      </c>
    </row>
    <row r="88" spans="1:51" x14ac:dyDescent="0.3">
      <c r="A88" s="48"/>
      <c r="B88" s="48"/>
      <c r="C88" s="166"/>
      <c r="D88" s="49"/>
      <c r="E88" s="154"/>
      <c r="F88" s="155"/>
      <c r="G88" s="48"/>
      <c r="H88" s="50"/>
      <c r="I88" s="149"/>
      <c r="J88" s="48"/>
      <c r="K88" s="278"/>
      <c r="L88" s="279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3"/>
      <c r="AR88" s="93"/>
      <c r="AS88" s="94"/>
      <c r="AT88" s="94"/>
      <c r="AU88" s="93"/>
      <c r="AV88" s="94"/>
      <c r="AW88" s="95"/>
      <c r="AX88" s="95"/>
      <c r="AY88" s="95"/>
    </row>
    <row r="89" spans="1:51" s="267" customFormat="1" x14ac:dyDescent="0.3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</row>
    <row r="90" spans="1:51" s="267" customFormat="1" x14ac:dyDescent="0.3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</row>
    <row r="91" spans="1:51" ht="15" thickBot="1" x14ac:dyDescent="0.35"/>
    <row r="92" spans="1:51" s="179" customFormat="1" ht="15" thickBot="1" x14ac:dyDescent="0.35">
      <c r="A92" s="169" t="s">
        <v>18</v>
      </c>
      <c r="B92" s="170" t="s">
        <v>600</v>
      </c>
      <c r="C92" s="171" t="s">
        <v>227</v>
      </c>
      <c r="D92" s="172" t="s">
        <v>183</v>
      </c>
      <c r="E92" s="173">
        <v>1.0000000000000001E-5</v>
      </c>
      <c r="F92" s="170">
        <v>1</v>
      </c>
      <c r="G92" s="169">
        <v>1.4999999999999999E-2</v>
      </c>
      <c r="H92" s="174">
        <f t="shared" ref="H92:H97" si="97">E92*F92*G92</f>
        <v>1.5000000000000002E-7</v>
      </c>
      <c r="I92" s="175">
        <f>(500/3600)*12</f>
        <v>1.6666666666666667</v>
      </c>
      <c r="J92" s="187">
        <f>I92</f>
        <v>1.6666666666666667</v>
      </c>
      <c r="K92" s="177" t="s">
        <v>175</v>
      </c>
      <c r="L92" s="422">
        <f>J92*20</f>
        <v>33.333333333333336</v>
      </c>
      <c r="M92" s="179" t="str">
        <f t="shared" ref="M92:N97" si="98">A92</f>
        <v>С1</v>
      </c>
      <c r="N92" s="179" t="str">
        <f t="shared" si="98"/>
        <v>Насос центробежный (8217P0005A)</v>
      </c>
      <c r="O92" s="179" t="str">
        <f t="shared" ref="O92:O97" si="99">D92</f>
        <v>Полное-факел</v>
      </c>
      <c r="P92" s="179" t="s">
        <v>83</v>
      </c>
      <c r="Q92" s="179" t="s">
        <v>83</v>
      </c>
      <c r="R92" s="179" t="s">
        <v>83</v>
      </c>
      <c r="S92" s="179" t="s">
        <v>83</v>
      </c>
      <c r="T92" s="179" t="s">
        <v>83</v>
      </c>
      <c r="U92" s="179" t="s">
        <v>83</v>
      </c>
      <c r="V92" s="179" t="s">
        <v>83</v>
      </c>
      <c r="W92" s="179" t="s">
        <v>83</v>
      </c>
      <c r="X92" s="179" t="s">
        <v>83</v>
      </c>
      <c r="Y92" s="179" t="s">
        <v>83</v>
      </c>
      <c r="Z92" s="179" t="s">
        <v>83</v>
      </c>
      <c r="AA92" s="179" t="s">
        <v>83</v>
      </c>
      <c r="AB92" s="179" t="s">
        <v>83</v>
      </c>
      <c r="AC92" s="179" t="s">
        <v>83</v>
      </c>
      <c r="AD92" s="179" t="s">
        <v>83</v>
      </c>
      <c r="AE92" s="179" t="s">
        <v>83</v>
      </c>
      <c r="AF92" s="179" t="s">
        <v>83</v>
      </c>
      <c r="AG92" s="179" t="s">
        <v>83</v>
      </c>
      <c r="AH92" s="179" t="s">
        <v>83</v>
      </c>
      <c r="AI92" s="179" t="s">
        <v>83</v>
      </c>
      <c r="AJ92" s="180">
        <v>1</v>
      </c>
      <c r="AK92" s="180">
        <v>2</v>
      </c>
      <c r="AL92" s="181">
        <v>0.75</v>
      </c>
      <c r="AM92" s="181">
        <v>2.7E-2</v>
      </c>
      <c r="AN92" s="181">
        <v>3</v>
      </c>
      <c r="AQ92" s="182">
        <f>AM92*I92+AL92</f>
        <v>0.79500000000000004</v>
      </c>
      <c r="AR92" s="182">
        <f t="shared" ref="AR92:AR97" si="100">0.1*AQ92</f>
        <v>7.9500000000000015E-2</v>
      </c>
      <c r="AS92" s="183">
        <f t="shared" ref="AS92:AS97" si="101">AJ92*3+0.25*AK92</f>
        <v>3.5</v>
      </c>
      <c r="AT92" s="183">
        <f t="shared" ref="AT92:AT97" si="102">SUM(AQ92:AS92)/4</f>
        <v>1.0936250000000001</v>
      </c>
      <c r="AU92" s="182">
        <f>10068.2*J92*POWER(10,-6)</f>
        <v>1.6780333333333335E-2</v>
      </c>
      <c r="AV92" s="183">
        <f t="shared" ref="AV92:AV97" si="103">AU92+AT92+AS92+AR92+AQ92</f>
        <v>5.4849053333333337</v>
      </c>
      <c r="AW92" s="184">
        <f t="shared" ref="AW92:AW97" si="104">AJ92*H92</f>
        <v>1.5000000000000002E-7</v>
      </c>
      <c r="AX92" s="184">
        <f t="shared" ref="AX92:AX97" si="105">H92*AK92</f>
        <v>3.0000000000000004E-7</v>
      </c>
      <c r="AY92" s="184">
        <f t="shared" ref="AY92:AY97" si="106">H92*AV92</f>
        <v>8.2273580000000014E-7</v>
      </c>
    </row>
    <row r="93" spans="1:51" s="179" customFormat="1" ht="15" thickBot="1" x14ac:dyDescent="0.35">
      <c r="A93" s="169" t="s">
        <v>19</v>
      </c>
      <c r="B93" s="169" t="str">
        <f>B92</f>
        <v>Насос центробежный (8217P0005A)</v>
      </c>
      <c r="C93" s="171" t="s">
        <v>238</v>
      </c>
      <c r="D93" s="172" t="s">
        <v>59</v>
      </c>
      <c r="E93" s="185">
        <f>E92</f>
        <v>1.0000000000000001E-5</v>
      </c>
      <c r="F93" s="186">
        <f>F92</f>
        <v>1</v>
      </c>
      <c r="G93" s="169">
        <v>1.4249999999999999E-2</v>
      </c>
      <c r="H93" s="174">
        <f t="shared" si="97"/>
        <v>1.4250000000000001E-7</v>
      </c>
      <c r="I93" s="187">
        <f>I92</f>
        <v>1.6666666666666667</v>
      </c>
      <c r="J93" s="175">
        <f>I92</f>
        <v>1.6666666666666667</v>
      </c>
      <c r="K93" s="177" t="s">
        <v>176</v>
      </c>
      <c r="L93" s="178">
        <v>0</v>
      </c>
      <c r="M93" s="179" t="str">
        <f t="shared" si="98"/>
        <v>С2</v>
      </c>
      <c r="N93" s="179" t="str">
        <f t="shared" si="98"/>
        <v>Насос центробежный (8217P0005A)</v>
      </c>
      <c r="O93" s="179" t="str">
        <f t="shared" si="99"/>
        <v>Полное-пожар</v>
      </c>
      <c r="P93" s="179" t="s">
        <v>83</v>
      </c>
      <c r="Q93" s="179" t="s">
        <v>83</v>
      </c>
      <c r="R93" s="179" t="s">
        <v>83</v>
      </c>
      <c r="S93" s="179" t="s">
        <v>83</v>
      </c>
      <c r="T93" s="179" t="s">
        <v>83</v>
      </c>
      <c r="U93" s="179" t="s">
        <v>83</v>
      </c>
      <c r="V93" s="179" t="s">
        <v>83</v>
      </c>
      <c r="W93" s="179" t="s">
        <v>83</v>
      </c>
      <c r="X93" s="179" t="s">
        <v>83</v>
      </c>
      <c r="Y93" s="179" t="s">
        <v>83</v>
      </c>
      <c r="Z93" s="179" t="s">
        <v>83</v>
      </c>
      <c r="AA93" s="179" t="s">
        <v>83</v>
      </c>
      <c r="AB93" s="179" t="s">
        <v>83</v>
      </c>
      <c r="AC93" s="179" t="s">
        <v>83</v>
      </c>
      <c r="AD93" s="179" t="s">
        <v>83</v>
      </c>
      <c r="AE93" s="179" t="s">
        <v>83</v>
      </c>
      <c r="AF93" s="179" t="s">
        <v>83</v>
      </c>
      <c r="AG93" s="179" t="s">
        <v>83</v>
      </c>
      <c r="AH93" s="179" t="s">
        <v>83</v>
      </c>
      <c r="AI93" s="179" t="s">
        <v>83</v>
      </c>
      <c r="AJ93" s="180">
        <v>2</v>
      </c>
      <c r="AK93" s="180">
        <v>2</v>
      </c>
      <c r="AL93" s="179">
        <f>AL92</f>
        <v>0.75</v>
      </c>
      <c r="AM93" s="179">
        <f>AM92</f>
        <v>2.7E-2</v>
      </c>
      <c r="AN93" s="179">
        <f>AN92</f>
        <v>3</v>
      </c>
      <c r="AQ93" s="182">
        <f>AM93*I93+AL93</f>
        <v>0.79500000000000004</v>
      </c>
      <c r="AR93" s="182">
        <f t="shared" si="100"/>
        <v>7.9500000000000015E-2</v>
      </c>
      <c r="AS93" s="183">
        <f t="shared" si="101"/>
        <v>6.5</v>
      </c>
      <c r="AT93" s="183">
        <f t="shared" si="102"/>
        <v>1.8436250000000001</v>
      </c>
      <c r="AU93" s="182">
        <f>10068.2*J93*POWER(10,-6)*10</f>
        <v>0.16780333333333336</v>
      </c>
      <c r="AV93" s="183">
        <f t="shared" si="103"/>
        <v>9.3859283333333323</v>
      </c>
      <c r="AW93" s="184">
        <f t="shared" si="104"/>
        <v>2.8500000000000002E-7</v>
      </c>
      <c r="AX93" s="184">
        <f t="shared" si="105"/>
        <v>2.8500000000000002E-7</v>
      </c>
      <c r="AY93" s="184">
        <f t="shared" si="106"/>
        <v>1.3374947874999999E-6</v>
      </c>
    </row>
    <row r="94" spans="1:51" s="179" customFormat="1" x14ac:dyDescent="0.3">
      <c r="A94" s="169" t="s">
        <v>20</v>
      </c>
      <c r="B94" s="169" t="str">
        <f>B92</f>
        <v>Насос центробежный (8217P0005A)</v>
      </c>
      <c r="C94" s="171" t="s">
        <v>239</v>
      </c>
      <c r="D94" s="172" t="s">
        <v>60</v>
      </c>
      <c r="E94" s="185">
        <f>E92</f>
        <v>1.0000000000000001E-5</v>
      </c>
      <c r="F94" s="186">
        <f>F92</f>
        <v>1</v>
      </c>
      <c r="G94" s="169">
        <v>0.27074999999999999</v>
      </c>
      <c r="H94" s="174">
        <f t="shared" si="97"/>
        <v>2.7075000000000003E-6</v>
      </c>
      <c r="I94" s="187">
        <f>I92</f>
        <v>1.6666666666666667</v>
      </c>
      <c r="J94" s="169">
        <v>0</v>
      </c>
      <c r="K94" s="177" t="s">
        <v>177</v>
      </c>
      <c r="L94" s="178">
        <v>1</v>
      </c>
      <c r="M94" s="179" t="str">
        <f t="shared" si="98"/>
        <v>С3</v>
      </c>
      <c r="N94" s="179" t="str">
        <f t="shared" si="98"/>
        <v>Насос центробежный (8217P0005A)</v>
      </c>
      <c r="O94" s="179" t="str">
        <f t="shared" si="99"/>
        <v>Полное-ликвидация</v>
      </c>
      <c r="P94" s="179" t="s">
        <v>83</v>
      </c>
      <c r="Q94" s="179" t="s">
        <v>83</v>
      </c>
      <c r="R94" s="179" t="s">
        <v>83</v>
      </c>
      <c r="S94" s="179" t="s">
        <v>83</v>
      </c>
      <c r="T94" s="179" t="s">
        <v>83</v>
      </c>
      <c r="U94" s="179" t="s">
        <v>83</v>
      </c>
      <c r="V94" s="179" t="s">
        <v>83</v>
      </c>
      <c r="W94" s="179" t="s">
        <v>83</v>
      </c>
      <c r="X94" s="179" t="s">
        <v>83</v>
      </c>
      <c r="Y94" s="179" t="s">
        <v>83</v>
      </c>
      <c r="Z94" s="179" t="s">
        <v>83</v>
      </c>
      <c r="AA94" s="179" t="s">
        <v>83</v>
      </c>
      <c r="AB94" s="179" t="s">
        <v>83</v>
      </c>
      <c r="AC94" s="179" t="s">
        <v>83</v>
      </c>
      <c r="AD94" s="179" t="s">
        <v>83</v>
      </c>
      <c r="AE94" s="179" t="s">
        <v>83</v>
      </c>
      <c r="AF94" s="179" t="s">
        <v>83</v>
      </c>
      <c r="AG94" s="179" t="s">
        <v>83</v>
      </c>
      <c r="AH94" s="179" t="s">
        <v>83</v>
      </c>
      <c r="AI94" s="179" t="s">
        <v>83</v>
      </c>
      <c r="AJ94" s="179">
        <v>0</v>
      </c>
      <c r="AK94" s="179">
        <v>0</v>
      </c>
      <c r="AL94" s="179">
        <f>AL92</f>
        <v>0.75</v>
      </c>
      <c r="AM94" s="179">
        <f>AM92</f>
        <v>2.7E-2</v>
      </c>
      <c r="AN94" s="179">
        <f>AN92</f>
        <v>3</v>
      </c>
      <c r="AQ94" s="182">
        <f>AM94*I94*0.1+AL94</f>
        <v>0.75449999999999995</v>
      </c>
      <c r="AR94" s="182">
        <f t="shared" si="100"/>
        <v>7.5450000000000003E-2</v>
      </c>
      <c r="AS94" s="183">
        <f t="shared" si="101"/>
        <v>0</v>
      </c>
      <c r="AT94" s="183">
        <f t="shared" si="102"/>
        <v>0.20748749999999999</v>
      </c>
      <c r="AU94" s="182">
        <f>1333*J93*POWER(10,-6)</f>
        <v>2.2216666666666669E-3</v>
      </c>
      <c r="AV94" s="183">
        <f t="shared" si="103"/>
        <v>1.0396591666666666</v>
      </c>
      <c r="AW94" s="184">
        <f t="shared" si="104"/>
        <v>0</v>
      </c>
      <c r="AX94" s="184">
        <f t="shared" si="105"/>
        <v>0</v>
      </c>
      <c r="AY94" s="184">
        <f t="shared" si="106"/>
        <v>2.8148771937499999E-6</v>
      </c>
    </row>
    <row r="95" spans="1:51" s="179" customFormat="1" x14ac:dyDescent="0.3">
      <c r="A95" s="169" t="s">
        <v>21</v>
      </c>
      <c r="B95" s="169" t="str">
        <f>B92</f>
        <v>Насос центробежный (8217P0005A)</v>
      </c>
      <c r="C95" s="171" t="s">
        <v>230</v>
      </c>
      <c r="D95" s="172" t="s">
        <v>84</v>
      </c>
      <c r="E95" s="185">
        <f>E93</f>
        <v>1.0000000000000001E-5</v>
      </c>
      <c r="F95" s="186">
        <f>F92</f>
        <v>1</v>
      </c>
      <c r="G95" s="169">
        <v>3.4999999999999996E-2</v>
      </c>
      <c r="H95" s="174">
        <f t="shared" si="97"/>
        <v>3.4999999999999998E-7</v>
      </c>
      <c r="I95" s="187">
        <f>0.15*I92</f>
        <v>0.25</v>
      </c>
      <c r="J95" s="187">
        <f>I95</f>
        <v>0.25</v>
      </c>
      <c r="K95" s="190" t="s">
        <v>179</v>
      </c>
      <c r="L95" s="191">
        <v>45390</v>
      </c>
      <c r="M95" s="179" t="str">
        <f t="shared" si="98"/>
        <v>С4</v>
      </c>
      <c r="N95" s="179" t="str">
        <f t="shared" si="98"/>
        <v>Насос центробежный (8217P0005A)</v>
      </c>
      <c r="O95" s="179" t="str">
        <f t="shared" si="99"/>
        <v>Частичное-пожар</v>
      </c>
      <c r="P95" s="179" t="s">
        <v>83</v>
      </c>
      <c r="Q95" s="179" t="s">
        <v>83</v>
      </c>
      <c r="R95" s="179" t="s">
        <v>83</v>
      </c>
      <c r="S95" s="179" t="s">
        <v>83</v>
      </c>
      <c r="T95" s="179" t="s">
        <v>83</v>
      </c>
      <c r="U95" s="179" t="s">
        <v>83</v>
      </c>
      <c r="V95" s="179" t="s">
        <v>83</v>
      </c>
      <c r="W95" s="179" t="s">
        <v>83</v>
      </c>
      <c r="X95" s="179" t="s">
        <v>83</v>
      </c>
      <c r="Y95" s="179" t="s">
        <v>83</v>
      </c>
      <c r="Z95" s="179" t="s">
        <v>83</v>
      </c>
      <c r="AA95" s="179" t="s">
        <v>83</v>
      </c>
      <c r="AB95" s="179" t="s">
        <v>83</v>
      </c>
      <c r="AC95" s="179" t="s">
        <v>83</v>
      </c>
      <c r="AD95" s="179" t="s">
        <v>83</v>
      </c>
      <c r="AE95" s="179" t="s">
        <v>83</v>
      </c>
      <c r="AF95" s="179" t="s">
        <v>83</v>
      </c>
      <c r="AG95" s="179" t="s">
        <v>83</v>
      </c>
      <c r="AH95" s="179" t="s">
        <v>83</v>
      </c>
      <c r="AI95" s="179" t="s">
        <v>83</v>
      </c>
      <c r="AJ95" s="179">
        <v>0</v>
      </c>
      <c r="AK95" s="179">
        <v>2</v>
      </c>
      <c r="AL95" s="179">
        <f>0.1*$AL$2</f>
        <v>7.5000000000000002E-4</v>
      </c>
      <c r="AM95" s="179">
        <f>AM92</f>
        <v>2.7E-2</v>
      </c>
      <c r="AN95" s="179">
        <f>ROUNDUP(AN92/3,0)</f>
        <v>1</v>
      </c>
      <c r="AQ95" s="182">
        <f>AM95*I95+AL95</f>
        <v>7.4999999999999997E-3</v>
      </c>
      <c r="AR95" s="182">
        <f t="shared" si="100"/>
        <v>7.5000000000000002E-4</v>
      </c>
      <c r="AS95" s="183">
        <f t="shared" si="101"/>
        <v>0.5</v>
      </c>
      <c r="AT95" s="183">
        <f t="shared" si="102"/>
        <v>0.12706249999999999</v>
      </c>
      <c r="AU95" s="182">
        <f>10068.2*J95*POWER(10,-6)</f>
        <v>2.5170500000000003E-3</v>
      </c>
      <c r="AV95" s="183">
        <f t="shared" si="103"/>
        <v>0.63782954999999997</v>
      </c>
      <c r="AW95" s="184">
        <f t="shared" si="104"/>
        <v>0</v>
      </c>
      <c r="AX95" s="184">
        <f t="shared" si="105"/>
        <v>6.9999999999999997E-7</v>
      </c>
      <c r="AY95" s="184">
        <f t="shared" si="106"/>
        <v>2.2324034249999998E-7</v>
      </c>
    </row>
    <row r="96" spans="1:51" s="179" customFormat="1" x14ac:dyDescent="0.3">
      <c r="A96" s="169" t="s">
        <v>22</v>
      </c>
      <c r="B96" s="169" t="str">
        <f>B92</f>
        <v>Насос центробежный (8217P0005A)</v>
      </c>
      <c r="C96" s="171" t="s">
        <v>232</v>
      </c>
      <c r="D96" s="172" t="s">
        <v>84</v>
      </c>
      <c r="E96" s="185">
        <f>E94</f>
        <v>1.0000000000000001E-5</v>
      </c>
      <c r="F96" s="186">
        <f>F92</f>
        <v>1</v>
      </c>
      <c r="G96" s="169">
        <v>3.3249999999999995E-2</v>
      </c>
      <c r="H96" s="174">
        <f t="shared" si="97"/>
        <v>3.3249999999999999E-7</v>
      </c>
      <c r="I96" s="187">
        <f>0.15*I92</f>
        <v>0.25</v>
      </c>
      <c r="J96" s="187">
        <f>I95</f>
        <v>0.25</v>
      </c>
      <c r="K96" s="190" t="s">
        <v>180</v>
      </c>
      <c r="L96" s="191">
        <v>3</v>
      </c>
      <c r="M96" s="179" t="str">
        <f t="shared" si="98"/>
        <v>С5</v>
      </c>
      <c r="N96" s="179" t="str">
        <f t="shared" si="98"/>
        <v>Насос центробежный (8217P0005A)</v>
      </c>
      <c r="O96" s="179" t="str">
        <f t="shared" si="99"/>
        <v>Частичное-пожар</v>
      </c>
      <c r="P96" s="179" t="s">
        <v>83</v>
      </c>
      <c r="Q96" s="179" t="s">
        <v>83</v>
      </c>
      <c r="R96" s="179" t="s">
        <v>83</v>
      </c>
      <c r="S96" s="179" t="s">
        <v>83</v>
      </c>
      <c r="T96" s="179" t="s">
        <v>83</v>
      </c>
      <c r="U96" s="179" t="s">
        <v>83</v>
      </c>
      <c r="V96" s="179" t="s">
        <v>83</v>
      </c>
      <c r="W96" s="179" t="s">
        <v>83</v>
      </c>
      <c r="X96" s="179" t="s">
        <v>83</v>
      </c>
      <c r="Y96" s="179" t="s">
        <v>83</v>
      </c>
      <c r="Z96" s="179" t="s">
        <v>83</v>
      </c>
      <c r="AA96" s="179" t="s">
        <v>83</v>
      </c>
      <c r="AB96" s="179" t="s">
        <v>83</v>
      </c>
      <c r="AC96" s="179" t="s">
        <v>83</v>
      </c>
      <c r="AD96" s="179" t="s">
        <v>83</v>
      </c>
      <c r="AE96" s="179" t="s">
        <v>83</v>
      </c>
      <c r="AF96" s="179" t="s">
        <v>83</v>
      </c>
      <c r="AG96" s="179" t="s">
        <v>83</v>
      </c>
      <c r="AH96" s="179" t="s">
        <v>83</v>
      </c>
      <c r="AI96" s="179" t="s">
        <v>83</v>
      </c>
      <c r="AJ96" s="179">
        <v>0</v>
      </c>
      <c r="AK96" s="179">
        <v>1</v>
      </c>
      <c r="AL96" s="179">
        <f>0.1*$AL$2</f>
        <v>7.5000000000000002E-4</v>
      </c>
      <c r="AM96" s="179">
        <f>AM92</f>
        <v>2.7E-2</v>
      </c>
      <c r="AN96" s="179">
        <f>ROUNDUP(AN92/3,0)</f>
        <v>1</v>
      </c>
      <c r="AQ96" s="182">
        <f>AM96*I96+AL96</f>
        <v>7.4999999999999997E-3</v>
      </c>
      <c r="AR96" s="182">
        <f t="shared" si="100"/>
        <v>7.5000000000000002E-4</v>
      </c>
      <c r="AS96" s="183">
        <f t="shared" si="101"/>
        <v>0.25</v>
      </c>
      <c r="AT96" s="183">
        <f t="shared" si="102"/>
        <v>6.4562499999999995E-2</v>
      </c>
      <c r="AU96" s="182">
        <f>10068.2*J96*POWER(10,-6)*10</f>
        <v>2.5170500000000002E-2</v>
      </c>
      <c r="AV96" s="183">
        <f t="shared" si="103"/>
        <v>0.34798299999999999</v>
      </c>
      <c r="AW96" s="184">
        <f t="shared" si="104"/>
        <v>0</v>
      </c>
      <c r="AX96" s="184">
        <f t="shared" si="105"/>
        <v>3.3249999999999999E-7</v>
      </c>
      <c r="AY96" s="184">
        <f t="shared" si="106"/>
        <v>1.1570434749999999E-7</v>
      </c>
    </row>
    <row r="97" spans="1:51" s="179" customFormat="1" ht="15" thickBot="1" x14ac:dyDescent="0.35">
      <c r="A97" s="169" t="s">
        <v>23</v>
      </c>
      <c r="B97" s="169" t="str">
        <f>B92</f>
        <v>Насос центробежный (8217P0005A)</v>
      </c>
      <c r="C97" s="171" t="s">
        <v>231</v>
      </c>
      <c r="D97" s="172" t="s">
        <v>617</v>
      </c>
      <c r="E97" s="185">
        <f>E95</f>
        <v>1.0000000000000001E-5</v>
      </c>
      <c r="F97" s="186">
        <f>F92</f>
        <v>1</v>
      </c>
      <c r="G97" s="169">
        <v>0.63174999999999992</v>
      </c>
      <c r="H97" s="174">
        <f t="shared" si="97"/>
        <v>6.3175000000000001E-6</v>
      </c>
      <c r="I97" s="187">
        <f>0.15*I92</f>
        <v>0.25</v>
      </c>
      <c r="J97" s="169">
        <v>0</v>
      </c>
      <c r="K97" s="192" t="s">
        <v>191</v>
      </c>
      <c r="L97" s="192">
        <v>18</v>
      </c>
      <c r="M97" s="179" t="str">
        <f t="shared" si="98"/>
        <v>С6</v>
      </c>
      <c r="N97" s="179" t="str">
        <f t="shared" si="98"/>
        <v>Насос центробежный (8217P0005A)</v>
      </c>
      <c r="O97" s="179" t="str">
        <f t="shared" si="99"/>
        <v>Частичное-ликв</v>
      </c>
      <c r="P97" s="179" t="s">
        <v>83</v>
      </c>
      <c r="Q97" s="179" t="s">
        <v>83</v>
      </c>
      <c r="R97" s="179" t="s">
        <v>83</v>
      </c>
      <c r="S97" s="179" t="s">
        <v>83</v>
      </c>
      <c r="T97" s="179" t="s">
        <v>83</v>
      </c>
      <c r="U97" s="179" t="s">
        <v>83</v>
      </c>
      <c r="V97" s="179" t="s">
        <v>83</v>
      </c>
      <c r="W97" s="179" t="s">
        <v>83</v>
      </c>
      <c r="X97" s="179" t="s">
        <v>83</v>
      </c>
      <c r="Y97" s="179" t="s">
        <v>83</v>
      </c>
      <c r="Z97" s="179" t="s">
        <v>83</v>
      </c>
      <c r="AA97" s="179" t="s">
        <v>83</v>
      </c>
      <c r="AB97" s="179" t="s">
        <v>83</v>
      </c>
      <c r="AC97" s="179" t="s">
        <v>83</v>
      </c>
      <c r="AD97" s="179" t="s">
        <v>83</v>
      </c>
      <c r="AE97" s="179" t="s">
        <v>83</v>
      </c>
      <c r="AF97" s="179" t="s">
        <v>83</v>
      </c>
      <c r="AG97" s="179" t="s">
        <v>83</v>
      </c>
      <c r="AH97" s="179" t="s">
        <v>83</v>
      </c>
      <c r="AI97" s="179" t="s">
        <v>83</v>
      </c>
      <c r="AJ97" s="179">
        <v>0</v>
      </c>
      <c r="AK97" s="179">
        <v>0</v>
      </c>
      <c r="AL97" s="179">
        <f>0.1*$AL$2</f>
        <v>7.5000000000000002E-4</v>
      </c>
      <c r="AM97" s="179">
        <f>AM92</f>
        <v>2.7E-2</v>
      </c>
      <c r="AN97" s="179">
        <f>ROUNDUP(AN92/3,0)</f>
        <v>1</v>
      </c>
      <c r="AQ97" s="182">
        <f>AM97*I97*0.1+AL97</f>
        <v>1.4250000000000001E-3</v>
      </c>
      <c r="AR97" s="182">
        <f t="shared" si="100"/>
        <v>1.4250000000000002E-4</v>
      </c>
      <c r="AS97" s="183">
        <f t="shared" si="101"/>
        <v>0</v>
      </c>
      <c r="AT97" s="183">
        <f t="shared" si="102"/>
        <v>3.9187500000000002E-4</v>
      </c>
      <c r="AU97" s="182">
        <f>1333*J96*POWER(10,-6)</f>
        <v>3.3325E-4</v>
      </c>
      <c r="AV97" s="183">
        <f t="shared" si="103"/>
        <v>2.2926250000000004E-3</v>
      </c>
      <c r="AW97" s="184">
        <f t="shared" si="104"/>
        <v>0</v>
      </c>
      <c r="AX97" s="184">
        <f t="shared" si="105"/>
        <v>0</v>
      </c>
      <c r="AY97" s="184">
        <f t="shared" si="106"/>
        <v>1.4483658437500003E-8</v>
      </c>
    </row>
    <row r="98" spans="1:51" s="179" customFormat="1" x14ac:dyDescent="0.3">
      <c r="A98" s="180"/>
      <c r="B98" s="180"/>
      <c r="D98" s="271"/>
      <c r="E98" s="272"/>
      <c r="F98" s="273"/>
      <c r="G98" s="180"/>
      <c r="H98" s="184"/>
      <c r="I98" s="183"/>
      <c r="J98" s="180"/>
      <c r="K98" s="180"/>
      <c r="L98" s="180"/>
      <c r="AQ98" s="182"/>
      <c r="AR98" s="182"/>
      <c r="AS98" s="183"/>
      <c r="AT98" s="183"/>
      <c r="AU98" s="182"/>
      <c r="AV98" s="183"/>
      <c r="AW98" s="184"/>
      <c r="AX98" s="184"/>
      <c r="AY98" s="184"/>
    </row>
    <row r="99" spans="1:51" s="179" customFormat="1" x14ac:dyDescent="0.3">
      <c r="A99" s="180"/>
      <c r="B99" s="180"/>
      <c r="D99" s="271"/>
      <c r="E99" s="272"/>
      <c r="F99" s="273"/>
      <c r="G99" s="180"/>
      <c r="H99" s="184"/>
      <c r="I99" s="183"/>
      <c r="J99" s="180"/>
      <c r="K99" s="180"/>
      <c r="L99" s="180"/>
      <c r="AQ99" s="182"/>
      <c r="AR99" s="182"/>
      <c r="AS99" s="183"/>
      <c r="AT99" s="183"/>
      <c r="AU99" s="182"/>
      <c r="AV99" s="183"/>
      <c r="AW99" s="184"/>
      <c r="AX99" s="184"/>
      <c r="AY99" s="184"/>
    </row>
    <row r="100" spans="1:51" s="179" customFormat="1" x14ac:dyDescent="0.3">
      <c r="A100" s="180"/>
      <c r="B100" s="180"/>
      <c r="D100" s="271"/>
      <c r="E100" s="272"/>
      <c r="F100" s="273"/>
      <c r="G100" s="180"/>
      <c r="H100" s="184"/>
      <c r="I100" s="183"/>
      <c r="J100" s="180"/>
      <c r="K100" s="180"/>
      <c r="L100" s="180"/>
      <c r="AQ100" s="182"/>
      <c r="AR100" s="182"/>
      <c r="AS100" s="183"/>
      <c r="AT100" s="183"/>
      <c r="AU100" s="182"/>
      <c r="AV100" s="183"/>
      <c r="AW100" s="184"/>
      <c r="AX100" s="184"/>
      <c r="AY100" s="184"/>
    </row>
    <row r="101" spans="1:51" ht="15" thickBot="1" x14ac:dyDescent="0.35"/>
    <row r="102" spans="1:51" s="227" customFormat="1" ht="18" customHeight="1" x14ac:dyDescent="0.3">
      <c r="A102" s="218" t="s">
        <v>18</v>
      </c>
      <c r="B102" s="219" t="s">
        <v>601</v>
      </c>
      <c r="C102" s="53" t="s">
        <v>300</v>
      </c>
      <c r="D102" s="220" t="s">
        <v>301</v>
      </c>
      <c r="E102" s="221">
        <v>9.9999999999999995E-7</v>
      </c>
      <c r="F102" s="219">
        <v>1</v>
      </c>
      <c r="G102" s="218">
        <v>0.05</v>
      </c>
      <c r="H102" s="222">
        <f>E102*F102*G102</f>
        <v>4.9999999999999998E-8</v>
      </c>
      <c r="I102" s="223">
        <v>56.88</v>
      </c>
      <c r="J102" s="224">
        <f>0.03*I102</f>
        <v>1.7063999999999999</v>
      </c>
      <c r="K102" s="225" t="s">
        <v>175</v>
      </c>
      <c r="L102" s="226">
        <v>700</v>
      </c>
      <c r="M102" s="227" t="str">
        <f t="shared" ref="M102:N110" si="107">A102</f>
        <v>С1</v>
      </c>
      <c r="N102" s="227" t="str">
        <f t="shared" si="107"/>
        <v>Ёмкость цилиндрическая (8208D0001)</v>
      </c>
      <c r="O102" s="227" t="str">
        <f t="shared" ref="O102:O110" si="108">D102</f>
        <v>Полное-огенный шар</v>
      </c>
      <c r="P102" s="227" t="s">
        <v>83</v>
      </c>
      <c r="Q102" s="227" t="s">
        <v>83</v>
      </c>
      <c r="R102" s="227" t="s">
        <v>83</v>
      </c>
      <c r="S102" s="227" t="s">
        <v>83</v>
      </c>
      <c r="T102" s="227" t="s">
        <v>83</v>
      </c>
      <c r="U102" s="227" t="s">
        <v>83</v>
      </c>
      <c r="V102" s="227" t="s">
        <v>83</v>
      </c>
      <c r="W102" s="227" t="s">
        <v>83</v>
      </c>
      <c r="X102" s="227" t="s">
        <v>83</v>
      </c>
      <c r="Y102" s="227" t="s">
        <v>83</v>
      </c>
      <c r="Z102" s="227" t="s">
        <v>83</v>
      </c>
      <c r="AA102" s="227" t="s">
        <v>83</v>
      </c>
      <c r="AB102" s="227" t="s">
        <v>83</v>
      </c>
      <c r="AC102" s="227" t="s">
        <v>83</v>
      </c>
      <c r="AD102" s="227" t="s">
        <v>83</v>
      </c>
      <c r="AE102" s="227">
        <v>96.5</v>
      </c>
      <c r="AF102" s="227">
        <v>142.5</v>
      </c>
      <c r="AG102" s="227">
        <v>171</v>
      </c>
      <c r="AH102" s="227">
        <v>221.5</v>
      </c>
      <c r="AI102" s="227" t="s">
        <v>83</v>
      </c>
      <c r="AJ102" s="228">
        <v>1</v>
      </c>
      <c r="AK102" s="228">
        <v>2</v>
      </c>
      <c r="AL102" s="229">
        <v>5.36</v>
      </c>
      <c r="AM102" s="229">
        <v>2.7E-2</v>
      </c>
      <c r="AN102" s="229">
        <v>3</v>
      </c>
      <c r="AQ102" s="230">
        <f>AM102*I102+AL102</f>
        <v>6.8957600000000001</v>
      </c>
      <c r="AR102" s="230">
        <f>0.1*AQ102</f>
        <v>0.68957600000000008</v>
      </c>
      <c r="AS102" s="231">
        <f>AJ102*3+0.25*AK102</f>
        <v>3.5</v>
      </c>
      <c r="AT102" s="231">
        <f>SUM(AQ102:AS102)/4</f>
        <v>2.771334</v>
      </c>
      <c r="AU102" s="230">
        <f>10068.2*J102*POWER(10,-6)</f>
        <v>1.7180376479999999E-2</v>
      </c>
      <c r="AV102" s="231">
        <f t="shared" ref="AV102:AV110" si="109">AU102+AT102+AS102+AR102+AQ102</f>
        <v>13.87385037648</v>
      </c>
      <c r="AW102" s="232">
        <f>AJ102*H102</f>
        <v>4.9999999999999998E-8</v>
      </c>
      <c r="AX102" s="232">
        <f>H102*AK102</f>
        <v>9.9999999999999995E-8</v>
      </c>
      <c r="AY102" s="232">
        <f t="shared" ref="AY102:AY110" si="110">H102*AV102</f>
        <v>6.9369251882399999E-7</v>
      </c>
    </row>
    <row r="103" spans="1:51" s="227" customFormat="1" x14ac:dyDescent="0.3">
      <c r="A103" s="218" t="s">
        <v>19</v>
      </c>
      <c r="B103" s="218" t="str">
        <f>B102</f>
        <v>Ёмкость цилиндрическая (8208D0001)</v>
      </c>
      <c r="C103" s="53" t="s">
        <v>202</v>
      </c>
      <c r="D103" s="220" t="s">
        <v>62</v>
      </c>
      <c r="E103" s="233">
        <f>E102</f>
        <v>9.9999999999999995E-7</v>
      </c>
      <c r="F103" s="234">
        <f>F102</f>
        <v>1</v>
      </c>
      <c r="G103" s="218">
        <v>0.19</v>
      </c>
      <c r="H103" s="222">
        <f t="shared" ref="H103:H110" si="111">E103*F103*G103</f>
        <v>1.8999999999999998E-7</v>
      </c>
      <c r="I103" s="235">
        <f>I102</f>
        <v>56.88</v>
      </c>
      <c r="J103" s="243">
        <f>I102*0.6*0.1</f>
        <v>3.4128000000000003</v>
      </c>
      <c r="K103" s="236" t="s">
        <v>176</v>
      </c>
      <c r="L103" s="237">
        <v>2</v>
      </c>
      <c r="M103" s="227" t="str">
        <f t="shared" si="107"/>
        <v>С2</v>
      </c>
      <c r="N103" s="227" t="str">
        <f t="shared" si="107"/>
        <v>Ёмкость цилиндрическая (8208D0001)</v>
      </c>
      <c r="O103" s="227" t="str">
        <f t="shared" si="108"/>
        <v>Полное-взрыв</v>
      </c>
      <c r="P103" s="227" t="s">
        <v>83</v>
      </c>
      <c r="Q103" s="227" t="s">
        <v>83</v>
      </c>
      <c r="R103" s="227" t="s">
        <v>83</v>
      </c>
      <c r="S103" s="227" t="s">
        <v>83</v>
      </c>
      <c r="T103" s="227">
        <v>0</v>
      </c>
      <c r="U103" s="227">
        <v>0</v>
      </c>
      <c r="V103" s="227">
        <v>53.6</v>
      </c>
      <c r="W103" s="227">
        <v>178.1</v>
      </c>
      <c r="X103" s="227">
        <v>463.6</v>
      </c>
      <c r="Y103" s="227" t="s">
        <v>83</v>
      </c>
      <c r="Z103" s="227" t="s">
        <v>83</v>
      </c>
      <c r="AA103" s="227" t="s">
        <v>83</v>
      </c>
      <c r="AB103" s="227" t="s">
        <v>83</v>
      </c>
      <c r="AC103" s="227" t="s">
        <v>83</v>
      </c>
      <c r="AD103" s="227" t="s">
        <v>83</v>
      </c>
      <c r="AE103" s="227" t="s">
        <v>83</v>
      </c>
      <c r="AF103" s="227" t="s">
        <v>83</v>
      </c>
      <c r="AG103" s="227" t="s">
        <v>83</v>
      </c>
      <c r="AH103" s="227" t="s">
        <v>83</v>
      </c>
      <c r="AI103" s="227" t="s">
        <v>83</v>
      </c>
      <c r="AJ103" s="228">
        <v>2</v>
      </c>
      <c r="AK103" s="228">
        <v>2</v>
      </c>
      <c r="AL103" s="227">
        <f>AL102</f>
        <v>5.36</v>
      </c>
      <c r="AM103" s="227">
        <f>AM102</f>
        <v>2.7E-2</v>
      </c>
      <c r="AN103" s="227">
        <f>AN102</f>
        <v>3</v>
      </c>
      <c r="AQ103" s="230">
        <f>AM103*I103+AL103</f>
        <v>6.8957600000000001</v>
      </c>
      <c r="AR103" s="230">
        <f t="shared" ref="AR103:AR109" si="112">0.1*AQ103</f>
        <v>0.68957600000000008</v>
      </c>
      <c r="AS103" s="231">
        <f t="shared" ref="AS103:AS109" si="113">AJ103*3+0.25*AK103</f>
        <v>6.5</v>
      </c>
      <c r="AT103" s="231">
        <f t="shared" ref="AT103:AT109" si="114">SUM(AQ103:AS103)/4</f>
        <v>3.521334</v>
      </c>
      <c r="AU103" s="230">
        <f>10068.2*J103*POWER(10,-6)*10</f>
        <v>0.34360752960000007</v>
      </c>
      <c r="AV103" s="231">
        <f t="shared" si="109"/>
        <v>17.950277529600001</v>
      </c>
      <c r="AW103" s="232">
        <f t="shared" ref="AW103:AW109" si="115">AJ103*H103</f>
        <v>3.7999999999999996E-7</v>
      </c>
      <c r="AX103" s="232">
        <f t="shared" ref="AX103:AX109" si="116">H103*AK103</f>
        <v>3.7999999999999996E-7</v>
      </c>
      <c r="AY103" s="232">
        <f t="shared" si="110"/>
        <v>3.4105527306239997E-6</v>
      </c>
    </row>
    <row r="104" spans="1:51" s="227" customFormat="1" x14ac:dyDescent="0.3">
      <c r="A104" s="218" t="s">
        <v>20</v>
      </c>
      <c r="B104" s="218" t="str">
        <f>B102</f>
        <v>Ёмкость цилиндрическая (8208D0001)</v>
      </c>
      <c r="C104" s="53" t="s">
        <v>241</v>
      </c>
      <c r="D104" s="220" t="s">
        <v>60</v>
      </c>
      <c r="E104" s="233">
        <f>E102</f>
        <v>9.9999999999999995E-7</v>
      </c>
      <c r="F104" s="234">
        <f t="shared" ref="F104:F110" si="117">F103</f>
        <v>1</v>
      </c>
      <c r="G104" s="218">
        <v>0.76</v>
      </c>
      <c r="H104" s="222">
        <f t="shared" si="111"/>
        <v>7.5999999999999992E-7</v>
      </c>
      <c r="I104" s="235">
        <f>I102</f>
        <v>56.88</v>
      </c>
      <c r="J104" s="224">
        <v>0</v>
      </c>
      <c r="K104" s="236" t="s">
        <v>177</v>
      </c>
      <c r="L104" s="237">
        <v>1.05</v>
      </c>
      <c r="M104" s="227" t="str">
        <f t="shared" si="107"/>
        <v>С3</v>
      </c>
      <c r="N104" s="227" t="str">
        <f t="shared" si="107"/>
        <v>Ёмкость цилиндрическая (8208D0001)</v>
      </c>
      <c r="O104" s="227" t="str">
        <f t="shared" si="108"/>
        <v>Полное-ликвидация</v>
      </c>
      <c r="P104" s="227" t="s">
        <v>83</v>
      </c>
      <c r="Q104" s="227" t="s">
        <v>83</v>
      </c>
      <c r="R104" s="227" t="s">
        <v>83</v>
      </c>
      <c r="S104" s="227" t="s">
        <v>83</v>
      </c>
      <c r="T104" s="227" t="s">
        <v>83</v>
      </c>
      <c r="U104" s="227" t="s">
        <v>83</v>
      </c>
      <c r="V104" s="227" t="s">
        <v>83</v>
      </c>
      <c r="W104" s="227" t="s">
        <v>83</v>
      </c>
      <c r="X104" s="227" t="s">
        <v>83</v>
      </c>
      <c r="Y104" s="227" t="s">
        <v>83</v>
      </c>
      <c r="Z104" s="227" t="s">
        <v>83</v>
      </c>
      <c r="AA104" s="227" t="s">
        <v>83</v>
      </c>
      <c r="AB104" s="227" t="s">
        <v>83</v>
      </c>
      <c r="AC104" s="227" t="s">
        <v>83</v>
      </c>
      <c r="AD104" s="227" t="s">
        <v>83</v>
      </c>
      <c r="AE104" s="227" t="s">
        <v>83</v>
      </c>
      <c r="AF104" s="227" t="s">
        <v>83</v>
      </c>
      <c r="AG104" s="227" t="s">
        <v>83</v>
      </c>
      <c r="AH104" s="227" t="s">
        <v>83</v>
      </c>
      <c r="AI104" s="227" t="s">
        <v>83</v>
      </c>
      <c r="AJ104" s="227">
        <v>0</v>
      </c>
      <c r="AK104" s="227">
        <v>0</v>
      </c>
      <c r="AL104" s="227">
        <f>AL102</f>
        <v>5.36</v>
      </c>
      <c r="AM104" s="227">
        <f>AM102</f>
        <v>2.7E-2</v>
      </c>
      <c r="AN104" s="227">
        <f>AN102</f>
        <v>3</v>
      </c>
      <c r="AQ104" s="230">
        <f>AM104*I104*0.1+AL104</f>
        <v>5.5135760000000005</v>
      </c>
      <c r="AR104" s="230">
        <f t="shared" si="112"/>
        <v>0.55135760000000011</v>
      </c>
      <c r="AS104" s="231">
        <f t="shared" si="113"/>
        <v>0</v>
      </c>
      <c r="AT104" s="231">
        <f t="shared" si="114"/>
        <v>1.5162334000000002</v>
      </c>
      <c r="AU104" s="230">
        <f>1333*J102*POWER(10,-6)</f>
        <v>2.2746311999999997E-3</v>
      </c>
      <c r="AV104" s="231">
        <f t="shared" si="109"/>
        <v>7.5834416312000013</v>
      </c>
      <c r="AW104" s="232">
        <f t="shared" si="115"/>
        <v>0</v>
      </c>
      <c r="AX104" s="232">
        <f t="shared" si="116"/>
        <v>0</v>
      </c>
      <c r="AY104" s="232">
        <f t="shared" si="110"/>
        <v>5.7634156397120001E-6</v>
      </c>
    </row>
    <row r="105" spans="1:51" s="227" customFormat="1" x14ac:dyDescent="0.3">
      <c r="A105" s="218" t="s">
        <v>21</v>
      </c>
      <c r="B105" s="218" t="str">
        <f>B102</f>
        <v>Ёмкость цилиндрическая (8208D0001)</v>
      </c>
      <c r="C105" s="53" t="s">
        <v>213</v>
      </c>
      <c r="D105" s="220" t="s">
        <v>214</v>
      </c>
      <c r="E105" s="221">
        <v>1.0000000000000001E-5</v>
      </c>
      <c r="F105" s="234">
        <f t="shared" si="117"/>
        <v>1</v>
      </c>
      <c r="G105" s="218">
        <v>4.0000000000000008E-2</v>
      </c>
      <c r="H105" s="222">
        <f t="shared" si="111"/>
        <v>4.0000000000000009E-7</v>
      </c>
      <c r="I105" s="235">
        <f>0.15*I102</f>
        <v>8.532</v>
      </c>
      <c r="J105" s="224">
        <f>I105</f>
        <v>8.532</v>
      </c>
      <c r="K105" s="236" t="s">
        <v>179</v>
      </c>
      <c r="L105" s="237">
        <v>45390</v>
      </c>
      <c r="M105" s="227" t="str">
        <f t="shared" si="107"/>
        <v>С4</v>
      </c>
      <c r="N105" s="227" t="str">
        <f t="shared" si="107"/>
        <v>Ёмкость цилиндрическая (8208D0001)</v>
      </c>
      <c r="O105" s="227" t="str">
        <f t="shared" si="108"/>
        <v>Частичное факел</v>
      </c>
      <c r="P105" s="227" t="s">
        <v>83</v>
      </c>
      <c r="Q105" s="227" t="s">
        <v>83</v>
      </c>
      <c r="R105" s="227" t="s">
        <v>83</v>
      </c>
      <c r="S105" s="227" t="s">
        <v>83</v>
      </c>
      <c r="T105" s="227" t="s">
        <v>83</v>
      </c>
      <c r="U105" s="227" t="s">
        <v>83</v>
      </c>
      <c r="V105" s="227" t="s">
        <v>83</v>
      </c>
      <c r="W105" s="227" t="s">
        <v>83</v>
      </c>
      <c r="X105" s="227" t="s">
        <v>83</v>
      </c>
      <c r="Y105" s="227">
        <v>15</v>
      </c>
      <c r="Z105" s="227">
        <v>3</v>
      </c>
      <c r="AA105" s="227" t="s">
        <v>83</v>
      </c>
      <c r="AB105" s="227" t="s">
        <v>83</v>
      </c>
      <c r="AC105" s="227" t="s">
        <v>83</v>
      </c>
      <c r="AD105" s="227" t="s">
        <v>83</v>
      </c>
      <c r="AE105" s="227" t="s">
        <v>83</v>
      </c>
      <c r="AF105" s="227" t="s">
        <v>83</v>
      </c>
      <c r="AG105" s="227" t="s">
        <v>83</v>
      </c>
      <c r="AH105" s="227" t="s">
        <v>83</v>
      </c>
      <c r="AI105" s="227" t="s">
        <v>83</v>
      </c>
      <c r="AJ105" s="227">
        <v>0</v>
      </c>
      <c r="AK105" s="227">
        <v>1</v>
      </c>
      <c r="AL105" s="227">
        <f>0.1*$AL102</f>
        <v>0.53600000000000003</v>
      </c>
      <c r="AM105" s="227">
        <f>AM103</f>
        <v>2.7E-2</v>
      </c>
      <c r="AN105" s="227">
        <f>AN102</f>
        <v>3</v>
      </c>
      <c r="AQ105" s="230">
        <f>AM105*I105*0.1+AL105</f>
        <v>0.55903639999999999</v>
      </c>
      <c r="AR105" s="230">
        <f t="shared" si="112"/>
        <v>5.5903640000000004E-2</v>
      </c>
      <c r="AS105" s="231">
        <f t="shared" si="113"/>
        <v>0.25</v>
      </c>
      <c r="AT105" s="231">
        <f t="shared" si="114"/>
        <v>0.21623501000000001</v>
      </c>
      <c r="AU105" s="230">
        <f>10068.2*J105*POWER(10,-6)</f>
        <v>8.5901882400000004E-2</v>
      </c>
      <c r="AV105" s="231">
        <f t="shared" si="109"/>
        <v>1.1670769324000001</v>
      </c>
      <c r="AW105" s="232">
        <f t="shared" si="115"/>
        <v>0</v>
      </c>
      <c r="AX105" s="232">
        <f t="shared" si="116"/>
        <v>4.0000000000000009E-7</v>
      </c>
      <c r="AY105" s="232">
        <f t="shared" si="110"/>
        <v>4.6683077296000014E-7</v>
      </c>
    </row>
    <row r="106" spans="1:51" s="227" customFormat="1" x14ac:dyDescent="0.3">
      <c r="A106" s="218" t="s">
        <v>22</v>
      </c>
      <c r="B106" s="218" t="str">
        <f>B102</f>
        <v>Ёмкость цилиндрическая (8208D0001)</v>
      </c>
      <c r="C106" s="53" t="s">
        <v>242</v>
      </c>
      <c r="D106" s="220" t="s">
        <v>61</v>
      </c>
      <c r="E106" s="233">
        <f>E105</f>
        <v>1.0000000000000001E-5</v>
      </c>
      <c r="F106" s="234">
        <f t="shared" si="117"/>
        <v>1</v>
      </c>
      <c r="G106" s="218">
        <v>0.16000000000000003</v>
      </c>
      <c r="H106" s="222">
        <f t="shared" si="111"/>
        <v>1.6000000000000004E-6</v>
      </c>
      <c r="I106" s="235">
        <f>0.15*I102</f>
        <v>8.532</v>
      </c>
      <c r="J106" s="224">
        <v>0</v>
      </c>
      <c r="K106" s="236" t="s">
        <v>180</v>
      </c>
      <c r="L106" s="237">
        <v>3</v>
      </c>
      <c r="M106" s="227" t="str">
        <f t="shared" si="107"/>
        <v>С5</v>
      </c>
      <c r="N106" s="227" t="str">
        <f t="shared" si="107"/>
        <v>Ёмкость цилиндрическая (8208D0001)</v>
      </c>
      <c r="O106" s="227" t="str">
        <f t="shared" si="108"/>
        <v>Частичное-ликвидация</v>
      </c>
      <c r="P106" s="227" t="s">
        <v>83</v>
      </c>
      <c r="Q106" s="227" t="s">
        <v>83</v>
      </c>
      <c r="R106" s="227" t="s">
        <v>83</v>
      </c>
      <c r="S106" s="227" t="s">
        <v>83</v>
      </c>
      <c r="T106" s="227" t="s">
        <v>83</v>
      </c>
      <c r="U106" s="227" t="s">
        <v>83</v>
      </c>
      <c r="V106" s="227" t="s">
        <v>83</v>
      </c>
      <c r="W106" s="227" t="s">
        <v>83</v>
      </c>
      <c r="X106" s="227" t="s">
        <v>83</v>
      </c>
      <c r="Y106" s="227" t="s">
        <v>83</v>
      </c>
      <c r="Z106" s="227" t="s">
        <v>83</v>
      </c>
      <c r="AA106" s="227" t="s">
        <v>83</v>
      </c>
      <c r="AB106" s="227" t="s">
        <v>83</v>
      </c>
      <c r="AC106" s="227" t="s">
        <v>83</v>
      </c>
      <c r="AD106" s="227" t="s">
        <v>83</v>
      </c>
      <c r="AE106" s="227" t="s">
        <v>83</v>
      </c>
      <c r="AF106" s="227" t="s">
        <v>83</v>
      </c>
      <c r="AG106" s="227" t="s">
        <v>83</v>
      </c>
      <c r="AH106" s="227" t="s">
        <v>83</v>
      </c>
      <c r="AI106" s="227" t="s">
        <v>83</v>
      </c>
      <c r="AJ106" s="227">
        <v>0</v>
      </c>
      <c r="AK106" s="227">
        <v>1</v>
      </c>
      <c r="AL106" s="227">
        <f>0.1*$AL103</f>
        <v>0.53600000000000003</v>
      </c>
      <c r="AM106" s="227">
        <f>AM102</f>
        <v>2.7E-2</v>
      </c>
      <c r="AN106" s="227">
        <f>ROUNDUP(AN102/3,0)</f>
        <v>1</v>
      </c>
      <c r="AQ106" s="230">
        <f>AM106*I106+AL106</f>
        <v>0.76636400000000005</v>
      </c>
      <c r="AR106" s="230">
        <f t="shared" si="112"/>
        <v>7.6636400000000007E-2</v>
      </c>
      <c r="AS106" s="231">
        <f t="shared" si="113"/>
        <v>0.25</v>
      </c>
      <c r="AT106" s="231">
        <f t="shared" si="114"/>
        <v>0.27325010000000005</v>
      </c>
      <c r="AU106" s="230">
        <f>1333*J103*POWER(10,-6)*10</f>
        <v>4.5492624000000002E-2</v>
      </c>
      <c r="AV106" s="231">
        <f t="shared" si="109"/>
        <v>1.411743124</v>
      </c>
      <c r="AW106" s="232">
        <f t="shared" si="115"/>
        <v>0</v>
      </c>
      <c r="AX106" s="232">
        <f t="shared" si="116"/>
        <v>1.6000000000000004E-6</v>
      </c>
      <c r="AY106" s="232">
        <f t="shared" si="110"/>
        <v>2.2587889984000007E-6</v>
      </c>
    </row>
    <row r="107" spans="1:51" s="227" customFormat="1" x14ac:dyDescent="0.3">
      <c r="A107" s="218" t="s">
        <v>23</v>
      </c>
      <c r="B107" s="218" t="str">
        <f>B102</f>
        <v>Ёмкость цилиндрическая (8208D0001)</v>
      </c>
      <c r="C107" s="53" t="s">
        <v>215</v>
      </c>
      <c r="D107" s="220" t="s">
        <v>214</v>
      </c>
      <c r="E107" s="233">
        <f>E106</f>
        <v>1.0000000000000001E-5</v>
      </c>
      <c r="F107" s="234">
        <f t="shared" si="117"/>
        <v>1</v>
      </c>
      <c r="G107" s="218">
        <v>4.0000000000000008E-2</v>
      </c>
      <c r="H107" s="222">
        <f t="shared" si="111"/>
        <v>4.0000000000000009E-7</v>
      </c>
      <c r="I107" s="235">
        <f>I105*0.15</f>
        <v>1.2798</v>
      </c>
      <c r="J107" s="224">
        <f>I107</f>
        <v>1.2798</v>
      </c>
      <c r="K107" s="239" t="s">
        <v>191</v>
      </c>
      <c r="L107" s="240">
        <v>21</v>
      </c>
      <c r="M107" s="227" t="str">
        <f t="shared" si="107"/>
        <v>С6</v>
      </c>
      <c r="N107" s="227" t="str">
        <f t="shared" si="107"/>
        <v>Ёмкость цилиндрическая (8208D0001)</v>
      </c>
      <c r="O107" s="227" t="str">
        <f t="shared" si="108"/>
        <v>Частичное факел</v>
      </c>
      <c r="P107" s="227" t="s">
        <v>83</v>
      </c>
      <c r="Q107" s="227" t="s">
        <v>83</v>
      </c>
      <c r="R107" s="227" t="s">
        <v>83</v>
      </c>
      <c r="S107" s="227" t="s">
        <v>83</v>
      </c>
      <c r="T107" s="227" t="s">
        <v>83</v>
      </c>
      <c r="U107" s="227" t="s">
        <v>83</v>
      </c>
      <c r="V107" s="227" t="s">
        <v>83</v>
      </c>
      <c r="W107" s="227" t="s">
        <v>83</v>
      </c>
      <c r="X107" s="227" t="s">
        <v>83</v>
      </c>
      <c r="Y107" s="227">
        <v>11</v>
      </c>
      <c r="Z107" s="227">
        <v>2</v>
      </c>
      <c r="AA107" s="227" t="s">
        <v>83</v>
      </c>
      <c r="AB107" s="227" t="s">
        <v>83</v>
      </c>
      <c r="AC107" s="227" t="s">
        <v>83</v>
      </c>
      <c r="AD107" s="227" t="s">
        <v>83</v>
      </c>
      <c r="AE107" s="227" t="s">
        <v>83</v>
      </c>
      <c r="AF107" s="227" t="s">
        <v>83</v>
      </c>
      <c r="AG107" s="227" t="s">
        <v>83</v>
      </c>
      <c r="AH107" s="227" t="s">
        <v>83</v>
      </c>
      <c r="AI107" s="227" t="s">
        <v>83</v>
      </c>
      <c r="AJ107" s="227">
        <v>0</v>
      </c>
      <c r="AK107" s="227">
        <v>1</v>
      </c>
      <c r="AL107" s="227">
        <f>0.1*$AL104</f>
        <v>0.53600000000000003</v>
      </c>
      <c r="AM107" s="227">
        <f>AM102</f>
        <v>2.7E-2</v>
      </c>
      <c r="AN107" s="227">
        <f>AN106</f>
        <v>1</v>
      </c>
      <c r="AQ107" s="230">
        <f>AM107*I107+AL107</f>
        <v>0.57055460000000002</v>
      </c>
      <c r="AR107" s="230">
        <f t="shared" si="112"/>
        <v>5.7055460000000002E-2</v>
      </c>
      <c r="AS107" s="231">
        <f t="shared" si="113"/>
        <v>0.25</v>
      </c>
      <c r="AT107" s="231">
        <f t="shared" si="114"/>
        <v>0.21940251500000002</v>
      </c>
      <c r="AU107" s="230">
        <f>10068.2*J107*POWER(10,-6)</f>
        <v>1.288528236E-2</v>
      </c>
      <c r="AV107" s="231">
        <f t="shared" si="109"/>
        <v>1.10989785736</v>
      </c>
      <c r="AW107" s="232">
        <f t="shared" si="115"/>
        <v>0</v>
      </c>
      <c r="AX107" s="232">
        <f t="shared" si="116"/>
        <v>4.0000000000000009E-7</v>
      </c>
      <c r="AY107" s="232">
        <f t="shared" si="110"/>
        <v>4.4395914294400009E-7</v>
      </c>
    </row>
    <row r="108" spans="1:51" s="227" customFormat="1" x14ac:dyDescent="0.3">
      <c r="A108" s="218" t="s">
        <v>210</v>
      </c>
      <c r="B108" s="218" t="str">
        <f>B102</f>
        <v>Ёмкость цилиндрическая (8208D0001)</v>
      </c>
      <c r="C108" s="53" t="s">
        <v>216</v>
      </c>
      <c r="D108" s="220" t="s">
        <v>165</v>
      </c>
      <c r="E108" s="233">
        <f>E106</f>
        <v>1.0000000000000001E-5</v>
      </c>
      <c r="F108" s="234">
        <f t="shared" si="117"/>
        <v>1</v>
      </c>
      <c r="G108" s="218">
        <v>0.15200000000000002</v>
      </c>
      <c r="H108" s="222">
        <f t="shared" si="111"/>
        <v>1.5200000000000003E-6</v>
      </c>
      <c r="I108" s="235">
        <f>I105*0.15</f>
        <v>1.2798</v>
      </c>
      <c r="J108" s="224">
        <f>I108</f>
        <v>1.2798</v>
      </c>
      <c r="K108" s="236"/>
      <c r="L108" s="237"/>
      <c r="M108" s="227" t="str">
        <f t="shared" si="107"/>
        <v>С7</v>
      </c>
      <c r="N108" s="227" t="str">
        <f t="shared" si="107"/>
        <v>Ёмкость цилиндрическая (8208D0001)</v>
      </c>
      <c r="O108" s="227" t="str">
        <f t="shared" si="108"/>
        <v>Частичное-пожар-вспышка</v>
      </c>
      <c r="P108" s="227" t="s">
        <v>83</v>
      </c>
      <c r="Q108" s="227" t="s">
        <v>83</v>
      </c>
      <c r="R108" s="227" t="s">
        <v>83</v>
      </c>
      <c r="S108" s="227" t="s">
        <v>83</v>
      </c>
      <c r="T108" s="227" t="s">
        <v>83</v>
      </c>
      <c r="U108" s="227" t="s">
        <v>83</v>
      </c>
      <c r="V108" s="227" t="s">
        <v>83</v>
      </c>
      <c r="W108" s="227" t="s">
        <v>83</v>
      </c>
      <c r="X108" s="227" t="s">
        <v>83</v>
      </c>
      <c r="Y108" s="227" t="s">
        <v>83</v>
      </c>
      <c r="Z108" s="227" t="s">
        <v>83</v>
      </c>
      <c r="AA108" s="227">
        <v>69.150000000000006</v>
      </c>
      <c r="AB108" s="227">
        <v>82.98</v>
      </c>
      <c r="AC108" s="227" t="s">
        <v>83</v>
      </c>
      <c r="AD108" s="227" t="s">
        <v>83</v>
      </c>
      <c r="AE108" s="227" t="s">
        <v>83</v>
      </c>
      <c r="AF108" s="227" t="s">
        <v>83</v>
      </c>
      <c r="AG108" s="227" t="s">
        <v>83</v>
      </c>
      <c r="AH108" s="227" t="s">
        <v>83</v>
      </c>
      <c r="AI108" s="227" t="s">
        <v>83</v>
      </c>
      <c r="AJ108" s="227">
        <v>0</v>
      </c>
      <c r="AK108" s="227">
        <v>1</v>
      </c>
      <c r="AL108" s="227">
        <f>0.1*$AL105</f>
        <v>5.3600000000000009E-2</v>
      </c>
      <c r="AM108" s="227">
        <f>AM102</f>
        <v>2.7E-2</v>
      </c>
      <c r="AN108" s="227">
        <f>ROUNDUP(AN102/3,0)</f>
        <v>1</v>
      </c>
      <c r="AQ108" s="230">
        <f>AM108*I108+AL108</f>
        <v>8.81546E-2</v>
      </c>
      <c r="AR108" s="230">
        <f t="shared" si="112"/>
        <v>8.8154600000000007E-3</v>
      </c>
      <c r="AS108" s="231">
        <f t="shared" si="113"/>
        <v>0.25</v>
      </c>
      <c r="AT108" s="231">
        <f t="shared" si="114"/>
        <v>8.6742514999999992E-2</v>
      </c>
      <c r="AU108" s="230">
        <f>10068.2*J108*POWER(10,-6)</f>
        <v>1.288528236E-2</v>
      </c>
      <c r="AV108" s="231">
        <f t="shared" si="109"/>
        <v>0.44659785736000002</v>
      </c>
      <c r="AW108" s="232">
        <f t="shared" si="115"/>
        <v>0</v>
      </c>
      <c r="AX108" s="232">
        <f t="shared" si="116"/>
        <v>1.5200000000000003E-6</v>
      </c>
      <c r="AY108" s="232">
        <f t="shared" si="110"/>
        <v>6.7882874318720015E-7</v>
      </c>
    </row>
    <row r="109" spans="1:51" s="227" customFormat="1" ht="15" thickBot="1" x14ac:dyDescent="0.35">
      <c r="A109" s="218" t="s">
        <v>211</v>
      </c>
      <c r="B109" s="218" t="str">
        <f>B102</f>
        <v>Ёмкость цилиндрическая (8208D0001)</v>
      </c>
      <c r="C109" s="53" t="s">
        <v>217</v>
      </c>
      <c r="D109" s="220" t="s">
        <v>61</v>
      </c>
      <c r="E109" s="233">
        <f>E106</f>
        <v>1.0000000000000001E-5</v>
      </c>
      <c r="F109" s="234">
        <f t="shared" si="117"/>
        <v>1</v>
      </c>
      <c r="G109" s="218">
        <v>0.6080000000000001</v>
      </c>
      <c r="H109" s="222">
        <f t="shared" si="111"/>
        <v>6.0800000000000011E-6</v>
      </c>
      <c r="I109" s="235">
        <f>I105*0.15</f>
        <v>1.2798</v>
      </c>
      <c r="J109" s="224">
        <v>0</v>
      </c>
      <c r="K109" s="241"/>
      <c r="L109" s="242"/>
      <c r="M109" s="227" t="str">
        <f t="shared" si="107"/>
        <v>С8</v>
      </c>
      <c r="N109" s="227" t="str">
        <f t="shared" si="107"/>
        <v>Ёмкость цилиндрическая (8208D0001)</v>
      </c>
      <c r="O109" s="227" t="str">
        <f t="shared" si="108"/>
        <v>Частичное-ликвидация</v>
      </c>
      <c r="P109" s="227" t="s">
        <v>83</v>
      </c>
      <c r="Q109" s="227" t="s">
        <v>83</v>
      </c>
      <c r="R109" s="227" t="s">
        <v>83</v>
      </c>
      <c r="S109" s="227" t="s">
        <v>83</v>
      </c>
      <c r="T109" s="227" t="s">
        <v>83</v>
      </c>
      <c r="U109" s="227" t="s">
        <v>83</v>
      </c>
      <c r="V109" s="227" t="s">
        <v>83</v>
      </c>
      <c r="W109" s="227" t="s">
        <v>83</v>
      </c>
      <c r="X109" s="227" t="s">
        <v>83</v>
      </c>
      <c r="Y109" s="227" t="s">
        <v>83</v>
      </c>
      <c r="Z109" s="227" t="s">
        <v>83</v>
      </c>
      <c r="AA109" s="227" t="s">
        <v>83</v>
      </c>
      <c r="AB109" s="227" t="s">
        <v>83</v>
      </c>
      <c r="AC109" s="227" t="s">
        <v>83</v>
      </c>
      <c r="AD109" s="227" t="s">
        <v>83</v>
      </c>
      <c r="AE109" s="227" t="s">
        <v>83</v>
      </c>
      <c r="AF109" s="227" t="s">
        <v>83</v>
      </c>
      <c r="AG109" s="227" t="s">
        <v>83</v>
      </c>
      <c r="AH109" s="227" t="s">
        <v>83</v>
      </c>
      <c r="AI109" s="227" t="s">
        <v>83</v>
      </c>
      <c r="AJ109" s="227">
        <v>0</v>
      </c>
      <c r="AK109" s="227">
        <v>0</v>
      </c>
      <c r="AL109" s="227">
        <f>0.1*$AL106</f>
        <v>5.3600000000000009E-2</v>
      </c>
      <c r="AM109" s="227">
        <f>AM102</f>
        <v>2.7E-2</v>
      </c>
      <c r="AN109" s="227">
        <f>ROUNDUP(AN102/3,0)</f>
        <v>1</v>
      </c>
      <c r="AQ109" s="230">
        <f>AM109*I109*0.1+AL109</f>
        <v>5.7055460000000009E-2</v>
      </c>
      <c r="AR109" s="230">
        <f t="shared" si="112"/>
        <v>5.7055460000000014E-3</v>
      </c>
      <c r="AS109" s="231">
        <f t="shared" si="113"/>
        <v>0</v>
      </c>
      <c r="AT109" s="231">
        <f t="shared" si="114"/>
        <v>1.5690251500000002E-2</v>
      </c>
      <c r="AU109" s="230">
        <f>1333*J107*POWER(10,-6)</f>
        <v>1.7059734000000001E-3</v>
      </c>
      <c r="AV109" s="231">
        <f t="shared" si="109"/>
        <v>8.0157230900000015E-2</v>
      </c>
      <c r="AW109" s="232">
        <f t="shared" si="115"/>
        <v>0</v>
      </c>
      <c r="AX109" s="232">
        <f t="shared" si="116"/>
        <v>0</v>
      </c>
      <c r="AY109" s="232">
        <f t="shared" si="110"/>
        <v>4.8735596387200021E-7</v>
      </c>
    </row>
    <row r="110" spans="1:51" s="227" customFormat="1" x14ac:dyDescent="0.3">
      <c r="A110" s="281" t="s">
        <v>240</v>
      </c>
      <c r="B110" s="281" t="str">
        <f>B102</f>
        <v>Ёмкость цилиндрическая (8208D0001)</v>
      </c>
      <c r="C110" s="281" t="s">
        <v>302</v>
      </c>
      <c r="D110" s="281" t="s">
        <v>303</v>
      </c>
      <c r="E110" s="282">
        <v>2.5000000000000001E-5</v>
      </c>
      <c r="F110" s="234">
        <f t="shared" si="117"/>
        <v>1</v>
      </c>
      <c r="G110" s="281">
        <v>1</v>
      </c>
      <c r="H110" s="283">
        <f t="shared" si="111"/>
        <v>2.5000000000000001E-5</v>
      </c>
      <c r="I110" s="284">
        <f>I102</f>
        <v>56.88</v>
      </c>
      <c r="J110" s="284">
        <f>I110*0.07</f>
        <v>3.9816000000000007</v>
      </c>
      <c r="K110" s="281"/>
      <c r="L110" s="281"/>
      <c r="M110" s="285" t="str">
        <f t="shared" si="107"/>
        <v>С9</v>
      </c>
      <c r="N110" s="227" t="str">
        <f t="shared" si="107"/>
        <v>Ёмкость цилиндрическая (8208D0001)</v>
      </c>
      <c r="O110" s="227" t="str">
        <f t="shared" si="108"/>
        <v>Полное-шар+пожар пролива</v>
      </c>
      <c r="P110" s="285">
        <v>30.2</v>
      </c>
      <c r="Q110" s="285">
        <v>41.6</v>
      </c>
      <c r="R110" s="285">
        <v>59.6</v>
      </c>
      <c r="S110" s="285">
        <v>110.1</v>
      </c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>
        <v>150.5</v>
      </c>
      <c r="AF110" s="285">
        <v>211</v>
      </c>
      <c r="AG110" s="285">
        <v>249.5</v>
      </c>
      <c r="AH110" s="285">
        <v>317.5</v>
      </c>
      <c r="AI110" s="285"/>
      <c r="AJ110" s="285">
        <v>1</v>
      </c>
      <c r="AK110" s="285">
        <v>2</v>
      </c>
      <c r="AL110" s="285">
        <f>AL102</f>
        <v>5.36</v>
      </c>
      <c r="AM110" s="285">
        <f>AM102</f>
        <v>2.7E-2</v>
      </c>
      <c r="AN110" s="285">
        <v>5</v>
      </c>
      <c r="AO110" s="285"/>
      <c r="AP110" s="285"/>
      <c r="AQ110" s="286">
        <f>AM110*I110+AL110</f>
        <v>6.8957600000000001</v>
      </c>
      <c r="AR110" s="286">
        <f>0.1*AQ110</f>
        <v>0.68957600000000008</v>
      </c>
      <c r="AS110" s="287">
        <f>AJ110*3+0.25*AK110</f>
        <v>3.5</v>
      </c>
      <c r="AT110" s="287">
        <f>SUM(AQ110:AS110)/4</f>
        <v>2.771334</v>
      </c>
      <c r="AU110" s="286">
        <f>10068.2*J110*POWER(10,-6)</f>
        <v>4.0087545120000005E-2</v>
      </c>
      <c r="AV110" s="287">
        <f t="shared" si="109"/>
        <v>13.89675754512</v>
      </c>
      <c r="AW110" s="288">
        <f>AJ110*H110</f>
        <v>2.5000000000000001E-5</v>
      </c>
      <c r="AX110" s="288">
        <f>H110*AK110</f>
        <v>5.0000000000000002E-5</v>
      </c>
      <c r="AY110" s="288">
        <f t="shared" si="110"/>
        <v>3.4741893862800003E-4</v>
      </c>
    </row>
    <row r="111" spans="1:51" ht="15" thickBot="1" x14ac:dyDescent="0.35"/>
    <row r="112" spans="1:51" s="227" customFormat="1" ht="18" customHeight="1" x14ac:dyDescent="0.3">
      <c r="A112" s="218" t="s">
        <v>18</v>
      </c>
      <c r="B112" s="219" t="s">
        <v>602</v>
      </c>
      <c r="C112" s="53" t="s">
        <v>182</v>
      </c>
      <c r="D112" s="220" t="s">
        <v>297</v>
      </c>
      <c r="E112" s="221">
        <v>2.9999999999999999E-7</v>
      </c>
      <c r="F112" s="219">
        <v>8.5</v>
      </c>
      <c r="G112" s="218">
        <v>0.2</v>
      </c>
      <c r="H112" s="222">
        <f>E112*F112*G112</f>
        <v>5.0999999999999999E-7</v>
      </c>
      <c r="I112" s="223">
        <v>0.25</v>
      </c>
      <c r="J112" s="224">
        <f>I112</f>
        <v>0.25</v>
      </c>
      <c r="K112" s="225" t="s">
        <v>175</v>
      </c>
      <c r="L112" s="226">
        <v>0</v>
      </c>
      <c r="M112" s="227" t="str">
        <f t="shared" ref="M112:N119" si="118">A112</f>
        <v>С1</v>
      </c>
      <c r="N112" s="227" t="str">
        <f t="shared" si="118"/>
        <v>Трубопровод Дренажный продукт (СУГ) рег. № 324</v>
      </c>
      <c r="O112" s="227" t="str">
        <f t="shared" ref="O112:O119" si="119">D112</f>
        <v>Полное-факельное горение</v>
      </c>
      <c r="P112" s="227" t="s">
        <v>83</v>
      </c>
      <c r="Q112" s="227" t="s">
        <v>83</v>
      </c>
      <c r="R112" s="227" t="s">
        <v>83</v>
      </c>
      <c r="S112" s="227" t="s">
        <v>83</v>
      </c>
      <c r="T112" s="227" t="s">
        <v>83</v>
      </c>
      <c r="U112" s="227" t="s">
        <v>83</v>
      </c>
      <c r="V112" s="227" t="s">
        <v>83</v>
      </c>
      <c r="W112" s="227" t="s">
        <v>83</v>
      </c>
      <c r="X112" s="227" t="s">
        <v>83</v>
      </c>
      <c r="Y112" s="227">
        <v>44</v>
      </c>
      <c r="Z112" s="227">
        <v>7</v>
      </c>
      <c r="AA112" s="227" t="s">
        <v>83</v>
      </c>
      <c r="AB112" s="227" t="s">
        <v>83</v>
      </c>
      <c r="AC112" s="227" t="s">
        <v>83</v>
      </c>
      <c r="AD112" s="227" t="s">
        <v>83</v>
      </c>
      <c r="AE112" s="227" t="s">
        <v>83</v>
      </c>
      <c r="AF112" s="227" t="s">
        <v>83</v>
      </c>
      <c r="AG112" s="227" t="s">
        <v>83</v>
      </c>
      <c r="AH112" s="227" t="s">
        <v>83</v>
      </c>
      <c r="AI112" s="227" t="s">
        <v>83</v>
      </c>
      <c r="AJ112" s="228">
        <v>1</v>
      </c>
      <c r="AK112" s="228">
        <v>2</v>
      </c>
      <c r="AL112" s="229">
        <v>0.75</v>
      </c>
      <c r="AM112" s="229">
        <v>2.7E-2</v>
      </c>
      <c r="AN112" s="229">
        <v>3</v>
      </c>
      <c r="AQ112" s="230">
        <f>AM112*I112+AL112</f>
        <v>0.75675000000000003</v>
      </c>
      <c r="AR112" s="230">
        <f>0.1*AQ112</f>
        <v>7.5675000000000006E-2</v>
      </c>
      <c r="AS112" s="231">
        <f>AJ112*3+0.25*AK112</f>
        <v>3.5</v>
      </c>
      <c r="AT112" s="231">
        <f>SUM(AQ112:AS112)/4</f>
        <v>1.0831062499999999</v>
      </c>
      <c r="AU112" s="230">
        <f>10068.2*J112*POWER(10,-6)</f>
        <v>2.5170500000000003E-3</v>
      </c>
      <c r="AV112" s="231">
        <f t="shared" ref="AV112:AV119" si="120">AU112+AT112+AS112+AR112+AQ112</f>
        <v>5.4180483000000006</v>
      </c>
      <c r="AW112" s="232">
        <f>AJ112*H112</f>
        <v>5.0999999999999999E-7</v>
      </c>
      <c r="AX112" s="232">
        <f>H112*AK112</f>
        <v>1.02E-6</v>
      </c>
      <c r="AY112" s="232">
        <f>H112*AV112</f>
        <v>2.7632046330000003E-6</v>
      </c>
    </row>
    <row r="113" spans="1:51" s="227" customFormat="1" x14ac:dyDescent="0.3">
      <c r="A113" s="218" t="s">
        <v>19</v>
      </c>
      <c r="B113" s="218" t="str">
        <f>B112</f>
        <v>Трубопровод Дренажный продукт (СУГ) рег. № 324</v>
      </c>
      <c r="C113" s="53" t="s">
        <v>160</v>
      </c>
      <c r="D113" s="220" t="s">
        <v>62</v>
      </c>
      <c r="E113" s="233">
        <f>E112</f>
        <v>2.9999999999999999E-7</v>
      </c>
      <c r="F113" s="234">
        <f>F112</f>
        <v>8.5</v>
      </c>
      <c r="G113" s="218">
        <v>0.1152</v>
      </c>
      <c r="H113" s="222">
        <f t="shared" ref="H113:H119" si="121">E113*F113*G113</f>
        <v>2.9375999999999995E-7</v>
      </c>
      <c r="I113" s="235">
        <f>I112</f>
        <v>0.25</v>
      </c>
      <c r="J113" s="280">
        <f>0.1*I112*0.6</f>
        <v>1.4999999999999999E-2</v>
      </c>
      <c r="K113" s="236" t="s">
        <v>176</v>
      </c>
      <c r="L113" s="237">
        <v>0</v>
      </c>
      <c r="M113" s="227" t="str">
        <f t="shared" si="118"/>
        <v>С2</v>
      </c>
      <c r="N113" s="227" t="str">
        <f t="shared" si="118"/>
        <v>Трубопровод Дренажный продукт (СУГ) рег. № 324</v>
      </c>
      <c r="O113" s="227" t="str">
        <f t="shared" si="119"/>
        <v>Полное-взрыв</v>
      </c>
      <c r="P113" s="227" t="s">
        <v>83</v>
      </c>
      <c r="Q113" s="227" t="s">
        <v>83</v>
      </c>
      <c r="R113" s="227" t="s">
        <v>83</v>
      </c>
      <c r="S113" s="227" t="s">
        <v>83</v>
      </c>
      <c r="T113" s="227">
        <v>0</v>
      </c>
      <c r="U113" s="227">
        <v>0</v>
      </c>
      <c r="V113" s="227">
        <v>37.6</v>
      </c>
      <c r="W113" s="227">
        <v>124.6</v>
      </c>
      <c r="X113" s="227">
        <v>324.60000000000002</v>
      </c>
      <c r="Y113" s="227" t="s">
        <v>83</v>
      </c>
      <c r="Z113" s="227" t="s">
        <v>83</v>
      </c>
      <c r="AA113" s="227" t="s">
        <v>83</v>
      </c>
      <c r="AB113" s="227" t="s">
        <v>83</v>
      </c>
      <c r="AC113" s="227" t="s">
        <v>83</v>
      </c>
      <c r="AD113" s="227" t="s">
        <v>83</v>
      </c>
      <c r="AE113" s="227" t="s">
        <v>83</v>
      </c>
      <c r="AF113" s="227" t="s">
        <v>83</v>
      </c>
      <c r="AG113" s="227" t="s">
        <v>83</v>
      </c>
      <c r="AH113" s="227" t="s">
        <v>83</v>
      </c>
      <c r="AI113" s="227" t="s">
        <v>83</v>
      </c>
      <c r="AJ113" s="228">
        <v>2</v>
      </c>
      <c r="AK113" s="228">
        <v>2</v>
      </c>
      <c r="AL113" s="227">
        <f>AL112</f>
        <v>0.75</v>
      </c>
      <c r="AM113" s="227">
        <f>AM112</f>
        <v>2.7E-2</v>
      </c>
      <c r="AN113" s="227">
        <f>AN112</f>
        <v>3</v>
      </c>
      <c r="AQ113" s="230">
        <f>AM113*I113+AL113</f>
        <v>0.75675000000000003</v>
      </c>
      <c r="AR113" s="230">
        <f t="shared" ref="AR113:AR119" si="122">0.1*AQ113</f>
        <v>7.5675000000000006E-2</v>
      </c>
      <c r="AS113" s="231">
        <f t="shared" ref="AS113:AS119" si="123">AJ113*3+0.25*AK113</f>
        <v>6.5</v>
      </c>
      <c r="AT113" s="231">
        <f t="shared" ref="AT113:AT119" si="124">SUM(AQ113:AS113)/4</f>
        <v>1.8331062499999999</v>
      </c>
      <c r="AU113" s="230">
        <f>10068.2*J113*POWER(10,-6)*10</f>
        <v>1.51023E-3</v>
      </c>
      <c r="AV113" s="231">
        <f t="shared" si="120"/>
        <v>9.16704148</v>
      </c>
      <c r="AW113" s="232">
        <f t="shared" ref="AW113:AW119" si="125">AJ113*H113</f>
        <v>5.875199999999999E-7</v>
      </c>
      <c r="AX113" s="232">
        <f t="shared" ref="AX113:AX119" si="126">H113*AK113</f>
        <v>5.875199999999999E-7</v>
      </c>
      <c r="AY113" s="232">
        <f t="shared" ref="AY113:AY119" si="127">H113*AV113</f>
        <v>2.6929101051647994E-6</v>
      </c>
    </row>
    <row r="114" spans="1:51" s="227" customFormat="1" x14ac:dyDescent="0.3">
      <c r="A114" s="218" t="s">
        <v>20</v>
      </c>
      <c r="B114" s="218" t="str">
        <f>B112</f>
        <v>Трубопровод Дренажный продукт (СУГ) рег. № 324</v>
      </c>
      <c r="C114" s="53" t="s">
        <v>296</v>
      </c>
      <c r="D114" s="220" t="s">
        <v>294</v>
      </c>
      <c r="E114" s="233">
        <f>E112</f>
        <v>2.9999999999999999E-7</v>
      </c>
      <c r="F114" s="234">
        <f>F112</f>
        <v>8.5</v>
      </c>
      <c r="G114" s="218">
        <v>7.6799999999999993E-2</v>
      </c>
      <c r="H114" s="222">
        <f t="shared" si="121"/>
        <v>1.9583999999999996E-7</v>
      </c>
      <c r="I114" s="235">
        <f>I112</f>
        <v>0.25</v>
      </c>
      <c r="J114" s="224">
        <f>0.6*I112</f>
        <v>0.15</v>
      </c>
      <c r="K114" s="236" t="s">
        <v>177</v>
      </c>
      <c r="L114" s="237">
        <v>15</v>
      </c>
      <c r="M114" s="227" t="str">
        <f t="shared" si="118"/>
        <v>С3</v>
      </c>
      <c r="N114" s="227" t="str">
        <f t="shared" si="118"/>
        <v>Трубопровод Дренажный продукт (СУГ) рег. № 324</v>
      </c>
      <c r="O114" s="227" t="str">
        <f t="shared" si="119"/>
        <v>Полное-огненный шар</v>
      </c>
      <c r="P114" s="227" t="s">
        <v>83</v>
      </c>
      <c r="Q114" s="227" t="s">
        <v>83</v>
      </c>
      <c r="R114" s="227" t="s">
        <v>83</v>
      </c>
      <c r="S114" s="227" t="s">
        <v>83</v>
      </c>
      <c r="T114" s="227" t="s">
        <v>83</v>
      </c>
      <c r="U114" s="227" t="s">
        <v>83</v>
      </c>
      <c r="V114" s="227" t="s">
        <v>83</v>
      </c>
      <c r="W114" s="227" t="s">
        <v>83</v>
      </c>
      <c r="X114" s="227" t="s">
        <v>83</v>
      </c>
      <c r="Y114" s="227" t="s">
        <v>83</v>
      </c>
      <c r="Z114" s="227" t="s">
        <v>83</v>
      </c>
      <c r="AA114" s="227" t="s">
        <v>83</v>
      </c>
      <c r="AB114" s="227" t="s">
        <v>83</v>
      </c>
      <c r="AC114" s="227" t="s">
        <v>83</v>
      </c>
      <c r="AD114" s="227" t="s">
        <v>83</v>
      </c>
      <c r="AE114" s="227">
        <v>1</v>
      </c>
      <c r="AF114" s="227">
        <v>32</v>
      </c>
      <c r="AG114" s="227">
        <v>43.5</v>
      </c>
      <c r="AH114" s="227">
        <v>62</v>
      </c>
      <c r="AI114" s="227" t="s">
        <v>83</v>
      </c>
      <c r="AJ114" s="227">
        <v>0</v>
      </c>
      <c r="AK114" s="227">
        <v>0</v>
      </c>
      <c r="AL114" s="227">
        <f>AL112</f>
        <v>0.75</v>
      </c>
      <c r="AM114" s="227">
        <f>AM112</f>
        <v>2.7E-2</v>
      </c>
      <c r="AN114" s="227">
        <f>AN112</f>
        <v>3</v>
      </c>
      <c r="AQ114" s="230">
        <f>AM114*I114*0.1+AL114</f>
        <v>0.75067499999999998</v>
      </c>
      <c r="AR114" s="230">
        <f t="shared" si="122"/>
        <v>7.5067500000000009E-2</v>
      </c>
      <c r="AS114" s="231">
        <f t="shared" si="123"/>
        <v>0</v>
      </c>
      <c r="AT114" s="231">
        <f t="shared" si="124"/>
        <v>0.20643562500000001</v>
      </c>
      <c r="AU114" s="230">
        <f>1333*J112*POWER(10,-6)</f>
        <v>3.3325E-4</v>
      </c>
      <c r="AV114" s="231">
        <f t="shared" si="120"/>
        <v>1.0325113749999999</v>
      </c>
      <c r="AW114" s="232">
        <f t="shared" si="125"/>
        <v>0</v>
      </c>
      <c r="AX114" s="232">
        <f t="shared" si="126"/>
        <v>0</v>
      </c>
      <c r="AY114" s="232">
        <f t="shared" si="127"/>
        <v>2.0220702767999993E-7</v>
      </c>
    </row>
    <row r="115" spans="1:51" s="227" customFormat="1" x14ac:dyDescent="0.3">
      <c r="A115" s="218" t="s">
        <v>21</v>
      </c>
      <c r="B115" s="218" t="str">
        <f>B112</f>
        <v>Трубопровод Дренажный продукт (СУГ) рег. № 324</v>
      </c>
      <c r="C115" s="53" t="s">
        <v>161</v>
      </c>
      <c r="D115" s="220" t="s">
        <v>60</v>
      </c>
      <c r="E115" s="233">
        <f>E112</f>
        <v>2.9999999999999999E-7</v>
      </c>
      <c r="F115" s="234">
        <f>F112</f>
        <v>8.5</v>
      </c>
      <c r="G115" s="218">
        <v>0.60799999999999998</v>
      </c>
      <c r="H115" s="222">
        <f t="shared" si="121"/>
        <v>1.5503999999999998E-6</v>
      </c>
      <c r="I115" s="235">
        <f>I112</f>
        <v>0.25</v>
      </c>
      <c r="J115" s="238">
        <v>0</v>
      </c>
      <c r="K115" s="236" t="s">
        <v>179</v>
      </c>
      <c r="L115" s="237">
        <v>45390</v>
      </c>
      <c r="M115" s="227" t="str">
        <f t="shared" si="118"/>
        <v>С4</v>
      </c>
      <c r="N115" s="227" t="str">
        <f t="shared" si="118"/>
        <v>Трубопровод Дренажный продукт (СУГ) рег. № 324</v>
      </c>
      <c r="O115" s="227" t="str">
        <f t="shared" si="119"/>
        <v>Полное-ликвидация</v>
      </c>
      <c r="P115" s="227" t="s">
        <v>83</v>
      </c>
      <c r="Q115" s="227" t="s">
        <v>83</v>
      </c>
      <c r="R115" s="227" t="s">
        <v>83</v>
      </c>
      <c r="S115" s="227" t="s">
        <v>83</v>
      </c>
      <c r="T115" s="227" t="s">
        <v>83</v>
      </c>
      <c r="U115" s="227" t="s">
        <v>83</v>
      </c>
      <c r="V115" s="227" t="s">
        <v>83</v>
      </c>
      <c r="W115" s="227" t="s">
        <v>83</v>
      </c>
      <c r="X115" s="227" t="s">
        <v>83</v>
      </c>
      <c r="Y115" s="227" t="s">
        <v>83</v>
      </c>
      <c r="Z115" s="227" t="s">
        <v>83</v>
      </c>
      <c r="AA115" s="227" t="s">
        <v>83</v>
      </c>
      <c r="AB115" s="227" t="s">
        <v>83</v>
      </c>
      <c r="AC115" s="227" t="s">
        <v>83</v>
      </c>
      <c r="AD115" s="227" t="s">
        <v>83</v>
      </c>
      <c r="AE115" s="227" t="s">
        <v>83</v>
      </c>
      <c r="AF115" s="227" t="s">
        <v>83</v>
      </c>
      <c r="AG115" s="227" t="s">
        <v>83</v>
      </c>
      <c r="AH115" s="227" t="s">
        <v>83</v>
      </c>
      <c r="AI115" s="227" t="s">
        <v>83</v>
      </c>
      <c r="AJ115" s="227">
        <v>0</v>
      </c>
      <c r="AK115" s="227">
        <v>0</v>
      </c>
      <c r="AL115" s="227">
        <f>AL112</f>
        <v>0.75</v>
      </c>
      <c r="AM115" s="227">
        <f>AM112</f>
        <v>2.7E-2</v>
      </c>
      <c r="AN115" s="227">
        <f>AN112</f>
        <v>3</v>
      </c>
      <c r="AQ115" s="230">
        <f>AM115*I115*0.1+AL115</f>
        <v>0.75067499999999998</v>
      </c>
      <c r="AR115" s="230">
        <f t="shared" si="122"/>
        <v>7.5067500000000009E-2</v>
      </c>
      <c r="AS115" s="231">
        <f t="shared" si="123"/>
        <v>0</v>
      </c>
      <c r="AT115" s="231">
        <f t="shared" si="124"/>
        <v>0.20643562500000001</v>
      </c>
      <c r="AU115" s="230">
        <f>1333*J113*POWER(10,-6)</f>
        <v>1.9995000000000001E-5</v>
      </c>
      <c r="AV115" s="231">
        <f t="shared" si="120"/>
        <v>1.0321981199999999</v>
      </c>
      <c r="AW115" s="232">
        <f t="shared" si="125"/>
        <v>0</v>
      </c>
      <c r="AX115" s="232">
        <f t="shared" si="126"/>
        <v>0</v>
      </c>
      <c r="AY115" s="232">
        <f t="shared" si="127"/>
        <v>1.6003199652479997E-6</v>
      </c>
    </row>
    <row r="116" spans="1:51" s="227" customFormat="1" x14ac:dyDescent="0.3">
      <c r="A116" s="218" t="s">
        <v>22</v>
      </c>
      <c r="B116" s="218" t="str">
        <f>B112</f>
        <v>Трубопровод Дренажный продукт (СУГ) рег. № 324</v>
      </c>
      <c r="C116" s="53" t="s">
        <v>186</v>
      </c>
      <c r="D116" s="220" t="s">
        <v>187</v>
      </c>
      <c r="E116" s="221">
        <v>1.9999999999999999E-6</v>
      </c>
      <c r="F116" s="234">
        <f>F112</f>
        <v>8.5</v>
      </c>
      <c r="G116" s="218">
        <v>3.5000000000000003E-2</v>
      </c>
      <c r="H116" s="222">
        <f t="shared" si="121"/>
        <v>5.9500000000000002E-7</v>
      </c>
      <c r="I116" s="235">
        <f>0.15*I112</f>
        <v>3.7499999999999999E-2</v>
      </c>
      <c r="J116" s="224">
        <f>I116</f>
        <v>3.7499999999999999E-2</v>
      </c>
      <c r="K116" s="236" t="s">
        <v>180</v>
      </c>
      <c r="L116" s="237">
        <v>3</v>
      </c>
      <c r="M116" s="227" t="str">
        <f t="shared" si="118"/>
        <v>С5</v>
      </c>
      <c r="N116" s="227" t="str">
        <f t="shared" si="118"/>
        <v>Трубопровод Дренажный продукт (СУГ) рег. № 324</v>
      </c>
      <c r="O116" s="227" t="str">
        <f t="shared" si="119"/>
        <v>Частичное-факел</v>
      </c>
      <c r="P116" s="227" t="s">
        <v>83</v>
      </c>
      <c r="Q116" s="227" t="s">
        <v>83</v>
      </c>
      <c r="R116" s="227" t="s">
        <v>83</v>
      </c>
      <c r="S116" s="227" t="s">
        <v>83</v>
      </c>
      <c r="T116" s="227" t="s">
        <v>83</v>
      </c>
      <c r="U116" s="227" t="s">
        <v>83</v>
      </c>
      <c r="V116" s="227" t="s">
        <v>83</v>
      </c>
      <c r="W116" s="227" t="s">
        <v>83</v>
      </c>
      <c r="X116" s="227" t="s">
        <v>83</v>
      </c>
      <c r="Y116" s="227">
        <v>28</v>
      </c>
      <c r="Z116" s="227">
        <v>5</v>
      </c>
      <c r="AA116" s="227" t="s">
        <v>83</v>
      </c>
      <c r="AB116" s="227" t="s">
        <v>83</v>
      </c>
      <c r="AC116" s="227" t="s">
        <v>83</v>
      </c>
      <c r="AD116" s="227" t="s">
        <v>83</v>
      </c>
      <c r="AE116" s="227" t="s">
        <v>83</v>
      </c>
      <c r="AF116" s="227" t="s">
        <v>83</v>
      </c>
      <c r="AG116" s="227" t="s">
        <v>83</v>
      </c>
      <c r="AH116" s="227" t="s">
        <v>83</v>
      </c>
      <c r="AI116" s="227" t="s">
        <v>83</v>
      </c>
      <c r="AJ116" s="227">
        <v>0</v>
      </c>
      <c r="AK116" s="227">
        <v>2</v>
      </c>
      <c r="AL116" s="227">
        <f>0.1*$AL$2</f>
        <v>7.5000000000000002E-4</v>
      </c>
      <c r="AM116" s="227">
        <f>AM112</f>
        <v>2.7E-2</v>
      </c>
      <c r="AN116" s="227">
        <f>ROUNDUP(AN112/3,0)</f>
        <v>1</v>
      </c>
      <c r="AQ116" s="230">
        <f>AM116*I116+AL116</f>
        <v>1.7625E-3</v>
      </c>
      <c r="AR116" s="230">
        <f t="shared" si="122"/>
        <v>1.7625E-4</v>
      </c>
      <c r="AS116" s="231">
        <f t="shared" si="123"/>
        <v>0.5</v>
      </c>
      <c r="AT116" s="231">
        <f t="shared" si="124"/>
        <v>0.1254846875</v>
      </c>
      <c r="AU116" s="230">
        <f>10068.2*J116*POWER(10,-6)</f>
        <v>3.775575E-4</v>
      </c>
      <c r="AV116" s="231">
        <f t="shared" si="120"/>
        <v>0.62780099499999997</v>
      </c>
      <c r="AW116" s="232">
        <f t="shared" si="125"/>
        <v>0</v>
      </c>
      <c r="AX116" s="232">
        <f t="shared" si="126"/>
        <v>1.19E-6</v>
      </c>
      <c r="AY116" s="232">
        <f t="shared" si="127"/>
        <v>3.7354159202500002E-7</v>
      </c>
    </row>
    <row r="117" spans="1:51" s="227" customFormat="1" x14ac:dyDescent="0.3">
      <c r="A117" s="218" t="s">
        <v>23</v>
      </c>
      <c r="B117" s="218" t="str">
        <f>B112</f>
        <v>Трубопровод Дренажный продукт (СУГ) рег. № 324</v>
      </c>
      <c r="C117" s="53" t="s">
        <v>188</v>
      </c>
      <c r="D117" s="220" t="s">
        <v>189</v>
      </c>
      <c r="E117" s="233">
        <f>E116</f>
        <v>1.9999999999999999E-6</v>
      </c>
      <c r="F117" s="234">
        <f>F113</f>
        <v>8.5</v>
      </c>
      <c r="G117" s="218">
        <v>8.3000000000000001E-3</v>
      </c>
      <c r="H117" s="222">
        <f t="shared" si="121"/>
        <v>1.4110000000000001E-7</v>
      </c>
      <c r="I117" s="235">
        <f>I116</f>
        <v>3.7499999999999999E-2</v>
      </c>
      <c r="J117" s="224">
        <f>J113*0.3</f>
        <v>4.4999999999999997E-3</v>
      </c>
      <c r="K117" s="239" t="s">
        <v>191</v>
      </c>
      <c r="L117" s="240">
        <v>19</v>
      </c>
      <c r="M117" s="227" t="str">
        <f t="shared" si="118"/>
        <v>С6</v>
      </c>
      <c r="N117" s="227" t="str">
        <f t="shared" si="118"/>
        <v>Трубопровод Дренажный продукт (СУГ) рег. № 324</v>
      </c>
      <c r="O117" s="227" t="str">
        <f t="shared" si="119"/>
        <v>Частичное-взрыв</v>
      </c>
      <c r="P117" s="227" t="s">
        <v>83</v>
      </c>
      <c r="Q117" s="227" t="s">
        <v>83</v>
      </c>
      <c r="R117" s="227" t="s">
        <v>83</v>
      </c>
      <c r="S117" s="227" t="s">
        <v>83</v>
      </c>
      <c r="T117" s="227">
        <v>0</v>
      </c>
      <c r="U117" s="227">
        <v>0</v>
      </c>
      <c r="V117" s="227">
        <v>20.100000000000001</v>
      </c>
      <c r="W117" s="227">
        <v>66.099999999999994</v>
      </c>
      <c r="X117" s="227">
        <v>172.6</v>
      </c>
      <c r="Y117" s="227" t="s">
        <v>83</v>
      </c>
      <c r="Z117" s="227" t="s">
        <v>83</v>
      </c>
      <c r="AA117" s="227" t="s">
        <v>83</v>
      </c>
      <c r="AB117" s="227" t="s">
        <v>83</v>
      </c>
      <c r="AC117" s="227" t="s">
        <v>83</v>
      </c>
      <c r="AD117" s="227" t="s">
        <v>83</v>
      </c>
      <c r="AE117" s="227" t="s">
        <v>83</v>
      </c>
      <c r="AF117" s="227" t="s">
        <v>83</v>
      </c>
      <c r="AG117" s="227" t="s">
        <v>83</v>
      </c>
      <c r="AH117" s="227" t="s">
        <v>83</v>
      </c>
      <c r="AI117" s="227" t="s">
        <v>83</v>
      </c>
      <c r="AJ117" s="227">
        <v>0</v>
      </c>
      <c r="AK117" s="227">
        <v>1</v>
      </c>
      <c r="AL117" s="227">
        <f>0.1*$AL$2</f>
        <v>7.5000000000000002E-4</v>
      </c>
      <c r="AM117" s="227">
        <f>AM112</f>
        <v>2.7E-2</v>
      </c>
      <c r="AN117" s="227">
        <f>AN116</f>
        <v>1</v>
      </c>
      <c r="AQ117" s="230">
        <f>AM117*I117+AL117</f>
        <v>1.7625E-3</v>
      </c>
      <c r="AR117" s="230">
        <f t="shared" si="122"/>
        <v>1.7625E-4</v>
      </c>
      <c r="AS117" s="231">
        <f t="shared" si="123"/>
        <v>0.25</v>
      </c>
      <c r="AT117" s="231">
        <f t="shared" si="124"/>
        <v>6.2984687499999997E-2</v>
      </c>
      <c r="AU117" s="230">
        <f>10068.2*J117*POWER(10,-6)*10</f>
        <v>4.5306899999999995E-4</v>
      </c>
      <c r="AV117" s="231">
        <f t="shared" si="120"/>
        <v>0.31537650649999999</v>
      </c>
      <c r="AW117" s="232">
        <f t="shared" si="125"/>
        <v>0</v>
      </c>
      <c r="AX117" s="232">
        <f t="shared" si="126"/>
        <v>1.4110000000000001E-7</v>
      </c>
      <c r="AY117" s="232">
        <f t="shared" si="127"/>
        <v>4.4499625067150004E-8</v>
      </c>
    </row>
    <row r="118" spans="1:51" s="227" customFormat="1" x14ac:dyDescent="0.3">
      <c r="A118" s="218" t="s">
        <v>210</v>
      </c>
      <c r="B118" s="218" t="str">
        <f>B112</f>
        <v>Трубопровод Дренажный продукт (СУГ) рег. № 324</v>
      </c>
      <c r="C118" s="53" t="s">
        <v>163</v>
      </c>
      <c r="D118" s="220" t="s">
        <v>165</v>
      </c>
      <c r="E118" s="233">
        <f>E116</f>
        <v>1.9999999999999999E-6</v>
      </c>
      <c r="F118" s="234">
        <f>F112</f>
        <v>8.5</v>
      </c>
      <c r="G118" s="218">
        <v>2.64E-2</v>
      </c>
      <c r="H118" s="222">
        <f t="shared" si="121"/>
        <v>4.488E-7</v>
      </c>
      <c r="I118" s="235">
        <f>0.15*I112</f>
        <v>3.7499999999999999E-2</v>
      </c>
      <c r="J118" s="224">
        <f>J114*0.15</f>
        <v>2.2499999999999999E-2</v>
      </c>
      <c r="K118" s="236"/>
      <c r="L118" s="237"/>
      <c r="M118" s="227" t="str">
        <f t="shared" si="118"/>
        <v>С7</v>
      </c>
      <c r="N118" s="227" t="str">
        <f t="shared" si="118"/>
        <v>Трубопровод Дренажный продукт (СУГ) рег. № 324</v>
      </c>
      <c r="O118" s="227" t="str">
        <f t="shared" si="119"/>
        <v>Частичное-пожар-вспышка</v>
      </c>
      <c r="P118" s="227" t="s">
        <v>83</v>
      </c>
      <c r="Q118" s="227" t="s">
        <v>83</v>
      </c>
      <c r="R118" s="227" t="s">
        <v>83</v>
      </c>
      <c r="S118" s="227" t="s">
        <v>83</v>
      </c>
      <c r="T118" s="227" t="s">
        <v>83</v>
      </c>
      <c r="U118" s="227" t="s">
        <v>83</v>
      </c>
      <c r="V118" s="227" t="s">
        <v>83</v>
      </c>
      <c r="W118" s="227" t="s">
        <v>83</v>
      </c>
      <c r="X118" s="227" t="s">
        <v>83</v>
      </c>
      <c r="Y118" s="227" t="s">
        <v>83</v>
      </c>
      <c r="Z118" s="227" t="s">
        <v>83</v>
      </c>
      <c r="AA118" s="227">
        <v>16.079999999999998</v>
      </c>
      <c r="AB118" s="227">
        <v>19.3</v>
      </c>
      <c r="AC118" s="227" t="s">
        <v>83</v>
      </c>
      <c r="AD118" s="227" t="s">
        <v>83</v>
      </c>
      <c r="AE118" s="227" t="s">
        <v>83</v>
      </c>
      <c r="AF118" s="227" t="s">
        <v>83</v>
      </c>
      <c r="AG118" s="227" t="s">
        <v>83</v>
      </c>
      <c r="AH118" s="227" t="s">
        <v>83</v>
      </c>
      <c r="AI118" s="227" t="s">
        <v>83</v>
      </c>
      <c r="AJ118" s="227">
        <v>0</v>
      </c>
      <c r="AK118" s="227">
        <v>1</v>
      </c>
      <c r="AL118" s="227">
        <f>0.1*$AL$2</f>
        <v>7.5000000000000002E-4</v>
      </c>
      <c r="AM118" s="227">
        <f>AM112</f>
        <v>2.7E-2</v>
      </c>
      <c r="AN118" s="227">
        <f>ROUNDUP(AN112/3,0)</f>
        <v>1</v>
      </c>
      <c r="AQ118" s="230">
        <f>AM118*I118+AL118</f>
        <v>1.7625E-3</v>
      </c>
      <c r="AR118" s="230">
        <f t="shared" si="122"/>
        <v>1.7625E-4</v>
      </c>
      <c r="AS118" s="231">
        <f t="shared" si="123"/>
        <v>0.25</v>
      </c>
      <c r="AT118" s="231">
        <f t="shared" si="124"/>
        <v>6.2984687499999997E-2</v>
      </c>
      <c r="AU118" s="230">
        <f>10068.2*J118*POWER(10,-6)*10</f>
        <v>2.2653450000000002E-3</v>
      </c>
      <c r="AV118" s="231">
        <f t="shared" si="120"/>
        <v>0.31718878249999999</v>
      </c>
      <c r="AW118" s="232">
        <f t="shared" si="125"/>
        <v>0</v>
      </c>
      <c r="AX118" s="232">
        <f t="shared" si="126"/>
        <v>4.488E-7</v>
      </c>
      <c r="AY118" s="232">
        <f t="shared" si="127"/>
        <v>1.4235432558599999E-7</v>
      </c>
    </row>
    <row r="119" spans="1:51" s="227" customFormat="1" ht="15" thickBot="1" x14ac:dyDescent="0.35">
      <c r="A119" s="218" t="s">
        <v>211</v>
      </c>
      <c r="B119" s="218" t="str">
        <f>B112</f>
        <v>Трубопровод Дренажный продукт (СУГ) рег. № 324</v>
      </c>
      <c r="C119" s="53" t="s">
        <v>164</v>
      </c>
      <c r="D119" s="220" t="s">
        <v>61</v>
      </c>
      <c r="E119" s="233">
        <f>E116</f>
        <v>1.9999999999999999E-6</v>
      </c>
      <c r="F119" s="234">
        <f>F112</f>
        <v>8.5</v>
      </c>
      <c r="G119" s="218">
        <v>0.93030000000000002</v>
      </c>
      <c r="H119" s="222">
        <f t="shared" si="121"/>
        <v>1.58151E-5</v>
      </c>
      <c r="I119" s="235">
        <f>0.15*I112</f>
        <v>3.7499999999999999E-2</v>
      </c>
      <c r="J119" s="238">
        <v>0</v>
      </c>
      <c r="K119" s="241"/>
      <c r="L119" s="242"/>
      <c r="M119" s="227" t="str">
        <f t="shared" si="118"/>
        <v>С8</v>
      </c>
      <c r="N119" s="227" t="str">
        <f t="shared" si="118"/>
        <v>Трубопровод Дренажный продукт (СУГ) рег. № 324</v>
      </c>
      <c r="O119" s="227" t="str">
        <f t="shared" si="119"/>
        <v>Частичное-ликвидация</v>
      </c>
      <c r="P119" s="227" t="s">
        <v>83</v>
      </c>
      <c r="Q119" s="227" t="s">
        <v>83</v>
      </c>
      <c r="R119" s="227" t="s">
        <v>83</v>
      </c>
      <c r="S119" s="227" t="s">
        <v>83</v>
      </c>
      <c r="T119" s="227" t="s">
        <v>83</v>
      </c>
      <c r="U119" s="227" t="s">
        <v>83</v>
      </c>
      <c r="V119" s="227" t="s">
        <v>83</v>
      </c>
      <c r="W119" s="227" t="s">
        <v>83</v>
      </c>
      <c r="X119" s="227" t="s">
        <v>83</v>
      </c>
      <c r="Y119" s="227" t="s">
        <v>83</v>
      </c>
      <c r="Z119" s="227" t="s">
        <v>83</v>
      </c>
      <c r="AA119" s="227" t="s">
        <v>83</v>
      </c>
      <c r="AB119" s="227" t="s">
        <v>83</v>
      </c>
      <c r="AC119" s="227" t="s">
        <v>83</v>
      </c>
      <c r="AD119" s="227" t="s">
        <v>83</v>
      </c>
      <c r="AE119" s="227" t="s">
        <v>83</v>
      </c>
      <c r="AF119" s="227" t="s">
        <v>83</v>
      </c>
      <c r="AG119" s="227" t="s">
        <v>83</v>
      </c>
      <c r="AH119" s="227" t="s">
        <v>83</v>
      </c>
      <c r="AI119" s="227" t="s">
        <v>83</v>
      </c>
      <c r="AJ119" s="227">
        <v>0</v>
      </c>
      <c r="AK119" s="227">
        <v>0</v>
      </c>
      <c r="AL119" s="227">
        <f>0.1*$AL$2</f>
        <v>7.5000000000000002E-4</v>
      </c>
      <c r="AM119" s="227">
        <f>AM112</f>
        <v>2.7E-2</v>
      </c>
      <c r="AN119" s="227">
        <f>ROUNDUP(AN112/3,0)</f>
        <v>1</v>
      </c>
      <c r="AQ119" s="230">
        <f>AM119*I119*0.1+AL119</f>
        <v>8.5125000000000001E-4</v>
      </c>
      <c r="AR119" s="230">
        <f t="shared" si="122"/>
        <v>8.5125000000000009E-5</v>
      </c>
      <c r="AS119" s="231">
        <f t="shared" si="123"/>
        <v>0</v>
      </c>
      <c r="AT119" s="231">
        <f t="shared" si="124"/>
        <v>2.3409375000000001E-4</v>
      </c>
      <c r="AU119" s="230">
        <f>1333*J118*POWER(10,-6)</f>
        <v>2.9992499999999998E-5</v>
      </c>
      <c r="AV119" s="231">
        <f t="shared" si="120"/>
        <v>1.20046125E-3</v>
      </c>
      <c r="AW119" s="232">
        <f t="shared" si="125"/>
        <v>0</v>
      </c>
      <c r="AX119" s="232">
        <f t="shared" si="126"/>
        <v>0</v>
      </c>
      <c r="AY119" s="232">
        <f t="shared" si="127"/>
        <v>1.8985414714874999E-8</v>
      </c>
    </row>
    <row r="120" spans="1:51" s="227" customFormat="1" x14ac:dyDescent="0.3">
      <c r="A120" s="228"/>
      <c r="B120" s="228"/>
      <c r="D120" s="274"/>
      <c r="E120" s="275"/>
      <c r="F120" s="276"/>
      <c r="G120" s="228"/>
      <c r="H120" s="232"/>
      <c r="I120" s="231"/>
      <c r="J120" s="228"/>
      <c r="K120" s="228"/>
      <c r="L120" s="228"/>
      <c r="AQ120" s="230"/>
      <c r="AR120" s="230"/>
      <c r="AS120" s="231"/>
      <c r="AT120" s="231"/>
      <c r="AU120" s="230"/>
      <c r="AV120" s="231"/>
      <c r="AW120" s="232"/>
      <c r="AX120" s="232"/>
      <c r="AY120" s="232"/>
    </row>
    <row r="121" spans="1:51" ht="15" thickBot="1" x14ac:dyDescent="0.35"/>
    <row r="122" spans="1:51" ht="15" thickBot="1" x14ac:dyDescent="0.35">
      <c r="A122" s="48" t="s">
        <v>18</v>
      </c>
      <c r="B122" s="150" t="s">
        <v>603</v>
      </c>
      <c r="C122" s="166" t="s">
        <v>159</v>
      </c>
      <c r="D122" s="49" t="s">
        <v>59</v>
      </c>
      <c r="E122" s="153">
        <v>9.9999999999999995E-8</v>
      </c>
      <c r="F122" s="150">
        <v>1250</v>
      </c>
      <c r="G122" s="48">
        <v>0.2</v>
      </c>
      <c r="H122" s="50">
        <f t="shared" ref="H122:H127" si="128">E122*F122*G122</f>
        <v>2.5000000000000001E-5</v>
      </c>
      <c r="I122" s="151">
        <v>12.36</v>
      </c>
      <c r="J122" s="149">
        <f>I122</f>
        <v>12.36</v>
      </c>
      <c r="K122" s="159" t="s">
        <v>175</v>
      </c>
      <c r="L122" s="164">
        <f>J122*20</f>
        <v>247.2</v>
      </c>
      <c r="M122" s="92" t="str">
        <f t="shared" ref="M122:M127" si="129">A122</f>
        <v>С1</v>
      </c>
      <c r="N122" s="92" t="str">
        <f t="shared" ref="N122:N127" si="130">B122</f>
        <v>Трубопровод "Ловушечный нефтепродукт" рег. № 139</v>
      </c>
      <c r="O122" s="92" t="str">
        <f t="shared" ref="O122:O127" si="131">D122</f>
        <v>Полное-пожар</v>
      </c>
      <c r="P122" s="92">
        <v>17.100000000000001</v>
      </c>
      <c r="Q122" s="92">
        <v>23.5</v>
      </c>
      <c r="R122" s="92">
        <v>33.1</v>
      </c>
      <c r="S122" s="92">
        <v>61.2</v>
      </c>
      <c r="T122" s="92" t="s">
        <v>83</v>
      </c>
      <c r="U122" s="92" t="s">
        <v>83</v>
      </c>
      <c r="V122" s="92" t="s">
        <v>83</v>
      </c>
      <c r="W122" s="92" t="s">
        <v>83</v>
      </c>
      <c r="X122" s="92" t="s">
        <v>83</v>
      </c>
      <c r="Y122" s="92" t="s">
        <v>83</v>
      </c>
      <c r="Z122" s="92" t="s">
        <v>83</v>
      </c>
      <c r="AA122" s="92" t="s">
        <v>83</v>
      </c>
      <c r="AB122" s="92" t="s">
        <v>83</v>
      </c>
      <c r="AC122" s="92" t="s">
        <v>83</v>
      </c>
      <c r="AD122" s="92" t="s">
        <v>83</v>
      </c>
      <c r="AE122" s="92" t="s">
        <v>83</v>
      </c>
      <c r="AF122" s="92" t="s">
        <v>83</v>
      </c>
      <c r="AG122" s="92" t="s">
        <v>83</v>
      </c>
      <c r="AH122" s="92" t="s">
        <v>83</v>
      </c>
      <c r="AI122" s="92" t="s">
        <v>83</v>
      </c>
      <c r="AJ122" s="52">
        <v>1</v>
      </c>
      <c r="AK122" s="52">
        <v>2</v>
      </c>
      <c r="AL122" s="152">
        <v>0.75</v>
      </c>
      <c r="AM122" s="152">
        <v>2.7E-2</v>
      </c>
      <c r="AN122" s="152">
        <v>3</v>
      </c>
      <c r="AO122" s="92"/>
      <c r="AP122" s="92"/>
      <c r="AQ122" s="93">
        <f>AM122*I122+AL122</f>
        <v>1.08372</v>
      </c>
      <c r="AR122" s="93">
        <f t="shared" ref="AR122:AR127" si="132">0.1*AQ122</f>
        <v>0.10837200000000001</v>
      </c>
      <c r="AS122" s="94">
        <f t="shared" ref="AS122:AS127" si="133">AJ122*3+0.25*AK122</f>
        <v>3.5</v>
      </c>
      <c r="AT122" s="94">
        <f t="shared" ref="AT122:AT127" si="134">SUM(AQ122:AS122)/4</f>
        <v>1.1730229999999999</v>
      </c>
      <c r="AU122" s="93">
        <f>10068.2*J122*POWER(10,-6)</f>
        <v>0.124442952</v>
      </c>
      <c r="AV122" s="94">
        <f t="shared" ref="AV122:AV127" si="135">AU122+AT122+AS122+AR122+AQ122</f>
        <v>5.9895579520000002</v>
      </c>
      <c r="AW122" s="95">
        <f t="shared" ref="AW122:AW127" si="136">AJ122*H122</f>
        <v>2.5000000000000001E-5</v>
      </c>
      <c r="AX122" s="95">
        <f t="shared" ref="AX122:AX127" si="137">H122*AK122</f>
        <v>5.0000000000000002E-5</v>
      </c>
      <c r="AY122" s="95">
        <f t="shared" ref="AY122:AY127" si="138">H122*AV122</f>
        <v>1.497389488E-4</v>
      </c>
    </row>
    <row r="123" spans="1:51" ht="15" thickBot="1" x14ac:dyDescent="0.35">
      <c r="A123" s="48" t="s">
        <v>19</v>
      </c>
      <c r="B123" s="48" t="str">
        <f>B122</f>
        <v>Трубопровод "Ловушечный нефтепродукт" рег. № 139</v>
      </c>
      <c r="C123" s="166" t="s">
        <v>174</v>
      </c>
      <c r="D123" s="49" t="s">
        <v>59</v>
      </c>
      <c r="E123" s="154">
        <f>E122</f>
        <v>9.9999999999999995E-8</v>
      </c>
      <c r="F123" s="155">
        <f>F122</f>
        <v>1250</v>
      </c>
      <c r="G123" s="48">
        <v>0.04</v>
      </c>
      <c r="H123" s="50">
        <f t="shared" si="128"/>
        <v>5.0000000000000004E-6</v>
      </c>
      <c r="I123" s="149">
        <f>I122</f>
        <v>12.36</v>
      </c>
      <c r="J123" s="149">
        <f>I122</f>
        <v>12.36</v>
      </c>
      <c r="K123" s="159" t="s">
        <v>176</v>
      </c>
      <c r="L123" s="164">
        <v>0</v>
      </c>
      <c r="M123" s="92" t="str">
        <f t="shared" si="129"/>
        <v>С2</v>
      </c>
      <c r="N123" s="92" t="str">
        <f t="shared" si="130"/>
        <v>Трубопровод "Ловушечный нефтепродукт" рег. № 139</v>
      </c>
      <c r="O123" s="92" t="str">
        <f t="shared" si="131"/>
        <v>Полное-пожар</v>
      </c>
      <c r="P123" s="92">
        <v>17.100000000000001</v>
      </c>
      <c r="Q123" s="92">
        <v>23.5</v>
      </c>
      <c r="R123" s="92">
        <v>33.1</v>
      </c>
      <c r="S123" s="92">
        <v>61.2</v>
      </c>
      <c r="T123" s="92" t="s">
        <v>83</v>
      </c>
      <c r="U123" s="92" t="s">
        <v>83</v>
      </c>
      <c r="V123" s="92" t="s">
        <v>83</v>
      </c>
      <c r="W123" s="92" t="s">
        <v>83</v>
      </c>
      <c r="X123" s="92" t="s">
        <v>83</v>
      </c>
      <c r="Y123" s="92" t="s">
        <v>83</v>
      </c>
      <c r="Z123" s="92" t="s">
        <v>83</v>
      </c>
      <c r="AA123" s="92" t="s">
        <v>83</v>
      </c>
      <c r="AB123" s="92" t="s">
        <v>83</v>
      </c>
      <c r="AC123" s="92" t="s">
        <v>83</v>
      </c>
      <c r="AD123" s="92" t="s">
        <v>83</v>
      </c>
      <c r="AE123" s="92" t="s">
        <v>83</v>
      </c>
      <c r="AF123" s="92" t="s">
        <v>83</v>
      </c>
      <c r="AG123" s="92" t="s">
        <v>83</v>
      </c>
      <c r="AH123" s="92" t="s">
        <v>83</v>
      </c>
      <c r="AI123" s="92" t="s">
        <v>83</v>
      </c>
      <c r="AJ123" s="52">
        <v>2</v>
      </c>
      <c r="AK123" s="52">
        <v>2</v>
      </c>
      <c r="AL123" s="92">
        <f>AL122</f>
        <v>0.75</v>
      </c>
      <c r="AM123" s="92">
        <f>AM122</f>
        <v>2.7E-2</v>
      </c>
      <c r="AN123" s="92">
        <f>AN122</f>
        <v>3</v>
      </c>
      <c r="AO123" s="92"/>
      <c r="AP123" s="92"/>
      <c r="AQ123" s="93">
        <f>AM123*I123+AL123</f>
        <v>1.08372</v>
      </c>
      <c r="AR123" s="93">
        <f t="shared" si="132"/>
        <v>0.10837200000000001</v>
      </c>
      <c r="AS123" s="94">
        <f t="shared" si="133"/>
        <v>6.5</v>
      </c>
      <c r="AT123" s="94">
        <f t="shared" si="134"/>
        <v>1.9230229999999999</v>
      </c>
      <c r="AU123" s="93">
        <f>10068.2*J123*POWER(10,-6)*10</f>
        <v>1.24442952</v>
      </c>
      <c r="AV123" s="94">
        <f t="shared" si="135"/>
        <v>10.859544519999998</v>
      </c>
      <c r="AW123" s="95">
        <f t="shared" si="136"/>
        <v>1.0000000000000001E-5</v>
      </c>
      <c r="AX123" s="95">
        <f t="shared" si="137"/>
        <v>1.0000000000000001E-5</v>
      </c>
      <c r="AY123" s="95">
        <f t="shared" si="138"/>
        <v>5.4297722599999997E-5</v>
      </c>
    </row>
    <row r="124" spans="1:51" x14ac:dyDescent="0.3">
      <c r="A124" s="48" t="s">
        <v>20</v>
      </c>
      <c r="B124" s="48" t="str">
        <f>B122</f>
        <v>Трубопровод "Ловушечный нефтепродукт" рег. № 139</v>
      </c>
      <c r="C124" s="166" t="s">
        <v>161</v>
      </c>
      <c r="D124" s="49" t="s">
        <v>60</v>
      </c>
      <c r="E124" s="154">
        <f>E122</f>
        <v>9.9999999999999995E-8</v>
      </c>
      <c r="F124" s="155">
        <f>F122</f>
        <v>1250</v>
      </c>
      <c r="G124" s="48">
        <v>0.76</v>
      </c>
      <c r="H124" s="50">
        <f t="shared" si="128"/>
        <v>9.5000000000000005E-5</v>
      </c>
      <c r="I124" s="149">
        <f>I122</f>
        <v>12.36</v>
      </c>
      <c r="J124" s="48">
        <v>0</v>
      </c>
      <c r="K124" s="159" t="s">
        <v>177</v>
      </c>
      <c r="L124" s="164">
        <v>0</v>
      </c>
      <c r="M124" s="92" t="str">
        <f t="shared" si="129"/>
        <v>С3</v>
      </c>
      <c r="N124" s="92" t="str">
        <f t="shared" si="130"/>
        <v>Трубопровод "Ловушечный нефтепродукт" рег. № 139</v>
      </c>
      <c r="O124" s="92" t="str">
        <f t="shared" si="131"/>
        <v>Полное-ликвидация</v>
      </c>
      <c r="P124" s="92" t="s">
        <v>83</v>
      </c>
      <c r="Q124" s="92" t="s">
        <v>83</v>
      </c>
      <c r="R124" s="92" t="s">
        <v>83</v>
      </c>
      <c r="S124" s="92" t="s">
        <v>83</v>
      </c>
      <c r="T124" s="92" t="s">
        <v>83</v>
      </c>
      <c r="U124" s="92" t="s">
        <v>83</v>
      </c>
      <c r="V124" s="92" t="s">
        <v>83</v>
      </c>
      <c r="W124" s="92" t="s">
        <v>83</v>
      </c>
      <c r="X124" s="92" t="s">
        <v>83</v>
      </c>
      <c r="Y124" s="92" t="s">
        <v>83</v>
      </c>
      <c r="Z124" s="92" t="s">
        <v>83</v>
      </c>
      <c r="AA124" s="92" t="s">
        <v>83</v>
      </c>
      <c r="AB124" s="92" t="s">
        <v>83</v>
      </c>
      <c r="AC124" s="92" t="s">
        <v>83</v>
      </c>
      <c r="AD124" s="92" t="s">
        <v>83</v>
      </c>
      <c r="AE124" s="92" t="s">
        <v>83</v>
      </c>
      <c r="AF124" s="92" t="s">
        <v>83</v>
      </c>
      <c r="AG124" s="92" t="s">
        <v>83</v>
      </c>
      <c r="AH124" s="92" t="s">
        <v>83</v>
      </c>
      <c r="AI124" s="92" t="s">
        <v>83</v>
      </c>
      <c r="AJ124" s="92">
        <v>0</v>
      </c>
      <c r="AK124" s="92">
        <v>0</v>
      </c>
      <c r="AL124" s="92">
        <f>AL122</f>
        <v>0.75</v>
      </c>
      <c r="AM124" s="92">
        <f>AM122</f>
        <v>2.7E-2</v>
      </c>
      <c r="AN124" s="92">
        <f>AN122</f>
        <v>3</v>
      </c>
      <c r="AO124" s="92"/>
      <c r="AP124" s="92"/>
      <c r="AQ124" s="93">
        <f>AM124*I124*0.1+AL124</f>
        <v>0.78337199999999996</v>
      </c>
      <c r="AR124" s="93">
        <f t="shared" si="132"/>
        <v>7.8337199999999996E-2</v>
      </c>
      <c r="AS124" s="94">
        <f t="shared" si="133"/>
        <v>0</v>
      </c>
      <c r="AT124" s="94">
        <f t="shared" si="134"/>
        <v>0.21542729999999999</v>
      </c>
      <c r="AU124" s="93">
        <f>1333*J123*POWER(10,-6)</f>
        <v>1.6475880000000002E-2</v>
      </c>
      <c r="AV124" s="94">
        <f t="shared" si="135"/>
        <v>1.0936123799999999</v>
      </c>
      <c r="AW124" s="95">
        <f t="shared" si="136"/>
        <v>0</v>
      </c>
      <c r="AX124" s="95">
        <f t="shared" si="137"/>
        <v>0</v>
      </c>
      <c r="AY124" s="95">
        <f t="shared" si="138"/>
        <v>1.038931761E-4</v>
      </c>
    </row>
    <row r="125" spans="1:51" x14ac:dyDescent="0.3">
      <c r="A125" s="48" t="s">
        <v>21</v>
      </c>
      <c r="B125" s="48" t="str">
        <f>B122</f>
        <v>Трубопровод "Ловушечный нефтепродукт" рег. № 139</v>
      </c>
      <c r="C125" s="166" t="s">
        <v>162</v>
      </c>
      <c r="D125" s="49" t="s">
        <v>84</v>
      </c>
      <c r="E125" s="153">
        <v>5.0000000000000004E-6</v>
      </c>
      <c r="F125" s="155">
        <f>F122</f>
        <v>1250</v>
      </c>
      <c r="G125" s="48">
        <v>0.2</v>
      </c>
      <c r="H125" s="50">
        <f t="shared" si="128"/>
        <v>1.2500000000000002E-3</v>
      </c>
      <c r="I125" s="149">
        <f>0.15*I122</f>
        <v>1.8539999999999999</v>
      </c>
      <c r="J125" s="149">
        <f>I125</f>
        <v>1.8539999999999999</v>
      </c>
      <c r="K125" s="161" t="s">
        <v>179</v>
      </c>
      <c r="L125" s="165">
        <v>45390</v>
      </c>
      <c r="M125" s="92" t="str">
        <f t="shared" si="129"/>
        <v>С4</v>
      </c>
      <c r="N125" s="92" t="str">
        <f t="shared" si="130"/>
        <v>Трубопровод "Ловушечный нефтепродукт" рег. № 139</v>
      </c>
      <c r="O125" s="92" t="str">
        <f t="shared" si="131"/>
        <v>Частичное-пожар</v>
      </c>
      <c r="P125" s="92">
        <v>12.8</v>
      </c>
      <c r="Q125" s="92">
        <v>16.399999999999999</v>
      </c>
      <c r="R125" s="92">
        <v>21.7</v>
      </c>
      <c r="S125" s="92">
        <v>37.299999999999997</v>
      </c>
      <c r="T125" s="92" t="s">
        <v>83</v>
      </c>
      <c r="U125" s="92" t="s">
        <v>83</v>
      </c>
      <c r="V125" s="92" t="s">
        <v>83</v>
      </c>
      <c r="W125" s="92" t="s">
        <v>83</v>
      </c>
      <c r="X125" s="92" t="s">
        <v>83</v>
      </c>
      <c r="Y125" s="92" t="s">
        <v>83</v>
      </c>
      <c r="Z125" s="92" t="s">
        <v>83</v>
      </c>
      <c r="AA125" s="92" t="s">
        <v>83</v>
      </c>
      <c r="AB125" s="92" t="s">
        <v>83</v>
      </c>
      <c r="AC125" s="92" t="s">
        <v>83</v>
      </c>
      <c r="AD125" s="92" t="s">
        <v>83</v>
      </c>
      <c r="AE125" s="92" t="s">
        <v>83</v>
      </c>
      <c r="AF125" s="92" t="s">
        <v>83</v>
      </c>
      <c r="AG125" s="92" t="s">
        <v>83</v>
      </c>
      <c r="AH125" s="92" t="s">
        <v>83</v>
      </c>
      <c r="AI125" s="92" t="s">
        <v>83</v>
      </c>
      <c r="AJ125" s="92">
        <v>0</v>
      </c>
      <c r="AK125" s="92">
        <v>2</v>
      </c>
      <c r="AL125" s="92">
        <f>0.1*$AL$2</f>
        <v>7.5000000000000002E-4</v>
      </c>
      <c r="AM125" s="92">
        <f>AM122</f>
        <v>2.7E-2</v>
      </c>
      <c r="AN125" s="92">
        <f>ROUNDUP(AN122/3,0)</f>
        <v>1</v>
      </c>
      <c r="AO125" s="92"/>
      <c r="AP125" s="92"/>
      <c r="AQ125" s="93">
        <f>AM125*I125+AL125</f>
        <v>5.0807999999999999E-2</v>
      </c>
      <c r="AR125" s="93">
        <f t="shared" si="132"/>
        <v>5.0807999999999999E-3</v>
      </c>
      <c r="AS125" s="94">
        <f t="shared" si="133"/>
        <v>0.5</v>
      </c>
      <c r="AT125" s="94">
        <f t="shared" si="134"/>
        <v>0.13897219999999999</v>
      </c>
      <c r="AU125" s="93">
        <f>10068.2*J125*POWER(10,-6)</f>
        <v>1.8666442799999999E-2</v>
      </c>
      <c r="AV125" s="94">
        <f t="shared" si="135"/>
        <v>0.71352744279999991</v>
      </c>
      <c r="AW125" s="95">
        <f t="shared" si="136"/>
        <v>0</v>
      </c>
      <c r="AX125" s="95">
        <f t="shared" si="137"/>
        <v>2.5000000000000005E-3</v>
      </c>
      <c r="AY125" s="95">
        <f t="shared" si="138"/>
        <v>8.9190930350000006E-4</v>
      </c>
    </row>
    <row r="126" spans="1:51" x14ac:dyDescent="0.3">
      <c r="A126" s="48" t="s">
        <v>22</v>
      </c>
      <c r="B126" s="48" t="str">
        <f>B122</f>
        <v>Трубопровод "Ловушечный нефтепродукт" рег. № 139</v>
      </c>
      <c r="C126" s="166" t="s">
        <v>190</v>
      </c>
      <c r="D126" s="49" t="s">
        <v>84</v>
      </c>
      <c r="E126" s="154">
        <f>E125</f>
        <v>5.0000000000000004E-6</v>
      </c>
      <c r="F126" s="155">
        <f>F122</f>
        <v>1250</v>
      </c>
      <c r="G126" s="48">
        <v>0.04</v>
      </c>
      <c r="H126" s="50">
        <f t="shared" si="128"/>
        <v>2.5000000000000001E-4</v>
      </c>
      <c r="I126" s="149">
        <f>0.15*I122</f>
        <v>1.8539999999999999</v>
      </c>
      <c r="J126" s="149">
        <f>I125</f>
        <v>1.8539999999999999</v>
      </c>
      <c r="K126" s="161" t="s">
        <v>180</v>
      </c>
      <c r="L126" s="165">
        <v>3</v>
      </c>
      <c r="M126" s="92" t="str">
        <f t="shared" si="129"/>
        <v>С5</v>
      </c>
      <c r="N126" s="92" t="str">
        <f t="shared" si="130"/>
        <v>Трубопровод "Ловушечный нефтепродукт" рег. № 139</v>
      </c>
      <c r="O126" s="92" t="str">
        <f t="shared" si="131"/>
        <v>Частичное-пожар</v>
      </c>
      <c r="P126" s="92">
        <v>12.8</v>
      </c>
      <c r="Q126" s="92">
        <v>16.399999999999999</v>
      </c>
      <c r="R126" s="92">
        <v>21.7</v>
      </c>
      <c r="S126" s="92">
        <v>37.299999999999997</v>
      </c>
      <c r="T126" s="92" t="s">
        <v>83</v>
      </c>
      <c r="U126" s="92" t="s">
        <v>83</v>
      </c>
      <c r="V126" s="92" t="s">
        <v>83</v>
      </c>
      <c r="W126" s="92" t="s">
        <v>83</v>
      </c>
      <c r="X126" s="92" t="s">
        <v>83</v>
      </c>
      <c r="Y126" s="92" t="s">
        <v>83</v>
      </c>
      <c r="Z126" s="92" t="s">
        <v>83</v>
      </c>
      <c r="AA126" s="92" t="s">
        <v>83</v>
      </c>
      <c r="AB126" s="92" t="s">
        <v>83</v>
      </c>
      <c r="AC126" s="92" t="s">
        <v>83</v>
      </c>
      <c r="AD126" s="92" t="s">
        <v>83</v>
      </c>
      <c r="AE126" s="92" t="s">
        <v>83</v>
      </c>
      <c r="AF126" s="92" t="s">
        <v>83</v>
      </c>
      <c r="AG126" s="92" t="s">
        <v>83</v>
      </c>
      <c r="AH126" s="92" t="s">
        <v>83</v>
      </c>
      <c r="AI126" s="92" t="s">
        <v>83</v>
      </c>
      <c r="AJ126" s="92">
        <v>0</v>
      </c>
      <c r="AK126" s="92">
        <v>1</v>
      </c>
      <c r="AL126" s="92">
        <f>0.1*$AL$2</f>
        <v>7.5000000000000002E-4</v>
      </c>
      <c r="AM126" s="92">
        <f>AM122</f>
        <v>2.7E-2</v>
      </c>
      <c r="AN126" s="92">
        <f>ROUNDUP(AN122/3,0)</f>
        <v>1</v>
      </c>
      <c r="AO126" s="92"/>
      <c r="AP126" s="92"/>
      <c r="AQ126" s="93">
        <f>AM126*I126+AL126</f>
        <v>5.0807999999999999E-2</v>
      </c>
      <c r="AR126" s="93">
        <f t="shared" si="132"/>
        <v>5.0807999999999999E-3</v>
      </c>
      <c r="AS126" s="94">
        <f t="shared" si="133"/>
        <v>0.25</v>
      </c>
      <c r="AT126" s="94">
        <f t="shared" si="134"/>
        <v>7.6472200000000004E-2</v>
      </c>
      <c r="AU126" s="93">
        <f>10068.2*J126*POWER(10,-6)*10</f>
        <v>0.18666442799999999</v>
      </c>
      <c r="AV126" s="94">
        <f t="shared" si="135"/>
        <v>0.569025428</v>
      </c>
      <c r="AW126" s="95">
        <f t="shared" si="136"/>
        <v>0</v>
      </c>
      <c r="AX126" s="95">
        <f t="shared" si="137"/>
        <v>2.5000000000000001E-4</v>
      </c>
      <c r="AY126" s="95">
        <f t="shared" si="138"/>
        <v>1.4225635700000001E-4</v>
      </c>
    </row>
    <row r="127" spans="1:51" ht="15" thickBot="1" x14ac:dyDescent="0.35">
      <c r="A127" s="48" t="s">
        <v>23</v>
      </c>
      <c r="B127" s="48" t="str">
        <f>B122</f>
        <v>Трубопровод "Ловушечный нефтепродукт" рег. № 139</v>
      </c>
      <c r="C127" s="166" t="s">
        <v>164</v>
      </c>
      <c r="D127" s="49" t="s">
        <v>61</v>
      </c>
      <c r="E127" s="154">
        <f>E125</f>
        <v>5.0000000000000004E-6</v>
      </c>
      <c r="F127" s="155">
        <f>F122</f>
        <v>1250</v>
      </c>
      <c r="G127" s="48">
        <v>0.76</v>
      </c>
      <c r="H127" s="50">
        <f t="shared" si="128"/>
        <v>4.7500000000000007E-3</v>
      </c>
      <c r="I127" s="149">
        <f>0.15*I122</f>
        <v>1.8539999999999999</v>
      </c>
      <c r="J127" s="48">
        <v>0</v>
      </c>
      <c r="K127" s="162" t="s">
        <v>191</v>
      </c>
      <c r="L127" s="168">
        <v>3</v>
      </c>
      <c r="M127" s="92" t="str">
        <f t="shared" si="129"/>
        <v>С6</v>
      </c>
      <c r="N127" s="92" t="str">
        <f t="shared" si="130"/>
        <v>Трубопровод "Ловушечный нефтепродукт" рег. № 139</v>
      </c>
      <c r="O127" s="92" t="str">
        <f t="shared" si="131"/>
        <v>Частичное-ликвидация</v>
      </c>
      <c r="P127" s="92" t="s">
        <v>83</v>
      </c>
      <c r="Q127" s="92" t="s">
        <v>83</v>
      </c>
      <c r="R127" s="92" t="s">
        <v>83</v>
      </c>
      <c r="S127" s="92" t="s">
        <v>83</v>
      </c>
      <c r="T127" s="92" t="s">
        <v>83</v>
      </c>
      <c r="U127" s="92" t="s">
        <v>83</v>
      </c>
      <c r="V127" s="92" t="s">
        <v>83</v>
      </c>
      <c r="W127" s="92" t="s">
        <v>83</v>
      </c>
      <c r="X127" s="92" t="s">
        <v>83</v>
      </c>
      <c r="Y127" s="92" t="s">
        <v>83</v>
      </c>
      <c r="Z127" s="92" t="s">
        <v>83</v>
      </c>
      <c r="AA127" s="92" t="s">
        <v>83</v>
      </c>
      <c r="AB127" s="92" t="s">
        <v>83</v>
      </c>
      <c r="AC127" s="92" t="s">
        <v>83</v>
      </c>
      <c r="AD127" s="92" t="s">
        <v>83</v>
      </c>
      <c r="AE127" s="92" t="s">
        <v>83</v>
      </c>
      <c r="AF127" s="92" t="s">
        <v>83</v>
      </c>
      <c r="AG127" s="92" t="s">
        <v>83</v>
      </c>
      <c r="AH127" s="92" t="s">
        <v>83</v>
      </c>
      <c r="AI127" s="92" t="s">
        <v>83</v>
      </c>
      <c r="AJ127" s="92">
        <v>0</v>
      </c>
      <c r="AK127" s="92">
        <v>0</v>
      </c>
      <c r="AL127" s="92">
        <f>0.1*$AL$2</f>
        <v>7.5000000000000002E-4</v>
      </c>
      <c r="AM127" s="92">
        <f>AM122</f>
        <v>2.7E-2</v>
      </c>
      <c r="AN127" s="92">
        <f>ROUNDUP(AN122/3,0)</f>
        <v>1</v>
      </c>
      <c r="AO127" s="92"/>
      <c r="AP127" s="92"/>
      <c r="AQ127" s="93">
        <f>AM127*I127*0.1+AL127</f>
        <v>5.7558000000000002E-3</v>
      </c>
      <c r="AR127" s="93">
        <f t="shared" si="132"/>
        <v>5.7558000000000002E-4</v>
      </c>
      <c r="AS127" s="94">
        <f t="shared" si="133"/>
        <v>0</v>
      </c>
      <c r="AT127" s="94">
        <f t="shared" si="134"/>
        <v>1.582845E-3</v>
      </c>
      <c r="AU127" s="93">
        <f>1333*J126*POWER(10,-6)</f>
        <v>2.4713819999999994E-3</v>
      </c>
      <c r="AV127" s="94">
        <f t="shared" si="135"/>
        <v>1.0385607E-2</v>
      </c>
      <c r="AW127" s="95">
        <f t="shared" si="136"/>
        <v>0</v>
      </c>
      <c r="AX127" s="95">
        <f t="shared" si="137"/>
        <v>0</v>
      </c>
      <c r="AY127" s="95">
        <f t="shared" si="138"/>
        <v>4.933163325000001E-5</v>
      </c>
    </row>
    <row r="128" spans="1:51" x14ac:dyDescent="0.3">
      <c r="A128" s="48"/>
      <c r="B128" s="48"/>
      <c r="C128" s="166"/>
      <c r="D128" s="49"/>
      <c r="E128" s="154"/>
      <c r="F128" s="155"/>
      <c r="G128" s="48"/>
      <c r="H128" s="50"/>
      <c r="I128" s="149"/>
      <c r="J128" s="48"/>
      <c r="K128" s="278"/>
      <c r="L128" s="279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3"/>
      <c r="AR128" s="93"/>
      <c r="AS128" s="94"/>
      <c r="AT128" s="94"/>
      <c r="AU128" s="93"/>
      <c r="AV128" s="94"/>
      <c r="AW128" s="95"/>
      <c r="AX128" s="95"/>
      <c r="AY128" s="95"/>
    </row>
    <row r="129" spans="1:51" s="267" customFormat="1" x14ac:dyDescent="0.3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</row>
    <row r="130" spans="1:51" s="267" customFormat="1" x14ac:dyDescent="0.3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</row>
    <row r="131" spans="1:51" ht="15" thickBot="1" x14ac:dyDescent="0.35"/>
    <row r="132" spans="1:51" s="179" customFormat="1" ht="15" thickBot="1" x14ac:dyDescent="0.35">
      <c r="A132" s="169" t="s">
        <v>18</v>
      </c>
      <c r="B132" s="170" t="s">
        <v>604</v>
      </c>
      <c r="C132" s="171" t="s">
        <v>196</v>
      </c>
      <c r="D132" s="172" t="s">
        <v>59</v>
      </c>
      <c r="E132" s="173">
        <v>1.0000000000000001E-5</v>
      </c>
      <c r="F132" s="170">
        <v>1</v>
      </c>
      <c r="G132" s="169">
        <v>0.1</v>
      </c>
      <c r="H132" s="174">
        <f t="shared" ref="H132:H137" si="139">E132*F132*G132</f>
        <v>1.0000000000000002E-6</v>
      </c>
      <c r="I132" s="175">
        <v>1360</v>
      </c>
      <c r="J132" s="187">
        <f>I132</f>
        <v>1360</v>
      </c>
      <c r="K132" s="177" t="s">
        <v>175</v>
      </c>
      <c r="L132" s="178">
        <v>1008</v>
      </c>
      <c r="M132" s="179" t="str">
        <f t="shared" ref="M132:M137" si="140">A132</f>
        <v>С1</v>
      </c>
      <c r="N132" s="179" t="str">
        <f t="shared" ref="N132:N137" si="141">B132</f>
        <v>Резервуар РВС (8216T0001)</v>
      </c>
      <c r="O132" s="179" t="str">
        <f t="shared" ref="O132:O137" si="142">D132</f>
        <v>Полное-пожар</v>
      </c>
      <c r="P132" s="179" t="s">
        <v>83</v>
      </c>
      <c r="Q132" s="179" t="s">
        <v>83</v>
      </c>
      <c r="R132" s="179" t="s">
        <v>83</v>
      </c>
      <c r="S132" s="179" t="s">
        <v>83</v>
      </c>
      <c r="T132" s="179" t="s">
        <v>83</v>
      </c>
      <c r="U132" s="179" t="s">
        <v>83</v>
      </c>
      <c r="V132" s="179" t="s">
        <v>83</v>
      </c>
      <c r="W132" s="179" t="s">
        <v>83</v>
      </c>
      <c r="X132" s="179" t="s">
        <v>83</v>
      </c>
      <c r="Y132" s="179" t="s">
        <v>83</v>
      </c>
      <c r="Z132" s="179" t="s">
        <v>83</v>
      </c>
      <c r="AA132" s="179" t="s">
        <v>83</v>
      </c>
      <c r="AB132" s="179" t="s">
        <v>83</v>
      </c>
      <c r="AC132" s="179" t="s">
        <v>83</v>
      </c>
      <c r="AD132" s="179" t="s">
        <v>83</v>
      </c>
      <c r="AE132" s="179" t="s">
        <v>83</v>
      </c>
      <c r="AF132" s="179" t="s">
        <v>83</v>
      </c>
      <c r="AG132" s="179" t="s">
        <v>83</v>
      </c>
      <c r="AH132" s="179" t="s">
        <v>83</v>
      </c>
      <c r="AI132" s="179" t="s">
        <v>83</v>
      </c>
      <c r="AJ132" s="180">
        <v>1</v>
      </c>
      <c r="AK132" s="180">
        <v>2</v>
      </c>
      <c r="AL132" s="181">
        <v>0.75</v>
      </c>
      <c r="AM132" s="181">
        <v>2.7E-2</v>
      </c>
      <c r="AN132" s="181">
        <v>3</v>
      </c>
      <c r="AQ132" s="182">
        <f>AM132*I132+AL132</f>
        <v>37.47</v>
      </c>
      <c r="AR132" s="182">
        <f t="shared" ref="AR132:AR137" si="143">0.1*AQ132</f>
        <v>3.7469999999999999</v>
      </c>
      <c r="AS132" s="183">
        <f t="shared" ref="AS132:AS137" si="144">AJ132*3+0.25*AK132</f>
        <v>3.5</v>
      </c>
      <c r="AT132" s="183">
        <f t="shared" ref="AT132:AT137" si="145">SUM(AQ132:AS132)/4</f>
        <v>11.17925</v>
      </c>
      <c r="AU132" s="182">
        <f>10068.2*J132*POWER(10,-6)</f>
        <v>13.692752</v>
      </c>
      <c r="AV132" s="183">
        <f t="shared" ref="AV132:AV137" si="146">AU132+AT132+AS132+AR132+AQ132</f>
        <v>69.589001999999994</v>
      </c>
      <c r="AW132" s="184">
        <f t="shared" ref="AW132:AW137" si="147">AJ132*H132</f>
        <v>1.0000000000000002E-6</v>
      </c>
      <c r="AX132" s="184">
        <f t="shared" ref="AX132:AX137" si="148">H132*AK132</f>
        <v>2.0000000000000003E-6</v>
      </c>
      <c r="AY132" s="184">
        <f t="shared" ref="AY132:AY137" si="149">H132*AV132</f>
        <v>6.9589002000000006E-5</v>
      </c>
    </row>
    <row r="133" spans="1:51" s="179" customFormat="1" ht="15" thickBot="1" x14ac:dyDescent="0.35">
      <c r="A133" s="169" t="s">
        <v>19</v>
      </c>
      <c r="B133" s="169" t="str">
        <f>B132</f>
        <v>Резервуар РВС (8216T0001)</v>
      </c>
      <c r="C133" s="171" t="s">
        <v>205</v>
      </c>
      <c r="D133" s="172" t="s">
        <v>59</v>
      </c>
      <c r="E133" s="185">
        <f>E132</f>
        <v>1.0000000000000001E-5</v>
      </c>
      <c r="F133" s="186">
        <f>F132</f>
        <v>1</v>
      </c>
      <c r="G133" s="169">
        <v>0.18000000000000002</v>
      </c>
      <c r="H133" s="174">
        <f t="shared" si="139"/>
        <v>1.8000000000000003E-6</v>
      </c>
      <c r="I133" s="187">
        <f>I132</f>
        <v>1360</v>
      </c>
      <c r="J133" s="187">
        <f>I132</f>
        <v>1360</v>
      </c>
      <c r="K133" s="177" t="s">
        <v>176</v>
      </c>
      <c r="L133" s="178">
        <v>0</v>
      </c>
      <c r="M133" s="179" t="str">
        <f t="shared" si="140"/>
        <v>С2</v>
      </c>
      <c r="N133" s="179" t="str">
        <f t="shared" si="141"/>
        <v>Резервуар РВС (8216T0001)</v>
      </c>
      <c r="O133" s="179" t="str">
        <f t="shared" si="142"/>
        <v>Полное-пожар</v>
      </c>
      <c r="P133" s="179" t="s">
        <v>83</v>
      </c>
      <c r="Q133" s="179" t="s">
        <v>83</v>
      </c>
      <c r="R133" s="179" t="s">
        <v>83</v>
      </c>
      <c r="S133" s="179" t="s">
        <v>83</v>
      </c>
      <c r="T133" s="179" t="s">
        <v>83</v>
      </c>
      <c r="U133" s="179" t="s">
        <v>83</v>
      </c>
      <c r="V133" s="179" t="s">
        <v>83</v>
      </c>
      <c r="W133" s="179" t="s">
        <v>83</v>
      </c>
      <c r="X133" s="179" t="s">
        <v>83</v>
      </c>
      <c r="Y133" s="179" t="s">
        <v>83</v>
      </c>
      <c r="Z133" s="179" t="s">
        <v>83</v>
      </c>
      <c r="AA133" s="179" t="s">
        <v>83</v>
      </c>
      <c r="AB133" s="179" t="s">
        <v>83</v>
      </c>
      <c r="AC133" s="179" t="s">
        <v>83</v>
      </c>
      <c r="AD133" s="179" t="s">
        <v>83</v>
      </c>
      <c r="AE133" s="179" t="s">
        <v>83</v>
      </c>
      <c r="AF133" s="179" t="s">
        <v>83</v>
      </c>
      <c r="AG133" s="179" t="s">
        <v>83</v>
      </c>
      <c r="AH133" s="179" t="s">
        <v>83</v>
      </c>
      <c r="AI133" s="179" t="s">
        <v>83</v>
      </c>
      <c r="AJ133" s="180">
        <v>2</v>
      </c>
      <c r="AK133" s="180">
        <v>2</v>
      </c>
      <c r="AL133" s="179">
        <f>AL132</f>
        <v>0.75</v>
      </c>
      <c r="AM133" s="179">
        <f>AM132</f>
        <v>2.7E-2</v>
      </c>
      <c r="AN133" s="179">
        <f>AN132</f>
        <v>3</v>
      </c>
      <c r="AQ133" s="182">
        <f>AM133*I133+AL133</f>
        <v>37.47</v>
      </c>
      <c r="AR133" s="182">
        <f t="shared" si="143"/>
        <v>3.7469999999999999</v>
      </c>
      <c r="AS133" s="183">
        <f t="shared" si="144"/>
        <v>6.5</v>
      </c>
      <c r="AT133" s="183">
        <f t="shared" si="145"/>
        <v>11.92925</v>
      </c>
      <c r="AU133" s="182">
        <f>10068.2*J133*POWER(10,-6)*10</f>
        <v>136.92752000000002</v>
      </c>
      <c r="AV133" s="183">
        <f t="shared" si="146"/>
        <v>196.57377</v>
      </c>
      <c r="AW133" s="184">
        <f t="shared" si="147"/>
        <v>3.6000000000000007E-6</v>
      </c>
      <c r="AX133" s="184">
        <f t="shared" si="148"/>
        <v>3.6000000000000007E-6</v>
      </c>
      <c r="AY133" s="184">
        <f t="shared" si="149"/>
        <v>3.5383278600000005E-4</v>
      </c>
    </row>
    <row r="134" spans="1:51" s="179" customFormat="1" x14ac:dyDescent="0.3">
      <c r="A134" s="169" t="s">
        <v>20</v>
      </c>
      <c r="B134" s="169" t="str">
        <f>B132</f>
        <v>Резервуар РВС (8216T0001)</v>
      </c>
      <c r="C134" s="171" t="s">
        <v>198</v>
      </c>
      <c r="D134" s="172" t="s">
        <v>60</v>
      </c>
      <c r="E134" s="185">
        <f>E132</f>
        <v>1.0000000000000001E-5</v>
      </c>
      <c r="F134" s="186">
        <f>F132</f>
        <v>1</v>
      </c>
      <c r="G134" s="169">
        <v>0.72000000000000008</v>
      </c>
      <c r="H134" s="174">
        <f t="shared" si="139"/>
        <v>7.2000000000000014E-6</v>
      </c>
      <c r="I134" s="187">
        <f>I132</f>
        <v>1360</v>
      </c>
      <c r="J134" s="169">
        <v>0</v>
      </c>
      <c r="K134" s="177" t="s">
        <v>177</v>
      </c>
      <c r="L134" s="178">
        <v>0</v>
      </c>
      <c r="M134" s="179" t="str">
        <f t="shared" si="140"/>
        <v>С3</v>
      </c>
      <c r="N134" s="179" t="str">
        <f t="shared" si="141"/>
        <v>Резервуар РВС (8216T0001)</v>
      </c>
      <c r="O134" s="179" t="str">
        <f t="shared" si="142"/>
        <v>Полное-ликвидация</v>
      </c>
      <c r="P134" s="179" t="s">
        <v>83</v>
      </c>
      <c r="Q134" s="179" t="s">
        <v>83</v>
      </c>
      <c r="R134" s="179" t="s">
        <v>83</v>
      </c>
      <c r="S134" s="179" t="s">
        <v>83</v>
      </c>
      <c r="T134" s="179" t="s">
        <v>83</v>
      </c>
      <c r="U134" s="179" t="s">
        <v>83</v>
      </c>
      <c r="V134" s="179" t="s">
        <v>83</v>
      </c>
      <c r="W134" s="179" t="s">
        <v>83</v>
      </c>
      <c r="X134" s="179" t="s">
        <v>83</v>
      </c>
      <c r="Y134" s="179" t="s">
        <v>83</v>
      </c>
      <c r="Z134" s="179" t="s">
        <v>83</v>
      </c>
      <c r="AA134" s="179" t="s">
        <v>83</v>
      </c>
      <c r="AB134" s="179" t="s">
        <v>83</v>
      </c>
      <c r="AC134" s="179" t="s">
        <v>83</v>
      </c>
      <c r="AD134" s="179" t="s">
        <v>83</v>
      </c>
      <c r="AE134" s="179" t="s">
        <v>83</v>
      </c>
      <c r="AF134" s="179" t="s">
        <v>83</v>
      </c>
      <c r="AG134" s="179" t="s">
        <v>83</v>
      </c>
      <c r="AH134" s="179" t="s">
        <v>83</v>
      </c>
      <c r="AI134" s="179" t="s">
        <v>83</v>
      </c>
      <c r="AJ134" s="179">
        <v>0</v>
      </c>
      <c r="AK134" s="179">
        <v>0</v>
      </c>
      <c r="AL134" s="179">
        <f>AL132</f>
        <v>0.75</v>
      </c>
      <c r="AM134" s="179">
        <f>AM132</f>
        <v>2.7E-2</v>
      </c>
      <c r="AN134" s="179">
        <f>AN132</f>
        <v>3</v>
      </c>
      <c r="AQ134" s="182">
        <f>AM134*I134*0.1+AL134</f>
        <v>4.4220000000000006</v>
      </c>
      <c r="AR134" s="182">
        <f t="shared" si="143"/>
        <v>0.44220000000000009</v>
      </c>
      <c r="AS134" s="183">
        <f t="shared" si="144"/>
        <v>0</v>
      </c>
      <c r="AT134" s="183">
        <f t="shared" si="145"/>
        <v>1.2160500000000001</v>
      </c>
      <c r="AU134" s="182">
        <f>1333*J133*POWER(10,-6)</f>
        <v>1.8128799999999998</v>
      </c>
      <c r="AV134" s="183">
        <f t="shared" si="146"/>
        <v>7.8931300000000011</v>
      </c>
      <c r="AW134" s="184">
        <f t="shared" si="147"/>
        <v>0</v>
      </c>
      <c r="AX134" s="184">
        <f t="shared" si="148"/>
        <v>0</v>
      </c>
      <c r="AY134" s="184">
        <f t="shared" si="149"/>
        <v>5.6830536000000016E-5</v>
      </c>
    </row>
    <row r="135" spans="1:51" s="179" customFormat="1" x14ac:dyDescent="0.3">
      <c r="A135" s="169" t="s">
        <v>21</v>
      </c>
      <c r="B135" s="169" t="str">
        <f>B132</f>
        <v>Резервуар РВС (8216T0001)</v>
      </c>
      <c r="C135" s="171" t="s">
        <v>199</v>
      </c>
      <c r="D135" s="172" t="s">
        <v>84</v>
      </c>
      <c r="E135" s="173">
        <v>1E-4</v>
      </c>
      <c r="F135" s="186">
        <f>F132</f>
        <v>1</v>
      </c>
      <c r="G135" s="169">
        <v>0.1</v>
      </c>
      <c r="H135" s="174">
        <f t="shared" si="139"/>
        <v>1.0000000000000001E-5</v>
      </c>
      <c r="I135" s="187">
        <f>0.15*I132</f>
        <v>204</v>
      </c>
      <c r="J135" s="187">
        <f>I135</f>
        <v>204</v>
      </c>
      <c r="K135" s="190" t="s">
        <v>179</v>
      </c>
      <c r="L135" s="191">
        <v>45390</v>
      </c>
      <c r="M135" s="179" t="str">
        <f t="shared" si="140"/>
        <v>С4</v>
      </c>
      <c r="N135" s="179" t="str">
        <f t="shared" si="141"/>
        <v>Резервуар РВС (8216T0001)</v>
      </c>
      <c r="O135" s="179" t="str">
        <f t="shared" si="142"/>
        <v>Частичное-пожар</v>
      </c>
      <c r="P135" s="179" t="s">
        <v>83</v>
      </c>
      <c r="Q135" s="179" t="s">
        <v>83</v>
      </c>
      <c r="R135" s="179" t="s">
        <v>83</v>
      </c>
      <c r="S135" s="179" t="s">
        <v>83</v>
      </c>
      <c r="T135" s="179" t="s">
        <v>83</v>
      </c>
      <c r="U135" s="179" t="s">
        <v>83</v>
      </c>
      <c r="V135" s="179" t="s">
        <v>83</v>
      </c>
      <c r="W135" s="179" t="s">
        <v>83</v>
      </c>
      <c r="X135" s="179" t="s">
        <v>83</v>
      </c>
      <c r="Y135" s="179" t="s">
        <v>83</v>
      </c>
      <c r="Z135" s="179" t="s">
        <v>83</v>
      </c>
      <c r="AA135" s="179" t="s">
        <v>83</v>
      </c>
      <c r="AB135" s="179" t="s">
        <v>83</v>
      </c>
      <c r="AC135" s="179" t="s">
        <v>83</v>
      </c>
      <c r="AD135" s="179" t="s">
        <v>83</v>
      </c>
      <c r="AE135" s="179" t="s">
        <v>83</v>
      </c>
      <c r="AF135" s="179" t="s">
        <v>83</v>
      </c>
      <c r="AG135" s="179" t="s">
        <v>83</v>
      </c>
      <c r="AH135" s="179" t="s">
        <v>83</v>
      </c>
      <c r="AI135" s="179" t="s">
        <v>83</v>
      </c>
      <c r="AJ135" s="179">
        <v>0</v>
      </c>
      <c r="AK135" s="179">
        <v>2</v>
      </c>
      <c r="AL135" s="179">
        <f>0.1*$AL$2</f>
        <v>7.5000000000000002E-4</v>
      </c>
      <c r="AM135" s="179">
        <f>AM132</f>
        <v>2.7E-2</v>
      </c>
      <c r="AN135" s="179">
        <f>ROUNDUP(AN132/3,0)</f>
        <v>1</v>
      </c>
      <c r="AQ135" s="182">
        <f>AM135*I135+AL135</f>
        <v>5.50875</v>
      </c>
      <c r="AR135" s="182">
        <f t="shared" si="143"/>
        <v>0.550875</v>
      </c>
      <c r="AS135" s="183">
        <f t="shared" si="144"/>
        <v>0.5</v>
      </c>
      <c r="AT135" s="183">
        <f t="shared" si="145"/>
        <v>1.6399062500000001</v>
      </c>
      <c r="AU135" s="182">
        <f>10068.2*J135*POWER(10,-6)</f>
        <v>2.0539128</v>
      </c>
      <c r="AV135" s="183">
        <f t="shared" si="146"/>
        <v>10.253444049999999</v>
      </c>
      <c r="AW135" s="184">
        <f t="shared" si="147"/>
        <v>0</v>
      </c>
      <c r="AX135" s="184">
        <f t="shared" si="148"/>
        <v>2.0000000000000002E-5</v>
      </c>
      <c r="AY135" s="184">
        <f t="shared" si="149"/>
        <v>1.0253444049999999E-4</v>
      </c>
    </row>
    <row r="136" spans="1:51" s="179" customFormat="1" x14ac:dyDescent="0.3">
      <c r="A136" s="169" t="s">
        <v>22</v>
      </c>
      <c r="B136" s="169" t="str">
        <f>B132</f>
        <v>Резервуар РВС (8216T0001)</v>
      </c>
      <c r="C136" s="171" t="s">
        <v>206</v>
      </c>
      <c r="D136" s="172" t="s">
        <v>84</v>
      </c>
      <c r="E136" s="185">
        <f>E135</f>
        <v>1E-4</v>
      </c>
      <c r="F136" s="186">
        <f>F132</f>
        <v>1</v>
      </c>
      <c r="G136" s="169">
        <v>4.5000000000000005E-2</v>
      </c>
      <c r="H136" s="174">
        <f t="shared" si="139"/>
        <v>4.500000000000001E-6</v>
      </c>
      <c r="I136" s="187">
        <f>0.15*I132</f>
        <v>204</v>
      </c>
      <c r="J136" s="187">
        <f>I135</f>
        <v>204</v>
      </c>
      <c r="K136" s="190" t="s">
        <v>180</v>
      </c>
      <c r="L136" s="191">
        <v>3</v>
      </c>
      <c r="M136" s="179" t="str">
        <f t="shared" si="140"/>
        <v>С5</v>
      </c>
      <c r="N136" s="179" t="str">
        <f t="shared" si="141"/>
        <v>Резервуар РВС (8216T0001)</v>
      </c>
      <c r="O136" s="179" t="str">
        <f t="shared" si="142"/>
        <v>Частичное-пожар</v>
      </c>
      <c r="P136" s="179" t="s">
        <v>83</v>
      </c>
      <c r="Q136" s="179" t="s">
        <v>83</v>
      </c>
      <c r="R136" s="179" t="s">
        <v>83</v>
      </c>
      <c r="S136" s="179" t="s">
        <v>83</v>
      </c>
      <c r="T136" s="179" t="s">
        <v>83</v>
      </c>
      <c r="U136" s="179" t="s">
        <v>83</v>
      </c>
      <c r="V136" s="179" t="s">
        <v>83</v>
      </c>
      <c r="W136" s="179" t="s">
        <v>83</v>
      </c>
      <c r="X136" s="179" t="s">
        <v>83</v>
      </c>
      <c r="Y136" s="179" t="s">
        <v>83</v>
      </c>
      <c r="Z136" s="179" t="s">
        <v>83</v>
      </c>
      <c r="AA136" s="179" t="s">
        <v>83</v>
      </c>
      <c r="AB136" s="179" t="s">
        <v>83</v>
      </c>
      <c r="AC136" s="179" t="s">
        <v>83</v>
      </c>
      <c r="AD136" s="179" t="s">
        <v>83</v>
      </c>
      <c r="AE136" s="179" t="s">
        <v>83</v>
      </c>
      <c r="AF136" s="179" t="s">
        <v>83</v>
      </c>
      <c r="AG136" s="179" t="s">
        <v>83</v>
      </c>
      <c r="AH136" s="179" t="s">
        <v>83</v>
      </c>
      <c r="AI136" s="179" t="s">
        <v>83</v>
      </c>
      <c r="AJ136" s="179">
        <v>0</v>
      </c>
      <c r="AK136" s="179">
        <v>1</v>
      </c>
      <c r="AL136" s="179">
        <f>0.1*$AL$2</f>
        <v>7.5000000000000002E-4</v>
      </c>
      <c r="AM136" s="179">
        <f>AM132</f>
        <v>2.7E-2</v>
      </c>
      <c r="AN136" s="179">
        <f>ROUNDUP(AN132/3,0)</f>
        <v>1</v>
      </c>
      <c r="AQ136" s="182">
        <f>AM136*I136+AL136</f>
        <v>5.50875</v>
      </c>
      <c r="AR136" s="182">
        <f t="shared" si="143"/>
        <v>0.550875</v>
      </c>
      <c r="AS136" s="183">
        <f t="shared" si="144"/>
        <v>0.25</v>
      </c>
      <c r="AT136" s="183">
        <f t="shared" si="145"/>
        <v>1.5774062500000001</v>
      </c>
      <c r="AU136" s="182">
        <f>10068.2*J136*POWER(10,-6)*10</f>
        <v>20.539127999999998</v>
      </c>
      <c r="AV136" s="183">
        <f t="shared" si="146"/>
        <v>28.426159249999998</v>
      </c>
      <c r="AW136" s="184">
        <f t="shared" si="147"/>
        <v>0</v>
      </c>
      <c r="AX136" s="184">
        <f t="shared" si="148"/>
        <v>4.500000000000001E-6</v>
      </c>
      <c r="AY136" s="184">
        <f t="shared" si="149"/>
        <v>1.2791771662500003E-4</v>
      </c>
    </row>
    <row r="137" spans="1:51" s="179" customFormat="1" ht="15" thickBot="1" x14ac:dyDescent="0.35">
      <c r="A137" s="169" t="s">
        <v>23</v>
      </c>
      <c r="B137" s="169" t="str">
        <f>B132</f>
        <v>Резервуар РВС (8216T0001)</v>
      </c>
      <c r="C137" s="171" t="s">
        <v>201</v>
      </c>
      <c r="D137" s="172" t="s">
        <v>61</v>
      </c>
      <c r="E137" s="185">
        <f>E135</f>
        <v>1E-4</v>
      </c>
      <c r="F137" s="186">
        <f>F132</f>
        <v>1</v>
      </c>
      <c r="G137" s="169">
        <v>0.85499999999999998</v>
      </c>
      <c r="H137" s="174">
        <f t="shared" si="139"/>
        <v>8.5500000000000005E-5</v>
      </c>
      <c r="I137" s="187">
        <f>0.15*I132</f>
        <v>204</v>
      </c>
      <c r="J137" s="169">
        <v>0</v>
      </c>
      <c r="K137" s="192" t="s">
        <v>191</v>
      </c>
      <c r="L137" s="192">
        <v>11</v>
      </c>
      <c r="M137" s="179" t="str">
        <f t="shared" si="140"/>
        <v>С6</v>
      </c>
      <c r="N137" s="179" t="str">
        <f t="shared" si="141"/>
        <v>Резервуар РВС (8216T0001)</v>
      </c>
      <c r="O137" s="179" t="str">
        <f t="shared" si="142"/>
        <v>Частичное-ликвидация</v>
      </c>
      <c r="P137" s="179" t="s">
        <v>83</v>
      </c>
      <c r="Q137" s="179" t="s">
        <v>83</v>
      </c>
      <c r="R137" s="179" t="s">
        <v>83</v>
      </c>
      <c r="S137" s="179" t="s">
        <v>83</v>
      </c>
      <c r="T137" s="179" t="s">
        <v>83</v>
      </c>
      <c r="U137" s="179" t="s">
        <v>83</v>
      </c>
      <c r="V137" s="179" t="s">
        <v>83</v>
      </c>
      <c r="W137" s="179" t="s">
        <v>83</v>
      </c>
      <c r="X137" s="179" t="s">
        <v>83</v>
      </c>
      <c r="Y137" s="179" t="s">
        <v>83</v>
      </c>
      <c r="Z137" s="179" t="s">
        <v>83</v>
      </c>
      <c r="AA137" s="179" t="s">
        <v>83</v>
      </c>
      <c r="AB137" s="179" t="s">
        <v>83</v>
      </c>
      <c r="AC137" s="179" t="s">
        <v>83</v>
      </c>
      <c r="AD137" s="179" t="s">
        <v>83</v>
      </c>
      <c r="AE137" s="179" t="s">
        <v>83</v>
      </c>
      <c r="AF137" s="179" t="s">
        <v>83</v>
      </c>
      <c r="AG137" s="179" t="s">
        <v>83</v>
      </c>
      <c r="AH137" s="179" t="s">
        <v>83</v>
      </c>
      <c r="AI137" s="179" t="s">
        <v>83</v>
      </c>
      <c r="AJ137" s="179">
        <v>0</v>
      </c>
      <c r="AK137" s="179">
        <v>0</v>
      </c>
      <c r="AL137" s="179">
        <f>0.1*$AL$2</f>
        <v>7.5000000000000002E-4</v>
      </c>
      <c r="AM137" s="179">
        <f>AM132</f>
        <v>2.7E-2</v>
      </c>
      <c r="AN137" s="179">
        <f>ROUNDUP(AN132/3,0)</f>
        <v>1</v>
      </c>
      <c r="AQ137" s="182">
        <f>AM137*I137*0.1+AL137</f>
        <v>0.5515500000000001</v>
      </c>
      <c r="AR137" s="182">
        <f t="shared" si="143"/>
        <v>5.515500000000001E-2</v>
      </c>
      <c r="AS137" s="183">
        <f t="shared" si="144"/>
        <v>0</v>
      </c>
      <c r="AT137" s="183">
        <f t="shared" si="145"/>
        <v>0.15167625000000001</v>
      </c>
      <c r="AU137" s="182">
        <f>1333*J136*POWER(10,-6)</f>
        <v>0.27193200000000001</v>
      </c>
      <c r="AV137" s="183">
        <f t="shared" si="146"/>
        <v>1.0303132500000001</v>
      </c>
      <c r="AW137" s="184">
        <f t="shared" si="147"/>
        <v>0</v>
      </c>
      <c r="AX137" s="184">
        <f t="shared" si="148"/>
        <v>0</v>
      </c>
      <c r="AY137" s="184">
        <f t="shared" si="149"/>
        <v>8.809178287500001E-5</v>
      </c>
    </row>
    <row r="138" spans="1:51" s="179" customFormat="1" x14ac:dyDescent="0.3">
      <c r="A138" s="180"/>
      <c r="B138" s="180"/>
      <c r="D138" s="271"/>
      <c r="E138" s="272"/>
      <c r="F138" s="273"/>
      <c r="G138" s="180"/>
      <c r="H138" s="184"/>
      <c r="I138" s="183"/>
      <c r="J138" s="180"/>
      <c r="K138" s="180"/>
      <c r="L138" s="180"/>
      <c r="AQ138" s="182"/>
      <c r="AR138" s="182"/>
      <c r="AS138" s="183"/>
      <c r="AT138" s="183"/>
      <c r="AU138" s="182"/>
      <c r="AV138" s="183"/>
      <c r="AW138" s="184"/>
      <c r="AX138" s="184"/>
      <c r="AY138" s="184"/>
    </row>
    <row r="139" spans="1:51" s="179" customFormat="1" x14ac:dyDescent="0.3">
      <c r="A139" s="180"/>
      <c r="B139" s="180"/>
      <c r="D139" s="271"/>
      <c r="E139" s="272"/>
      <c r="F139" s="273"/>
      <c r="G139" s="180"/>
      <c r="H139" s="184"/>
      <c r="I139" s="183"/>
      <c r="J139" s="180"/>
      <c r="K139" s="180"/>
      <c r="L139" s="180"/>
      <c r="AQ139" s="182"/>
      <c r="AR139" s="182"/>
      <c r="AS139" s="183"/>
      <c r="AT139" s="183"/>
      <c r="AU139" s="182"/>
      <c r="AV139" s="183"/>
      <c r="AW139" s="184"/>
      <c r="AX139" s="184"/>
      <c r="AY139" s="184"/>
    </row>
    <row r="140" spans="1:51" s="179" customFormat="1" x14ac:dyDescent="0.3">
      <c r="A140" s="180"/>
      <c r="B140" s="180"/>
      <c r="D140" s="271"/>
      <c r="E140" s="272"/>
      <c r="F140" s="273"/>
      <c r="G140" s="180"/>
      <c r="H140" s="184"/>
      <c r="I140" s="183"/>
      <c r="J140" s="180"/>
      <c r="K140" s="180"/>
      <c r="L140" s="180"/>
      <c r="AQ140" s="182"/>
      <c r="AR140" s="182"/>
      <c r="AS140" s="183"/>
      <c r="AT140" s="183"/>
      <c r="AU140" s="182"/>
      <c r="AV140" s="183"/>
      <c r="AW140" s="184"/>
      <c r="AX140" s="184"/>
      <c r="AY140" s="184"/>
    </row>
    <row r="141" spans="1:51" ht="15" thickBot="1" x14ac:dyDescent="0.35"/>
    <row r="142" spans="1:51" ht="15" thickBot="1" x14ac:dyDescent="0.35">
      <c r="A142" s="48" t="s">
        <v>18</v>
      </c>
      <c r="B142" s="150" t="s">
        <v>605</v>
      </c>
      <c r="C142" s="166" t="s">
        <v>159</v>
      </c>
      <c r="D142" s="49" t="s">
        <v>59</v>
      </c>
      <c r="E142" s="153">
        <v>9.9999999999999995E-8</v>
      </c>
      <c r="F142" s="150">
        <v>180</v>
      </c>
      <c r="G142" s="48">
        <v>0.2</v>
      </c>
      <c r="H142" s="50">
        <f t="shared" ref="H142:H147" si="150">E142*F142*G142</f>
        <v>3.6000000000000003E-6</v>
      </c>
      <c r="I142" s="151">
        <v>6.39</v>
      </c>
      <c r="J142" s="149">
        <f>I142</f>
        <v>6.39</v>
      </c>
      <c r="K142" s="159" t="s">
        <v>175</v>
      </c>
      <c r="L142" s="164">
        <f>J142*20</f>
        <v>127.8</v>
      </c>
      <c r="M142" s="92" t="str">
        <f t="shared" ref="M142:M147" si="151">A142</f>
        <v>С1</v>
      </c>
      <c r="N142" s="92" t="str">
        <f t="shared" ref="N142:N147" si="152">B142</f>
        <v>Трубопровод рег.№1581</v>
      </c>
      <c r="O142" s="92" t="str">
        <f t="shared" ref="O142:O147" si="153">D142</f>
        <v>Полное-пожар</v>
      </c>
      <c r="P142" s="92">
        <v>17.100000000000001</v>
      </c>
      <c r="Q142" s="92">
        <v>23.5</v>
      </c>
      <c r="R142" s="92">
        <v>33.1</v>
      </c>
      <c r="S142" s="92">
        <v>61.2</v>
      </c>
      <c r="T142" s="92" t="s">
        <v>83</v>
      </c>
      <c r="U142" s="92" t="s">
        <v>83</v>
      </c>
      <c r="V142" s="92" t="s">
        <v>83</v>
      </c>
      <c r="W142" s="92" t="s">
        <v>83</v>
      </c>
      <c r="X142" s="92" t="s">
        <v>83</v>
      </c>
      <c r="Y142" s="92" t="s">
        <v>83</v>
      </c>
      <c r="Z142" s="92" t="s">
        <v>83</v>
      </c>
      <c r="AA142" s="92" t="s">
        <v>83</v>
      </c>
      <c r="AB142" s="92" t="s">
        <v>83</v>
      </c>
      <c r="AC142" s="92" t="s">
        <v>83</v>
      </c>
      <c r="AD142" s="92" t="s">
        <v>83</v>
      </c>
      <c r="AE142" s="92" t="s">
        <v>83</v>
      </c>
      <c r="AF142" s="92" t="s">
        <v>83</v>
      </c>
      <c r="AG142" s="92" t="s">
        <v>83</v>
      </c>
      <c r="AH142" s="92" t="s">
        <v>83</v>
      </c>
      <c r="AI142" s="92" t="s">
        <v>83</v>
      </c>
      <c r="AJ142" s="52">
        <v>1</v>
      </c>
      <c r="AK142" s="52">
        <v>2</v>
      </c>
      <c r="AL142" s="152">
        <v>0.75</v>
      </c>
      <c r="AM142" s="152">
        <v>2.7E-2</v>
      </c>
      <c r="AN142" s="152">
        <v>3</v>
      </c>
      <c r="AO142" s="92"/>
      <c r="AP142" s="92"/>
      <c r="AQ142" s="93">
        <f>AM142*I142+AL142</f>
        <v>0.92252999999999996</v>
      </c>
      <c r="AR142" s="93">
        <f t="shared" ref="AR142:AR147" si="154">0.1*AQ142</f>
        <v>9.2253000000000002E-2</v>
      </c>
      <c r="AS142" s="94">
        <f t="shared" ref="AS142:AS147" si="155">AJ142*3+0.25*AK142</f>
        <v>3.5</v>
      </c>
      <c r="AT142" s="94">
        <f t="shared" ref="AT142:AT147" si="156">SUM(AQ142:AS142)/4</f>
        <v>1.1286957499999999</v>
      </c>
      <c r="AU142" s="93">
        <f>10068.2*J142*POWER(10,-6)</f>
        <v>6.4335798E-2</v>
      </c>
      <c r="AV142" s="94">
        <f t="shared" ref="AV142:AV147" si="157">AU142+AT142+AS142+AR142+AQ142</f>
        <v>5.7078145480000009</v>
      </c>
      <c r="AW142" s="95">
        <f t="shared" ref="AW142:AW147" si="158">AJ142*H142</f>
        <v>3.6000000000000003E-6</v>
      </c>
      <c r="AX142" s="95">
        <f t="shared" ref="AX142:AX147" si="159">H142*AK142</f>
        <v>7.2000000000000005E-6</v>
      </c>
      <c r="AY142" s="95">
        <f t="shared" ref="AY142:AY147" si="160">H142*AV142</f>
        <v>2.0548132372800005E-5</v>
      </c>
    </row>
    <row r="143" spans="1:51" ht="15" thickBot="1" x14ac:dyDescent="0.35">
      <c r="A143" s="48" t="s">
        <v>19</v>
      </c>
      <c r="B143" s="48" t="str">
        <f>B142</f>
        <v>Трубопровод рег.№1581</v>
      </c>
      <c r="C143" s="166" t="s">
        <v>174</v>
      </c>
      <c r="D143" s="49" t="s">
        <v>59</v>
      </c>
      <c r="E143" s="154">
        <f>E142</f>
        <v>9.9999999999999995E-8</v>
      </c>
      <c r="F143" s="155">
        <f>F142</f>
        <v>180</v>
      </c>
      <c r="G143" s="48">
        <v>0.04</v>
      </c>
      <c r="H143" s="50">
        <f t="shared" si="150"/>
        <v>7.1999999999999999E-7</v>
      </c>
      <c r="I143" s="149">
        <f>I142</f>
        <v>6.39</v>
      </c>
      <c r="J143" s="149">
        <f>I142</f>
        <v>6.39</v>
      </c>
      <c r="K143" s="159" t="s">
        <v>176</v>
      </c>
      <c r="L143" s="164">
        <v>0</v>
      </c>
      <c r="M143" s="92" t="str">
        <f t="shared" si="151"/>
        <v>С2</v>
      </c>
      <c r="N143" s="92" t="str">
        <f t="shared" si="152"/>
        <v>Трубопровод рег.№1581</v>
      </c>
      <c r="O143" s="92" t="str">
        <f t="shared" si="153"/>
        <v>Полное-пожар</v>
      </c>
      <c r="P143" s="92">
        <v>17.100000000000001</v>
      </c>
      <c r="Q143" s="92">
        <v>23.5</v>
      </c>
      <c r="R143" s="92">
        <v>33.1</v>
      </c>
      <c r="S143" s="92">
        <v>61.2</v>
      </c>
      <c r="T143" s="92" t="s">
        <v>83</v>
      </c>
      <c r="U143" s="92" t="s">
        <v>83</v>
      </c>
      <c r="V143" s="92" t="s">
        <v>83</v>
      </c>
      <c r="W143" s="92" t="s">
        <v>83</v>
      </c>
      <c r="X143" s="92" t="s">
        <v>83</v>
      </c>
      <c r="Y143" s="92" t="s">
        <v>83</v>
      </c>
      <c r="Z143" s="92" t="s">
        <v>83</v>
      </c>
      <c r="AA143" s="92" t="s">
        <v>83</v>
      </c>
      <c r="AB143" s="92" t="s">
        <v>83</v>
      </c>
      <c r="AC143" s="92" t="s">
        <v>83</v>
      </c>
      <c r="AD143" s="92" t="s">
        <v>83</v>
      </c>
      <c r="AE143" s="92" t="s">
        <v>83</v>
      </c>
      <c r="AF143" s="92" t="s">
        <v>83</v>
      </c>
      <c r="AG143" s="92" t="s">
        <v>83</v>
      </c>
      <c r="AH143" s="92" t="s">
        <v>83</v>
      </c>
      <c r="AI143" s="92" t="s">
        <v>83</v>
      </c>
      <c r="AJ143" s="52">
        <v>2</v>
      </c>
      <c r="AK143" s="52">
        <v>2</v>
      </c>
      <c r="AL143" s="92">
        <f>AL142</f>
        <v>0.75</v>
      </c>
      <c r="AM143" s="92">
        <f>AM142</f>
        <v>2.7E-2</v>
      </c>
      <c r="AN143" s="92">
        <f>AN142</f>
        <v>3</v>
      </c>
      <c r="AO143" s="92"/>
      <c r="AP143" s="92"/>
      <c r="AQ143" s="93">
        <f>AM143*I143+AL143</f>
        <v>0.92252999999999996</v>
      </c>
      <c r="AR143" s="93">
        <f t="shared" si="154"/>
        <v>9.2253000000000002E-2</v>
      </c>
      <c r="AS143" s="94">
        <f t="shared" si="155"/>
        <v>6.5</v>
      </c>
      <c r="AT143" s="94">
        <f t="shared" si="156"/>
        <v>1.8786957499999999</v>
      </c>
      <c r="AU143" s="93">
        <f>10068.2*J143*POWER(10,-6)*10</f>
        <v>0.64335798</v>
      </c>
      <c r="AV143" s="94">
        <f t="shared" si="157"/>
        <v>10.036836729999999</v>
      </c>
      <c r="AW143" s="95">
        <f t="shared" si="158"/>
        <v>1.44E-6</v>
      </c>
      <c r="AX143" s="95">
        <f t="shared" si="159"/>
        <v>1.44E-6</v>
      </c>
      <c r="AY143" s="95">
        <f t="shared" si="160"/>
        <v>7.2265224455999994E-6</v>
      </c>
    </row>
    <row r="144" spans="1:51" x14ac:dyDescent="0.3">
      <c r="A144" s="48" t="s">
        <v>20</v>
      </c>
      <c r="B144" s="48" t="str">
        <f>B142</f>
        <v>Трубопровод рег.№1581</v>
      </c>
      <c r="C144" s="166" t="s">
        <v>161</v>
      </c>
      <c r="D144" s="49" t="s">
        <v>60</v>
      </c>
      <c r="E144" s="154">
        <f>E142</f>
        <v>9.9999999999999995E-8</v>
      </c>
      <c r="F144" s="155">
        <f>F142</f>
        <v>180</v>
      </c>
      <c r="G144" s="48">
        <v>0.76</v>
      </c>
      <c r="H144" s="50">
        <f t="shared" si="150"/>
        <v>1.3680000000000001E-5</v>
      </c>
      <c r="I144" s="149">
        <f>I142</f>
        <v>6.39</v>
      </c>
      <c r="J144" s="48">
        <v>0</v>
      </c>
      <c r="K144" s="159" t="s">
        <v>177</v>
      </c>
      <c r="L144" s="164">
        <v>0</v>
      </c>
      <c r="M144" s="92" t="str">
        <f t="shared" si="151"/>
        <v>С3</v>
      </c>
      <c r="N144" s="92" t="str">
        <f t="shared" si="152"/>
        <v>Трубопровод рег.№1581</v>
      </c>
      <c r="O144" s="92" t="str">
        <f t="shared" si="153"/>
        <v>Полное-ликвидация</v>
      </c>
      <c r="P144" s="92" t="s">
        <v>83</v>
      </c>
      <c r="Q144" s="92" t="s">
        <v>83</v>
      </c>
      <c r="R144" s="92" t="s">
        <v>83</v>
      </c>
      <c r="S144" s="92" t="s">
        <v>83</v>
      </c>
      <c r="T144" s="92" t="s">
        <v>83</v>
      </c>
      <c r="U144" s="92" t="s">
        <v>83</v>
      </c>
      <c r="V144" s="92" t="s">
        <v>83</v>
      </c>
      <c r="W144" s="92" t="s">
        <v>83</v>
      </c>
      <c r="X144" s="92" t="s">
        <v>83</v>
      </c>
      <c r="Y144" s="92" t="s">
        <v>83</v>
      </c>
      <c r="Z144" s="92" t="s">
        <v>83</v>
      </c>
      <c r="AA144" s="92" t="s">
        <v>83</v>
      </c>
      <c r="AB144" s="92" t="s">
        <v>83</v>
      </c>
      <c r="AC144" s="92" t="s">
        <v>83</v>
      </c>
      <c r="AD144" s="92" t="s">
        <v>83</v>
      </c>
      <c r="AE144" s="92" t="s">
        <v>83</v>
      </c>
      <c r="AF144" s="92" t="s">
        <v>83</v>
      </c>
      <c r="AG144" s="92" t="s">
        <v>83</v>
      </c>
      <c r="AH144" s="92" t="s">
        <v>83</v>
      </c>
      <c r="AI144" s="92" t="s">
        <v>83</v>
      </c>
      <c r="AJ144" s="92">
        <v>0</v>
      </c>
      <c r="AK144" s="92">
        <v>0</v>
      </c>
      <c r="AL144" s="92">
        <f>AL142</f>
        <v>0.75</v>
      </c>
      <c r="AM144" s="92">
        <f>AM142</f>
        <v>2.7E-2</v>
      </c>
      <c r="AN144" s="92">
        <f>AN142</f>
        <v>3</v>
      </c>
      <c r="AO144" s="92"/>
      <c r="AP144" s="92"/>
      <c r="AQ144" s="93">
        <f>AM144*I144*0.1+AL144</f>
        <v>0.76725299999999996</v>
      </c>
      <c r="AR144" s="93">
        <f t="shared" si="154"/>
        <v>7.6725299999999996E-2</v>
      </c>
      <c r="AS144" s="94">
        <f t="shared" si="155"/>
        <v>0</v>
      </c>
      <c r="AT144" s="94">
        <f t="shared" si="156"/>
        <v>0.21099457499999999</v>
      </c>
      <c r="AU144" s="93">
        <f>1333*J143*POWER(10,-6)</f>
        <v>8.5178699999999986E-3</v>
      </c>
      <c r="AV144" s="94">
        <f t="shared" si="157"/>
        <v>1.063490745</v>
      </c>
      <c r="AW144" s="95">
        <f t="shared" si="158"/>
        <v>0</v>
      </c>
      <c r="AX144" s="95">
        <f t="shared" si="159"/>
        <v>0</v>
      </c>
      <c r="AY144" s="95">
        <f t="shared" si="160"/>
        <v>1.4548553391600001E-5</v>
      </c>
    </row>
    <row r="145" spans="1:51" x14ac:dyDescent="0.3">
      <c r="A145" s="48" t="s">
        <v>21</v>
      </c>
      <c r="B145" s="48" t="str">
        <f>B142</f>
        <v>Трубопровод рег.№1581</v>
      </c>
      <c r="C145" s="166" t="s">
        <v>162</v>
      </c>
      <c r="D145" s="49" t="s">
        <v>84</v>
      </c>
      <c r="E145" s="153">
        <v>5.0000000000000004E-6</v>
      </c>
      <c r="F145" s="155">
        <f>F142</f>
        <v>180</v>
      </c>
      <c r="G145" s="48">
        <v>0.2</v>
      </c>
      <c r="H145" s="50">
        <f t="shared" si="150"/>
        <v>1.8000000000000004E-4</v>
      </c>
      <c r="I145" s="149">
        <f>0.15*I142</f>
        <v>0.95849999999999991</v>
      </c>
      <c r="J145" s="149">
        <f>I145</f>
        <v>0.95849999999999991</v>
      </c>
      <c r="K145" s="161" t="s">
        <v>179</v>
      </c>
      <c r="L145" s="165">
        <v>45390</v>
      </c>
      <c r="M145" s="92" t="str">
        <f t="shared" si="151"/>
        <v>С4</v>
      </c>
      <c r="N145" s="92" t="str">
        <f t="shared" si="152"/>
        <v>Трубопровод рег.№1581</v>
      </c>
      <c r="O145" s="92" t="str">
        <f t="shared" si="153"/>
        <v>Частичное-пожар</v>
      </c>
      <c r="P145" s="92">
        <v>12.8</v>
      </c>
      <c r="Q145" s="92">
        <v>16.399999999999999</v>
      </c>
      <c r="R145" s="92">
        <v>21.7</v>
      </c>
      <c r="S145" s="92">
        <v>37.299999999999997</v>
      </c>
      <c r="T145" s="92" t="s">
        <v>83</v>
      </c>
      <c r="U145" s="92" t="s">
        <v>83</v>
      </c>
      <c r="V145" s="92" t="s">
        <v>83</v>
      </c>
      <c r="W145" s="92" t="s">
        <v>83</v>
      </c>
      <c r="X145" s="92" t="s">
        <v>83</v>
      </c>
      <c r="Y145" s="92" t="s">
        <v>83</v>
      </c>
      <c r="Z145" s="92" t="s">
        <v>83</v>
      </c>
      <c r="AA145" s="92" t="s">
        <v>83</v>
      </c>
      <c r="AB145" s="92" t="s">
        <v>83</v>
      </c>
      <c r="AC145" s="92" t="s">
        <v>83</v>
      </c>
      <c r="AD145" s="92" t="s">
        <v>83</v>
      </c>
      <c r="AE145" s="92" t="s">
        <v>83</v>
      </c>
      <c r="AF145" s="92" t="s">
        <v>83</v>
      </c>
      <c r="AG145" s="92" t="s">
        <v>83</v>
      </c>
      <c r="AH145" s="92" t="s">
        <v>83</v>
      </c>
      <c r="AI145" s="92" t="s">
        <v>83</v>
      </c>
      <c r="AJ145" s="92">
        <v>0</v>
      </c>
      <c r="AK145" s="92">
        <v>2</v>
      </c>
      <c r="AL145" s="92">
        <f>0.1*$AL$2</f>
        <v>7.5000000000000002E-4</v>
      </c>
      <c r="AM145" s="92">
        <f>AM142</f>
        <v>2.7E-2</v>
      </c>
      <c r="AN145" s="92">
        <f>ROUNDUP(AN142/3,0)</f>
        <v>1</v>
      </c>
      <c r="AO145" s="92"/>
      <c r="AP145" s="92"/>
      <c r="AQ145" s="93">
        <f>AM145*I145+AL145</f>
        <v>2.6629499999999997E-2</v>
      </c>
      <c r="AR145" s="93">
        <f t="shared" si="154"/>
        <v>2.6629499999999999E-3</v>
      </c>
      <c r="AS145" s="94">
        <f t="shared" si="155"/>
        <v>0.5</v>
      </c>
      <c r="AT145" s="94">
        <f t="shared" si="156"/>
        <v>0.13232311250000001</v>
      </c>
      <c r="AU145" s="93">
        <f>10068.2*J145*POWER(10,-6)</f>
        <v>9.6503696999999996E-3</v>
      </c>
      <c r="AV145" s="94">
        <f t="shared" si="157"/>
        <v>0.67126593220000008</v>
      </c>
      <c r="AW145" s="95">
        <f t="shared" si="158"/>
        <v>0</v>
      </c>
      <c r="AX145" s="95">
        <f t="shared" si="159"/>
        <v>3.6000000000000008E-4</v>
      </c>
      <c r="AY145" s="95">
        <f t="shared" si="160"/>
        <v>1.2082786779600004E-4</v>
      </c>
    </row>
    <row r="146" spans="1:51" x14ac:dyDescent="0.3">
      <c r="A146" s="48" t="s">
        <v>22</v>
      </c>
      <c r="B146" s="48" t="str">
        <f>B142</f>
        <v>Трубопровод рег.№1581</v>
      </c>
      <c r="C146" s="166" t="s">
        <v>190</v>
      </c>
      <c r="D146" s="49" t="s">
        <v>84</v>
      </c>
      <c r="E146" s="154">
        <f>E145</f>
        <v>5.0000000000000004E-6</v>
      </c>
      <c r="F146" s="155">
        <f>F142</f>
        <v>180</v>
      </c>
      <c r="G146" s="48">
        <v>0.04</v>
      </c>
      <c r="H146" s="50">
        <f t="shared" si="150"/>
        <v>3.6000000000000001E-5</v>
      </c>
      <c r="I146" s="149">
        <f>0.15*I142</f>
        <v>0.95849999999999991</v>
      </c>
      <c r="J146" s="149">
        <f>I145</f>
        <v>0.95849999999999991</v>
      </c>
      <c r="K146" s="161" t="s">
        <v>180</v>
      </c>
      <c r="L146" s="165">
        <v>3</v>
      </c>
      <c r="M146" s="92" t="str">
        <f t="shared" si="151"/>
        <v>С5</v>
      </c>
      <c r="N146" s="92" t="str">
        <f t="shared" si="152"/>
        <v>Трубопровод рег.№1581</v>
      </c>
      <c r="O146" s="92" t="str">
        <f t="shared" si="153"/>
        <v>Частичное-пожар</v>
      </c>
      <c r="P146" s="92">
        <v>12.8</v>
      </c>
      <c r="Q146" s="92">
        <v>16.399999999999999</v>
      </c>
      <c r="R146" s="92">
        <v>21.7</v>
      </c>
      <c r="S146" s="92">
        <v>37.299999999999997</v>
      </c>
      <c r="T146" s="92" t="s">
        <v>83</v>
      </c>
      <c r="U146" s="92" t="s">
        <v>83</v>
      </c>
      <c r="V146" s="92" t="s">
        <v>83</v>
      </c>
      <c r="W146" s="92" t="s">
        <v>83</v>
      </c>
      <c r="X146" s="92" t="s">
        <v>83</v>
      </c>
      <c r="Y146" s="92" t="s">
        <v>83</v>
      </c>
      <c r="Z146" s="92" t="s">
        <v>83</v>
      </c>
      <c r="AA146" s="92" t="s">
        <v>83</v>
      </c>
      <c r="AB146" s="92" t="s">
        <v>83</v>
      </c>
      <c r="AC146" s="92" t="s">
        <v>83</v>
      </c>
      <c r="AD146" s="92" t="s">
        <v>83</v>
      </c>
      <c r="AE146" s="92" t="s">
        <v>83</v>
      </c>
      <c r="AF146" s="92" t="s">
        <v>83</v>
      </c>
      <c r="AG146" s="92" t="s">
        <v>83</v>
      </c>
      <c r="AH146" s="92" t="s">
        <v>83</v>
      </c>
      <c r="AI146" s="92" t="s">
        <v>83</v>
      </c>
      <c r="AJ146" s="92">
        <v>0</v>
      </c>
      <c r="AK146" s="92">
        <v>1</v>
      </c>
      <c r="AL146" s="92">
        <f>0.1*$AL$2</f>
        <v>7.5000000000000002E-4</v>
      </c>
      <c r="AM146" s="92">
        <f>AM142</f>
        <v>2.7E-2</v>
      </c>
      <c r="AN146" s="92">
        <f>ROUNDUP(AN142/3,0)</f>
        <v>1</v>
      </c>
      <c r="AO146" s="92"/>
      <c r="AP146" s="92"/>
      <c r="AQ146" s="93">
        <f>AM146*I146+AL146</f>
        <v>2.6629499999999997E-2</v>
      </c>
      <c r="AR146" s="93">
        <f t="shared" si="154"/>
        <v>2.6629499999999999E-3</v>
      </c>
      <c r="AS146" s="94">
        <f t="shared" si="155"/>
        <v>0.25</v>
      </c>
      <c r="AT146" s="94">
        <f t="shared" si="156"/>
        <v>6.9823112500000006E-2</v>
      </c>
      <c r="AU146" s="93">
        <f>10068.2*J146*POWER(10,-6)*10</f>
        <v>9.6503696999999999E-2</v>
      </c>
      <c r="AV146" s="94">
        <f t="shared" si="157"/>
        <v>0.44561925949999998</v>
      </c>
      <c r="AW146" s="95">
        <f t="shared" si="158"/>
        <v>0</v>
      </c>
      <c r="AX146" s="95">
        <f t="shared" si="159"/>
        <v>3.6000000000000001E-5</v>
      </c>
      <c r="AY146" s="95">
        <f t="shared" si="160"/>
        <v>1.6042293341999999E-5</v>
      </c>
    </row>
    <row r="147" spans="1:51" ht="15" thickBot="1" x14ac:dyDescent="0.35">
      <c r="A147" s="48" t="s">
        <v>23</v>
      </c>
      <c r="B147" s="48" t="str">
        <f>B142</f>
        <v>Трубопровод рег.№1581</v>
      </c>
      <c r="C147" s="166" t="s">
        <v>164</v>
      </c>
      <c r="D147" s="49" t="s">
        <v>61</v>
      </c>
      <c r="E147" s="154">
        <f>E145</f>
        <v>5.0000000000000004E-6</v>
      </c>
      <c r="F147" s="155">
        <f>F142</f>
        <v>180</v>
      </c>
      <c r="G147" s="48">
        <v>0.76</v>
      </c>
      <c r="H147" s="50">
        <f t="shared" si="150"/>
        <v>6.8400000000000004E-4</v>
      </c>
      <c r="I147" s="149">
        <f>0.15*I142</f>
        <v>0.95849999999999991</v>
      </c>
      <c r="J147" s="48">
        <v>0</v>
      </c>
      <c r="K147" s="162" t="s">
        <v>191</v>
      </c>
      <c r="L147" s="168">
        <v>3</v>
      </c>
      <c r="M147" s="92" t="str">
        <f t="shared" si="151"/>
        <v>С6</v>
      </c>
      <c r="N147" s="92" t="str">
        <f t="shared" si="152"/>
        <v>Трубопровод рег.№1581</v>
      </c>
      <c r="O147" s="92" t="str">
        <f t="shared" si="153"/>
        <v>Частичное-ликвидация</v>
      </c>
      <c r="P147" s="92" t="s">
        <v>83</v>
      </c>
      <c r="Q147" s="92" t="s">
        <v>83</v>
      </c>
      <c r="R147" s="92" t="s">
        <v>83</v>
      </c>
      <c r="S147" s="92" t="s">
        <v>83</v>
      </c>
      <c r="T147" s="92" t="s">
        <v>83</v>
      </c>
      <c r="U147" s="92" t="s">
        <v>83</v>
      </c>
      <c r="V147" s="92" t="s">
        <v>83</v>
      </c>
      <c r="W147" s="92" t="s">
        <v>83</v>
      </c>
      <c r="X147" s="92" t="s">
        <v>83</v>
      </c>
      <c r="Y147" s="92" t="s">
        <v>83</v>
      </c>
      <c r="Z147" s="92" t="s">
        <v>83</v>
      </c>
      <c r="AA147" s="92" t="s">
        <v>83</v>
      </c>
      <c r="AB147" s="92" t="s">
        <v>83</v>
      </c>
      <c r="AC147" s="92" t="s">
        <v>83</v>
      </c>
      <c r="AD147" s="92" t="s">
        <v>83</v>
      </c>
      <c r="AE147" s="92" t="s">
        <v>83</v>
      </c>
      <c r="AF147" s="92" t="s">
        <v>83</v>
      </c>
      <c r="AG147" s="92" t="s">
        <v>83</v>
      </c>
      <c r="AH147" s="92" t="s">
        <v>83</v>
      </c>
      <c r="AI147" s="92" t="s">
        <v>83</v>
      </c>
      <c r="AJ147" s="92">
        <v>0</v>
      </c>
      <c r="AK147" s="92">
        <v>0</v>
      </c>
      <c r="AL147" s="92">
        <f>0.1*$AL$2</f>
        <v>7.5000000000000002E-4</v>
      </c>
      <c r="AM147" s="92">
        <f>AM142</f>
        <v>2.7E-2</v>
      </c>
      <c r="AN147" s="92">
        <f>ROUNDUP(AN142/3,0)</f>
        <v>1</v>
      </c>
      <c r="AO147" s="92"/>
      <c r="AP147" s="92"/>
      <c r="AQ147" s="93">
        <f>AM147*I147*0.1+AL147</f>
        <v>3.3379500000000001E-3</v>
      </c>
      <c r="AR147" s="93">
        <f t="shared" si="154"/>
        <v>3.3379500000000001E-4</v>
      </c>
      <c r="AS147" s="94">
        <f t="shared" si="155"/>
        <v>0</v>
      </c>
      <c r="AT147" s="94">
        <f t="shared" si="156"/>
        <v>9.1793625000000003E-4</v>
      </c>
      <c r="AU147" s="93">
        <f>1333*J146*POWER(10,-6)</f>
        <v>1.2776805E-3</v>
      </c>
      <c r="AV147" s="94">
        <f t="shared" si="157"/>
        <v>5.8673617500000002E-3</v>
      </c>
      <c r="AW147" s="95">
        <f t="shared" si="158"/>
        <v>0</v>
      </c>
      <c r="AX147" s="95">
        <f t="shared" si="159"/>
        <v>0</v>
      </c>
      <c r="AY147" s="95">
        <f t="shared" si="160"/>
        <v>4.0132754370000008E-6</v>
      </c>
    </row>
    <row r="148" spans="1:51" x14ac:dyDescent="0.3">
      <c r="A148" s="48"/>
      <c r="B148" s="48"/>
      <c r="C148" s="166"/>
      <c r="D148" s="49"/>
      <c r="E148" s="154"/>
      <c r="F148" s="155"/>
      <c r="G148" s="48"/>
      <c r="H148" s="50"/>
      <c r="I148" s="149"/>
      <c r="J148" s="48"/>
      <c r="K148" s="278"/>
      <c r="L148" s="279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3"/>
      <c r="AR148" s="93"/>
      <c r="AS148" s="94"/>
      <c r="AT148" s="94"/>
      <c r="AU148" s="93"/>
      <c r="AV148" s="94"/>
      <c r="AW148" s="95"/>
      <c r="AX148" s="95"/>
      <c r="AY148" s="95"/>
    </row>
    <row r="149" spans="1:51" s="267" customFormat="1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</row>
    <row r="150" spans="1:51" s="267" customFormat="1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</row>
    <row r="151" spans="1:51" ht="15" thickBot="1" x14ac:dyDescent="0.35"/>
    <row r="152" spans="1:51" s="179" customFormat="1" ht="15" thickBot="1" x14ac:dyDescent="0.35">
      <c r="A152" s="169" t="s">
        <v>18</v>
      </c>
      <c r="B152" s="170" t="s">
        <v>600</v>
      </c>
      <c r="C152" s="171" t="s">
        <v>227</v>
      </c>
      <c r="D152" s="172" t="s">
        <v>183</v>
      </c>
      <c r="E152" s="173">
        <v>1.0000000000000001E-5</v>
      </c>
      <c r="F152" s="170">
        <v>1</v>
      </c>
      <c r="G152" s="169">
        <v>1.4999999999999999E-2</v>
      </c>
      <c r="H152" s="174">
        <f t="shared" ref="H152:H157" si="161">E152*F152*G152</f>
        <v>1.5000000000000002E-7</v>
      </c>
      <c r="I152" s="175">
        <f>(200/3600)*12</f>
        <v>0.66666666666666663</v>
      </c>
      <c r="J152" s="187">
        <f>I152</f>
        <v>0.66666666666666663</v>
      </c>
      <c r="K152" s="177" t="s">
        <v>175</v>
      </c>
      <c r="L152" s="422">
        <f>J152*20</f>
        <v>13.333333333333332</v>
      </c>
      <c r="M152" s="179" t="str">
        <f t="shared" ref="M152:M157" si="162">A152</f>
        <v>С1</v>
      </c>
      <c r="N152" s="179" t="str">
        <f t="shared" ref="N152:N157" si="163">B152</f>
        <v>Насос центробежный (8217P0005A)</v>
      </c>
      <c r="O152" s="179" t="str">
        <f t="shared" ref="O152:O157" si="164">D152</f>
        <v>Полное-факел</v>
      </c>
      <c r="P152" s="179" t="s">
        <v>83</v>
      </c>
      <c r="Q152" s="179" t="s">
        <v>83</v>
      </c>
      <c r="R152" s="179" t="s">
        <v>83</v>
      </c>
      <c r="S152" s="179" t="s">
        <v>83</v>
      </c>
      <c r="T152" s="179" t="s">
        <v>83</v>
      </c>
      <c r="U152" s="179" t="s">
        <v>83</v>
      </c>
      <c r="V152" s="179" t="s">
        <v>83</v>
      </c>
      <c r="W152" s="179" t="s">
        <v>83</v>
      </c>
      <c r="X152" s="179" t="s">
        <v>83</v>
      </c>
      <c r="Y152" s="179" t="s">
        <v>83</v>
      </c>
      <c r="Z152" s="179" t="s">
        <v>83</v>
      </c>
      <c r="AA152" s="179" t="s">
        <v>83</v>
      </c>
      <c r="AB152" s="179" t="s">
        <v>83</v>
      </c>
      <c r="AC152" s="179" t="s">
        <v>83</v>
      </c>
      <c r="AD152" s="179" t="s">
        <v>83</v>
      </c>
      <c r="AE152" s="179" t="s">
        <v>83</v>
      </c>
      <c r="AF152" s="179" t="s">
        <v>83</v>
      </c>
      <c r="AG152" s="179" t="s">
        <v>83</v>
      </c>
      <c r="AH152" s="179" t="s">
        <v>83</v>
      </c>
      <c r="AI152" s="179" t="s">
        <v>83</v>
      </c>
      <c r="AJ152" s="180">
        <v>1</v>
      </c>
      <c r="AK152" s="180">
        <v>2</v>
      </c>
      <c r="AL152" s="181">
        <v>0.75</v>
      </c>
      <c r="AM152" s="181">
        <v>2.7E-2</v>
      </c>
      <c r="AN152" s="181">
        <v>3</v>
      </c>
      <c r="AQ152" s="182">
        <f>AM152*I152+AL152</f>
        <v>0.76800000000000002</v>
      </c>
      <c r="AR152" s="182">
        <f t="shared" ref="AR152:AR157" si="165">0.1*AQ152</f>
        <v>7.6800000000000007E-2</v>
      </c>
      <c r="AS152" s="183">
        <f t="shared" ref="AS152:AS157" si="166">AJ152*3+0.25*AK152</f>
        <v>3.5</v>
      </c>
      <c r="AT152" s="183">
        <f t="shared" ref="AT152:AT157" si="167">SUM(AQ152:AS152)/4</f>
        <v>1.0862000000000001</v>
      </c>
      <c r="AU152" s="182">
        <f>10068.2*J152*POWER(10,-6)</f>
        <v>6.7121333333333326E-3</v>
      </c>
      <c r="AV152" s="183">
        <f t="shared" ref="AV152:AV157" si="168">AU152+AT152+AS152+AR152+AQ152</f>
        <v>5.437712133333334</v>
      </c>
      <c r="AW152" s="184">
        <f t="shared" ref="AW152:AW157" si="169">AJ152*H152</f>
        <v>1.5000000000000002E-7</v>
      </c>
      <c r="AX152" s="184">
        <f t="shared" ref="AX152:AX157" si="170">H152*AK152</f>
        <v>3.0000000000000004E-7</v>
      </c>
      <c r="AY152" s="184">
        <f t="shared" ref="AY152:AY157" si="171">H152*AV152</f>
        <v>8.1565682000000026E-7</v>
      </c>
    </row>
    <row r="153" spans="1:51" s="179" customFormat="1" ht="15" thickBot="1" x14ac:dyDescent="0.35">
      <c r="A153" s="169" t="s">
        <v>19</v>
      </c>
      <c r="B153" s="169" t="str">
        <f>B152</f>
        <v>Насос центробежный (8217P0005A)</v>
      </c>
      <c r="C153" s="171" t="s">
        <v>238</v>
      </c>
      <c r="D153" s="172" t="s">
        <v>59</v>
      </c>
      <c r="E153" s="185">
        <f>E152</f>
        <v>1.0000000000000001E-5</v>
      </c>
      <c r="F153" s="186">
        <f>F152</f>
        <v>1</v>
      </c>
      <c r="G153" s="169">
        <v>1.4249999999999999E-2</v>
      </c>
      <c r="H153" s="174">
        <f t="shared" si="161"/>
        <v>1.4250000000000001E-7</v>
      </c>
      <c r="I153" s="187">
        <f>I152</f>
        <v>0.66666666666666663</v>
      </c>
      <c r="J153" s="175">
        <f>I152</f>
        <v>0.66666666666666663</v>
      </c>
      <c r="K153" s="177" t="s">
        <v>176</v>
      </c>
      <c r="L153" s="178">
        <v>0</v>
      </c>
      <c r="M153" s="179" t="str">
        <f t="shared" si="162"/>
        <v>С2</v>
      </c>
      <c r="N153" s="179" t="str">
        <f t="shared" si="163"/>
        <v>Насос центробежный (8217P0005A)</v>
      </c>
      <c r="O153" s="179" t="str">
        <f t="shared" si="164"/>
        <v>Полное-пожар</v>
      </c>
      <c r="P153" s="179" t="s">
        <v>83</v>
      </c>
      <c r="Q153" s="179" t="s">
        <v>83</v>
      </c>
      <c r="R153" s="179" t="s">
        <v>83</v>
      </c>
      <c r="S153" s="179" t="s">
        <v>83</v>
      </c>
      <c r="T153" s="179" t="s">
        <v>83</v>
      </c>
      <c r="U153" s="179" t="s">
        <v>83</v>
      </c>
      <c r="V153" s="179" t="s">
        <v>83</v>
      </c>
      <c r="W153" s="179" t="s">
        <v>83</v>
      </c>
      <c r="X153" s="179" t="s">
        <v>83</v>
      </c>
      <c r="Y153" s="179" t="s">
        <v>83</v>
      </c>
      <c r="Z153" s="179" t="s">
        <v>83</v>
      </c>
      <c r="AA153" s="179" t="s">
        <v>83</v>
      </c>
      <c r="AB153" s="179" t="s">
        <v>83</v>
      </c>
      <c r="AC153" s="179" t="s">
        <v>83</v>
      </c>
      <c r="AD153" s="179" t="s">
        <v>83</v>
      </c>
      <c r="AE153" s="179" t="s">
        <v>83</v>
      </c>
      <c r="AF153" s="179" t="s">
        <v>83</v>
      </c>
      <c r="AG153" s="179" t="s">
        <v>83</v>
      </c>
      <c r="AH153" s="179" t="s">
        <v>83</v>
      </c>
      <c r="AI153" s="179" t="s">
        <v>83</v>
      </c>
      <c r="AJ153" s="180">
        <v>2</v>
      </c>
      <c r="AK153" s="180">
        <v>2</v>
      </c>
      <c r="AL153" s="179">
        <f>AL152</f>
        <v>0.75</v>
      </c>
      <c r="AM153" s="179">
        <f>AM152</f>
        <v>2.7E-2</v>
      </c>
      <c r="AN153" s="179">
        <f>AN152</f>
        <v>3</v>
      </c>
      <c r="AQ153" s="182">
        <f>AM153*I153+AL153</f>
        <v>0.76800000000000002</v>
      </c>
      <c r="AR153" s="182">
        <f t="shared" si="165"/>
        <v>7.6800000000000007E-2</v>
      </c>
      <c r="AS153" s="183">
        <f t="shared" si="166"/>
        <v>6.5</v>
      </c>
      <c r="AT153" s="183">
        <f t="shared" si="167"/>
        <v>1.8362000000000001</v>
      </c>
      <c r="AU153" s="182">
        <f>10068.2*J153*POWER(10,-6)*10</f>
        <v>6.7121333333333325E-2</v>
      </c>
      <c r="AV153" s="183">
        <f t="shared" si="168"/>
        <v>9.2481213333333354</v>
      </c>
      <c r="AW153" s="184">
        <f t="shared" si="169"/>
        <v>2.8500000000000002E-7</v>
      </c>
      <c r="AX153" s="184">
        <f t="shared" si="170"/>
        <v>2.8500000000000002E-7</v>
      </c>
      <c r="AY153" s="184">
        <f t="shared" si="171"/>
        <v>1.3178572900000004E-6</v>
      </c>
    </row>
    <row r="154" spans="1:51" s="179" customFormat="1" x14ac:dyDescent="0.3">
      <c r="A154" s="169" t="s">
        <v>20</v>
      </c>
      <c r="B154" s="169" t="str">
        <f>B152</f>
        <v>Насос центробежный (8217P0005A)</v>
      </c>
      <c r="C154" s="171" t="s">
        <v>239</v>
      </c>
      <c r="D154" s="172" t="s">
        <v>60</v>
      </c>
      <c r="E154" s="185">
        <f>E152</f>
        <v>1.0000000000000001E-5</v>
      </c>
      <c r="F154" s="186">
        <f>F152</f>
        <v>1</v>
      </c>
      <c r="G154" s="169">
        <v>0.27074999999999999</v>
      </c>
      <c r="H154" s="174">
        <f t="shared" si="161"/>
        <v>2.7075000000000003E-6</v>
      </c>
      <c r="I154" s="187">
        <f>I152</f>
        <v>0.66666666666666663</v>
      </c>
      <c r="J154" s="169">
        <v>0</v>
      </c>
      <c r="K154" s="177" t="s">
        <v>177</v>
      </c>
      <c r="L154" s="178">
        <v>1</v>
      </c>
      <c r="M154" s="179" t="str">
        <f t="shared" si="162"/>
        <v>С3</v>
      </c>
      <c r="N154" s="179" t="str">
        <f t="shared" si="163"/>
        <v>Насос центробежный (8217P0005A)</v>
      </c>
      <c r="O154" s="179" t="str">
        <f t="shared" si="164"/>
        <v>Полное-ликвидация</v>
      </c>
      <c r="P154" s="179" t="s">
        <v>83</v>
      </c>
      <c r="Q154" s="179" t="s">
        <v>83</v>
      </c>
      <c r="R154" s="179" t="s">
        <v>83</v>
      </c>
      <c r="S154" s="179" t="s">
        <v>83</v>
      </c>
      <c r="T154" s="179" t="s">
        <v>83</v>
      </c>
      <c r="U154" s="179" t="s">
        <v>83</v>
      </c>
      <c r="V154" s="179" t="s">
        <v>83</v>
      </c>
      <c r="W154" s="179" t="s">
        <v>83</v>
      </c>
      <c r="X154" s="179" t="s">
        <v>83</v>
      </c>
      <c r="Y154" s="179" t="s">
        <v>83</v>
      </c>
      <c r="Z154" s="179" t="s">
        <v>83</v>
      </c>
      <c r="AA154" s="179" t="s">
        <v>83</v>
      </c>
      <c r="AB154" s="179" t="s">
        <v>83</v>
      </c>
      <c r="AC154" s="179" t="s">
        <v>83</v>
      </c>
      <c r="AD154" s="179" t="s">
        <v>83</v>
      </c>
      <c r="AE154" s="179" t="s">
        <v>83</v>
      </c>
      <c r="AF154" s="179" t="s">
        <v>83</v>
      </c>
      <c r="AG154" s="179" t="s">
        <v>83</v>
      </c>
      <c r="AH154" s="179" t="s">
        <v>83</v>
      </c>
      <c r="AI154" s="179" t="s">
        <v>83</v>
      </c>
      <c r="AJ154" s="179">
        <v>0</v>
      </c>
      <c r="AK154" s="179">
        <v>0</v>
      </c>
      <c r="AL154" s="179">
        <f>AL152</f>
        <v>0.75</v>
      </c>
      <c r="AM154" s="179">
        <f>AM152</f>
        <v>2.7E-2</v>
      </c>
      <c r="AN154" s="179">
        <f>AN152</f>
        <v>3</v>
      </c>
      <c r="AQ154" s="182">
        <f>AM154*I154*0.1+AL154</f>
        <v>0.75180000000000002</v>
      </c>
      <c r="AR154" s="182">
        <f t="shared" si="165"/>
        <v>7.5180000000000011E-2</v>
      </c>
      <c r="AS154" s="183">
        <f t="shared" si="166"/>
        <v>0</v>
      </c>
      <c r="AT154" s="183">
        <f t="shared" si="167"/>
        <v>0.20674500000000001</v>
      </c>
      <c r="AU154" s="182">
        <f>1333*J153*POWER(10,-6)</f>
        <v>8.8866666666666662E-4</v>
      </c>
      <c r="AV154" s="183">
        <f t="shared" si="168"/>
        <v>1.0346136666666668</v>
      </c>
      <c r="AW154" s="184">
        <f t="shared" si="169"/>
        <v>0</v>
      </c>
      <c r="AX154" s="184">
        <f t="shared" si="170"/>
        <v>0</v>
      </c>
      <c r="AY154" s="184">
        <f t="shared" si="171"/>
        <v>2.8012165025000005E-6</v>
      </c>
    </row>
    <row r="155" spans="1:51" s="179" customFormat="1" x14ac:dyDescent="0.3">
      <c r="A155" s="169" t="s">
        <v>21</v>
      </c>
      <c r="B155" s="169" t="str">
        <f>B152</f>
        <v>Насос центробежный (8217P0005A)</v>
      </c>
      <c r="C155" s="171" t="s">
        <v>230</v>
      </c>
      <c r="D155" s="172" t="s">
        <v>84</v>
      </c>
      <c r="E155" s="185">
        <f>E153</f>
        <v>1.0000000000000001E-5</v>
      </c>
      <c r="F155" s="186">
        <f>F152</f>
        <v>1</v>
      </c>
      <c r="G155" s="169">
        <v>3.4999999999999996E-2</v>
      </c>
      <c r="H155" s="174">
        <f t="shared" si="161"/>
        <v>3.4999999999999998E-7</v>
      </c>
      <c r="I155" s="187">
        <f>0.15*I152</f>
        <v>9.9999999999999992E-2</v>
      </c>
      <c r="J155" s="187">
        <f>I155</f>
        <v>9.9999999999999992E-2</v>
      </c>
      <c r="K155" s="190" t="s">
        <v>179</v>
      </c>
      <c r="L155" s="191">
        <v>45390</v>
      </c>
      <c r="M155" s="179" t="str">
        <f t="shared" si="162"/>
        <v>С4</v>
      </c>
      <c r="N155" s="179" t="str">
        <f t="shared" si="163"/>
        <v>Насос центробежный (8217P0005A)</v>
      </c>
      <c r="O155" s="179" t="str">
        <f t="shared" si="164"/>
        <v>Частичное-пожар</v>
      </c>
      <c r="P155" s="179" t="s">
        <v>83</v>
      </c>
      <c r="Q155" s="179" t="s">
        <v>83</v>
      </c>
      <c r="R155" s="179" t="s">
        <v>83</v>
      </c>
      <c r="S155" s="179" t="s">
        <v>83</v>
      </c>
      <c r="T155" s="179" t="s">
        <v>83</v>
      </c>
      <c r="U155" s="179" t="s">
        <v>83</v>
      </c>
      <c r="V155" s="179" t="s">
        <v>83</v>
      </c>
      <c r="W155" s="179" t="s">
        <v>83</v>
      </c>
      <c r="X155" s="179" t="s">
        <v>83</v>
      </c>
      <c r="Y155" s="179" t="s">
        <v>83</v>
      </c>
      <c r="Z155" s="179" t="s">
        <v>83</v>
      </c>
      <c r="AA155" s="179" t="s">
        <v>83</v>
      </c>
      <c r="AB155" s="179" t="s">
        <v>83</v>
      </c>
      <c r="AC155" s="179" t="s">
        <v>83</v>
      </c>
      <c r="AD155" s="179" t="s">
        <v>83</v>
      </c>
      <c r="AE155" s="179" t="s">
        <v>83</v>
      </c>
      <c r="AF155" s="179" t="s">
        <v>83</v>
      </c>
      <c r="AG155" s="179" t="s">
        <v>83</v>
      </c>
      <c r="AH155" s="179" t="s">
        <v>83</v>
      </c>
      <c r="AI155" s="179" t="s">
        <v>83</v>
      </c>
      <c r="AJ155" s="179">
        <v>0</v>
      </c>
      <c r="AK155" s="179">
        <v>2</v>
      </c>
      <c r="AL155" s="179">
        <f>0.1*$AL$2</f>
        <v>7.5000000000000002E-4</v>
      </c>
      <c r="AM155" s="179">
        <f>AM152</f>
        <v>2.7E-2</v>
      </c>
      <c r="AN155" s="179">
        <f>ROUNDUP(AN152/3,0)</f>
        <v>1</v>
      </c>
      <c r="AQ155" s="182">
        <f>AM155*I155+AL155</f>
        <v>3.4499999999999999E-3</v>
      </c>
      <c r="AR155" s="182">
        <f t="shared" si="165"/>
        <v>3.4500000000000004E-4</v>
      </c>
      <c r="AS155" s="183">
        <f t="shared" si="166"/>
        <v>0.5</v>
      </c>
      <c r="AT155" s="183">
        <f t="shared" si="167"/>
        <v>0.12594875</v>
      </c>
      <c r="AU155" s="182">
        <f>10068.2*J155*POWER(10,-6)</f>
        <v>1.0068199999999999E-3</v>
      </c>
      <c r="AV155" s="183">
        <f t="shared" si="168"/>
        <v>0.63075057000000001</v>
      </c>
      <c r="AW155" s="184">
        <f t="shared" si="169"/>
        <v>0</v>
      </c>
      <c r="AX155" s="184">
        <f t="shared" si="170"/>
        <v>6.9999999999999997E-7</v>
      </c>
      <c r="AY155" s="184">
        <f t="shared" si="171"/>
        <v>2.207626995E-7</v>
      </c>
    </row>
    <row r="156" spans="1:51" s="179" customFormat="1" x14ac:dyDescent="0.3">
      <c r="A156" s="169" t="s">
        <v>22</v>
      </c>
      <c r="B156" s="169" t="str">
        <f>B152</f>
        <v>Насос центробежный (8217P0005A)</v>
      </c>
      <c r="C156" s="171" t="s">
        <v>232</v>
      </c>
      <c r="D156" s="172" t="s">
        <v>84</v>
      </c>
      <c r="E156" s="185">
        <f>E154</f>
        <v>1.0000000000000001E-5</v>
      </c>
      <c r="F156" s="186">
        <f>F152</f>
        <v>1</v>
      </c>
      <c r="G156" s="169">
        <v>3.3249999999999995E-2</v>
      </c>
      <c r="H156" s="174">
        <f t="shared" si="161"/>
        <v>3.3249999999999999E-7</v>
      </c>
      <c r="I156" s="187">
        <f>0.15*I152</f>
        <v>9.9999999999999992E-2</v>
      </c>
      <c r="J156" s="187">
        <f>I155</f>
        <v>9.9999999999999992E-2</v>
      </c>
      <c r="K156" s="190" t="s">
        <v>180</v>
      </c>
      <c r="L156" s="191">
        <v>3</v>
      </c>
      <c r="M156" s="179" t="str">
        <f t="shared" si="162"/>
        <v>С5</v>
      </c>
      <c r="N156" s="179" t="str">
        <f t="shared" si="163"/>
        <v>Насос центробежный (8217P0005A)</v>
      </c>
      <c r="O156" s="179" t="str">
        <f t="shared" si="164"/>
        <v>Частичное-пожар</v>
      </c>
      <c r="P156" s="179" t="s">
        <v>83</v>
      </c>
      <c r="Q156" s="179" t="s">
        <v>83</v>
      </c>
      <c r="R156" s="179" t="s">
        <v>83</v>
      </c>
      <c r="S156" s="179" t="s">
        <v>83</v>
      </c>
      <c r="T156" s="179" t="s">
        <v>83</v>
      </c>
      <c r="U156" s="179" t="s">
        <v>83</v>
      </c>
      <c r="V156" s="179" t="s">
        <v>83</v>
      </c>
      <c r="W156" s="179" t="s">
        <v>83</v>
      </c>
      <c r="X156" s="179" t="s">
        <v>83</v>
      </c>
      <c r="Y156" s="179" t="s">
        <v>83</v>
      </c>
      <c r="Z156" s="179" t="s">
        <v>83</v>
      </c>
      <c r="AA156" s="179" t="s">
        <v>83</v>
      </c>
      <c r="AB156" s="179" t="s">
        <v>83</v>
      </c>
      <c r="AC156" s="179" t="s">
        <v>83</v>
      </c>
      <c r="AD156" s="179" t="s">
        <v>83</v>
      </c>
      <c r="AE156" s="179" t="s">
        <v>83</v>
      </c>
      <c r="AF156" s="179" t="s">
        <v>83</v>
      </c>
      <c r="AG156" s="179" t="s">
        <v>83</v>
      </c>
      <c r="AH156" s="179" t="s">
        <v>83</v>
      </c>
      <c r="AI156" s="179" t="s">
        <v>83</v>
      </c>
      <c r="AJ156" s="179">
        <v>0</v>
      </c>
      <c r="AK156" s="179">
        <v>1</v>
      </c>
      <c r="AL156" s="179">
        <f>0.1*$AL$2</f>
        <v>7.5000000000000002E-4</v>
      </c>
      <c r="AM156" s="179">
        <f>AM152</f>
        <v>2.7E-2</v>
      </c>
      <c r="AN156" s="179">
        <f>ROUNDUP(AN152/3,0)</f>
        <v>1</v>
      </c>
      <c r="AQ156" s="182">
        <f>AM156*I156+AL156</f>
        <v>3.4499999999999999E-3</v>
      </c>
      <c r="AR156" s="182">
        <f t="shared" si="165"/>
        <v>3.4500000000000004E-4</v>
      </c>
      <c r="AS156" s="183">
        <f t="shared" si="166"/>
        <v>0.25</v>
      </c>
      <c r="AT156" s="183">
        <f t="shared" si="167"/>
        <v>6.3448749999999998E-2</v>
      </c>
      <c r="AU156" s="182">
        <f>10068.2*J156*POWER(10,-6)*10</f>
        <v>1.0068199999999999E-2</v>
      </c>
      <c r="AV156" s="183">
        <f t="shared" si="168"/>
        <v>0.32731195000000002</v>
      </c>
      <c r="AW156" s="184">
        <f t="shared" si="169"/>
        <v>0</v>
      </c>
      <c r="AX156" s="184">
        <f t="shared" si="170"/>
        <v>3.3249999999999999E-7</v>
      </c>
      <c r="AY156" s="184">
        <f t="shared" si="171"/>
        <v>1.0883122337500001E-7</v>
      </c>
    </row>
    <row r="157" spans="1:51" s="179" customFormat="1" ht="15" thickBot="1" x14ac:dyDescent="0.35">
      <c r="A157" s="169" t="s">
        <v>23</v>
      </c>
      <c r="B157" s="169" t="str">
        <f>B152</f>
        <v>Насос центробежный (8217P0005A)</v>
      </c>
      <c r="C157" s="171" t="s">
        <v>231</v>
      </c>
      <c r="D157" s="172" t="s">
        <v>617</v>
      </c>
      <c r="E157" s="185">
        <f>E155</f>
        <v>1.0000000000000001E-5</v>
      </c>
      <c r="F157" s="186">
        <f>F152</f>
        <v>1</v>
      </c>
      <c r="G157" s="169">
        <v>0.63174999999999992</v>
      </c>
      <c r="H157" s="174">
        <f t="shared" si="161"/>
        <v>6.3175000000000001E-6</v>
      </c>
      <c r="I157" s="187">
        <f>0.15*I152</f>
        <v>9.9999999999999992E-2</v>
      </c>
      <c r="J157" s="169">
        <v>0</v>
      </c>
      <c r="K157" s="192" t="s">
        <v>191</v>
      </c>
      <c r="L157" s="192">
        <v>18</v>
      </c>
      <c r="M157" s="179" t="str">
        <f t="shared" si="162"/>
        <v>С6</v>
      </c>
      <c r="N157" s="179" t="str">
        <f t="shared" si="163"/>
        <v>Насос центробежный (8217P0005A)</v>
      </c>
      <c r="O157" s="179" t="str">
        <f t="shared" si="164"/>
        <v>Частичное-ликв</v>
      </c>
      <c r="P157" s="179" t="s">
        <v>83</v>
      </c>
      <c r="Q157" s="179" t="s">
        <v>83</v>
      </c>
      <c r="R157" s="179" t="s">
        <v>83</v>
      </c>
      <c r="S157" s="179" t="s">
        <v>83</v>
      </c>
      <c r="T157" s="179" t="s">
        <v>83</v>
      </c>
      <c r="U157" s="179" t="s">
        <v>83</v>
      </c>
      <c r="V157" s="179" t="s">
        <v>83</v>
      </c>
      <c r="W157" s="179" t="s">
        <v>83</v>
      </c>
      <c r="X157" s="179" t="s">
        <v>83</v>
      </c>
      <c r="Y157" s="179" t="s">
        <v>83</v>
      </c>
      <c r="Z157" s="179" t="s">
        <v>83</v>
      </c>
      <c r="AA157" s="179" t="s">
        <v>83</v>
      </c>
      <c r="AB157" s="179" t="s">
        <v>83</v>
      </c>
      <c r="AC157" s="179" t="s">
        <v>83</v>
      </c>
      <c r="AD157" s="179" t="s">
        <v>83</v>
      </c>
      <c r="AE157" s="179" t="s">
        <v>83</v>
      </c>
      <c r="AF157" s="179" t="s">
        <v>83</v>
      </c>
      <c r="AG157" s="179" t="s">
        <v>83</v>
      </c>
      <c r="AH157" s="179" t="s">
        <v>83</v>
      </c>
      <c r="AI157" s="179" t="s">
        <v>83</v>
      </c>
      <c r="AJ157" s="179">
        <v>0</v>
      </c>
      <c r="AK157" s="179">
        <v>0</v>
      </c>
      <c r="AL157" s="179">
        <f>0.1*$AL$2</f>
        <v>7.5000000000000002E-4</v>
      </c>
      <c r="AM157" s="179">
        <f>AM152</f>
        <v>2.7E-2</v>
      </c>
      <c r="AN157" s="179">
        <f>ROUNDUP(AN152/3,0)</f>
        <v>1</v>
      </c>
      <c r="AQ157" s="182">
        <f>AM157*I157*0.1+AL157</f>
        <v>1.0200000000000001E-3</v>
      </c>
      <c r="AR157" s="182">
        <f t="shared" si="165"/>
        <v>1.0200000000000001E-4</v>
      </c>
      <c r="AS157" s="183">
        <f t="shared" si="166"/>
        <v>0</v>
      </c>
      <c r="AT157" s="183">
        <f t="shared" si="167"/>
        <v>2.8050000000000004E-4</v>
      </c>
      <c r="AU157" s="182">
        <f>1333*J156*POWER(10,-6)</f>
        <v>1.3329999999999999E-4</v>
      </c>
      <c r="AV157" s="183">
        <f t="shared" si="168"/>
        <v>1.5358000000000001E-3</v>
      </c>
      <c r="AW157" s="184">
        <f t="shared" si="169"/>
        <v>0</v>
      </c>
      <c r="AX157" s="184">
        <f t="shared" si="170"/>
        <v>0</v>
      </c>
      <c r="AY157" s="184">
        <f t="shared" si="171"/>
        <v>9.7024165000000002E-9</v>
      </c>
    </row>
    <row r="158" spans="1:51" s="179" customFormat="1" x14ac:dyDescent="0.3">
      <c r="A158" s="180"/>
      <c r="B158" s="180"/>
      <c r="D158" s="271"/>
      <c r="E158" s="272"/>
      <c r="F158" s="273"/>
      <c r="G158" s="180"/>
      <c r="H158" s="184"/>
      <c r="I158" s="183"/>
      <c r="J158" s="180"/>
      <c r="K158" s="180"/>
      <c r="L158" s="180"/>
      <c r="AQ158" s="182"/>
      <c r="AR158" s="182"/>
      <c r="AS158" s="183"/>
      <c r="AT158" s="183"/>
      <c r="AU158" s="182"/>
      <c r="AV158" s="183"/>
      <c r="AW158" s="184"/>
      <c r="AX158" s="184"/>
      <c r="AY158" s="184"/>
    </row>
    <row r="159" spans="1:51" s="179" customFormat="1" x14ac:dyDescent="0.3">
      <c r="A159" s="180"/>
      <c r="B159" s="180"/>
      <c r="D159" s="271"/>
      <c r="E159" s="272"/>
      <c r="F159" s="273"/>
      <c r="G159" s="180"/>
      <c r="H159" s="184"/>
      <c r="I159" s="183"/>
      <c r="J159" s="180"/>
      <c r="K159" s="180"/>
      <c r="L159" s="180"/>
      <c r="AQ159" s="182"/>
      <c r="AR159" s="182"/>
      <c r="AS159" s="183"/>
      <c r="AT159" s="183"/>
      <c r="AU159" s="182"/>
      <c r="AV159" s="183"/>
      <c r="AW159" s="184"/>
      <c r="AX159" s="184"/>
      <c r="AY159" s="184"/>
    </row>
    <row r="160" spans="1:51" s="179" customFormat="1" x14ac:dyDescent="0.3">
      <c r="A160" s="180"/>
      <c r="B160" s="180"/>
      <c r="D160" s="271"/>
      <c r="E160" s="272"/>
      <c r="F160" s="273"/>
      <c r="G160" s="180"/>
      <c r="H160" s="184"/>
      <c r="I160" s="183"/>
      <c r="J160" s="180"/>
      <c r="K160" s="180"/>
      <c r="L160" s="180"/>
      <c r="AQ160" s="182"/>
      <c r="AR160" s="182"/>
      <c r="AS160" s="183"/>
      <c r="AT160" s="183"/>
      <c r="AU160" s="182"/>
      <c r="AV160" s="183"/>
      <c r="AW160" s="184"/>
      <c r="AX160" s="184"/>
      <c r="AY160" s="184"/>
    </row>
    <row r="161" spans="1:51" ht="15" thickBot="1" x14ac:dyDescent="0.35"/>
    <row r="162" spans="1:51" s="179" customFormat="1" ht="15" thickBot="1" x14ac:dyDescent="0.35">
      <c r="A162" s="169" t="s">
        <v>18</v>
      </c>
      <c r="B162" s="312" t="s">
        <v>606</v>
      </c>
      <c r="C162" s="171" t="s">
        <v>196</v>
      </c>
      <c r="D162" s="172" t="s">
        <v>59</v>
      </c>
      <c r="E162" s="173">
        <v>1.0000000000000001E-5</v>
      </c>
      <c r="F162" s="170">
        <v>1</v>
      </c>
      <c r="G162" s="169">
        <v>0.1</v>
      </c>
      <c r="H162" s="174">
        <f t="shared" ref="H162:H167" si="172">E162*F162*G162</f>
        <v>1.0000000000000002E-6</v>
      </c>
      <c r="I162" s="175">
        <v>2040</v>
      </c>
      <c r="J162" s="187">
        <f>I162</f>
        <v>2040</v>
      </c>
      <c r="K162" s="177" t="s">
        <v>175</v>
      </c>
      <c r="L162" s="178">
        <v>1248</v>
      </c>
      <c r="M162" s="179" t="str">
        <f t="shared" ref="M162:M167" si="173">A162</f>
        <v>С1</v>
      </c>
      <c r="N162" s="179" t="str">
        <f t="shared" ref="N162:N167" si="174">B162</f>
        <v>Резервуар РВС (7810T0002)</v>
      </c>
      <c r="O162" s="179" t="str">
        <f t="shared" ref="O162:O167" si="175">D162</f>
        <v>Полное-пожар</v>
      </c>
      <c r="P162" s="179" t="s">
        <v>83</v>
      </c>
      <c r="Q162" s="179" t="s">
        <v>83</v>
      </c>
      <c r="R162" s="179" t="s">
        <v>83</v>
      </c>
      <c r="S162" s="179" t="s">
        <v>83</v>
      </c>
      <c r="T162" s="179" t="s">
        <v>83</v>
      </c>
      <c r="U162" s="179" t="s">
        <v>83</v>
      </c>
      <c r="V162" s="179" t="s">
        <v>83</v>
      </c>
      <c r="W162" s="179" t="s">
        <v>83</v>
      </c>
      <c r="X162" s="179" t="s">
        <v>83</v>
      </c>
      <c r="Y162" s="179" t="s">
        <v>83</v>
      </c>
      <c r="Z162" s="179" t="s">
        <v>83</v>
      </c>
      <c r="AA162" s="179" t="s">
        <v>83</v>
      </c>
      <c r="AB162" s="179" t="s">
        <v>83</v>
      </c>
      <c r="AC162" s="179" t="s">
        <v>83</v>
      </c>
      <c r="AD162" s="179" t="s">
        <v>83</v>
      </c>
      <c r="AE162" s="179" t="s">
        <v>83</v>
      </c>
      <c r="AF162" s="179" t="s">
        <v>83</v>
      </c>
      <c r="AG162" s="179" t="s">
        <v>83</v>
      </c>
      <c r="AH162" s="179" t="s">
        <v>83</v>
      </c>
      <c r="AI162" s="179" t="s">
        <v>83</v>
      </c>
      <c r="AJ162" s="180">
        <v>1</v>
      </c>
      <c r="AK162" s="180">
        <v>2</v>
      </c>
      <c r="AL162" s="181">
        <v>0.75</v>
      </c>
      <c r="AM162" s="181">
        <v>2.7E-2</v>
      </c>
      <c r="AN162" s="181">
        <v>3</v>
      </c>
      <c r="AQ162" s="182">
        <f>AM162*I162+AL162</f>
        <v>55.83</v>
      </c>
      <c r="AR162" s="182">
        <f t="shared" ref="AR162:AR167" si="176">0.1*AQ162</f>
        <v>5.5830000000000002</v>
      </c>
      <c r="AS162" s="183">
        <f t="shared" ref="AS162:AS167" si="177">AJ162*3+0.25*AK162</f>
        <v>3.5</v>
      </c>
      <c r="AT162" s="183">
        <f t="shared" ref="AT162:AT167" si="178">SUM(AQ162:AS162)/4</f>
        <v>16.228249999999999</v>
      </c>
      <c r="AU162" s="182">
        <f>10068.2*J162*POWER(10,-6)</f>
        <v>20.539127999999998</v>
      </c>
      <c r="AV162" s="183">
        <f t="shared" ref="AV162:AV167" si="179">AU162+AT162+AS162+AR162+AQ162</f>
        <v>101.68037799999999</v>
      </c>
      <c r="AW162" s="184">
        <f t="shared" ref="AW162:AW167" si="180">AJ162*H162</f>
        <v>1.0000000000000002E-6</v>
      </c>
      <c r="AX162" s="184">
        <f t="shared" ref="AX162:AX167" si="181">H162*AK162</f>
        <v>2.0000000000000003E-6</v>
      </c>
      <c r="AY162" s="184">
        <f t="shared" ref="AY162:AY167" si="182">H162*AV162</f>
        <v>1.0168037800000001E-4</v>
      </c>
    </row>
    <row r="163" spans="1:51" s="179" customFormat="1" ht="15" thickBot="1" x14ac:dyDescent="0.35">
      <c r="A163" s="169" t="s">
        <v>19</v>
      </c>
      <c r="B163" s="169" t="str">
        <f>B162</f>
        <v>Резервуар РВС (7810T0002)</v>
      </c>
      <c r="C163" s="171" t="s">
        <v>205</v>
      </c>
      <c r="D163" s="172" t="s">
        <v>59</v>
      </c>
      <c r="E163" s="185">
        <f>E162</f>
        <v>1.0000000000000001E-5</v>
      </c>
      <c r="F163" s="186">
        <f>F162</f>
        <v>1</v>
      </c>
      <c r="G163" s="169">
        <v>0.18000000000000002</v>
      </c>
      <c r="H163" s="174">
        <f t="shared" si="172"/>
        <v>1.8000000000000003E-6</v>
      </c>
      <c r="I163" s="187">
        <f>I162</f>
        <v>2040</v>
      </c>
      <c r="J163" s="187">
        <f>I162</f>
        <v>2040</v>
      </c>
      <c r="K163" s="177" t="s">
        <v>176</v>
      </c>
      <c r="L163" s="178">
        <v>0</v>
      </c>
      <c r="M163" s="179" t="str">
        <f t="shared" si="173"/>
        <v>С2</v>
      </c>
      <c r="N163" s="179" t="str">
        <f t="shared" si="174"/>
        <v>Резервуар РВС (7810T0002)</v>
      </c>
      <c r="O163" s="179" t="str">
        <f t="shared" si="175"/>
        <v>Полное-пожар</v>
      </c>
      <c r="P163" s="179" t="s">
        <v>83</v>
      </c>
      <c r="Q163" s="179" t="s">
        <v>83</v>
      </c>
      <c r="R163" s="179" t="s">
        <v>83</v>
      </c>
      <c r="S163" s="179" t="s">
        <v>83</v>
      </c>
      <c r="T163" s="179" t="s">
        <v>83</v>
      </c>
      <c r="U163" s="179" t="s">
        <v>83</v>
      </c>
      <c r="V163" s="179" t="s">
        <v>83</v>
      </c>
      <c r="W163" s="179" t="s">
        <v>83</v>
      </c>
      <c r="X163" s="179" t="s">
        <v>83</v>
      </c>
      <c r="Y163" s="179" t="s">
        <v>83</v>
      </c>
      <c r="Z163" s="179" t="s">
        <v>83</v>
      </c>
      <c r="AA163" s="179" t="s">
        <v>83</v>
      </c>
      <c r="AB163" s="179" t="s">
        <v>83</v>
      </c>
      <c r="AC163" s="179" t="s">
        <v>83</v>
      </c>
      <c r="AD163" s="179" t="s">
        <v>83</v>
      </c>
      <c r="AE163" s="179" t="s">
        <v>83</v>
      </c>
      <c r="AF163" s="179" t="s">
        <v>83</v>
      </c>
      <c r="AG163" s="179" t="s">
        <v>83</v>
      </c>
      <c r="AH163" s="179" t="s">
        <v>83</v>
      </c>
      <c r="AI163" s="179" t="s">
        <v>83</v>
      </c>
      <c r="AJ163" s="180">
        <v>2</v>
      </c>
      <c r="AK163" s="180">
        <v>2</v>
      </c>
      <c r="AL163" s="179">
        <f>AL162</f>
        <v>0.75</v>
      </c>
      <c r="AM163" s="179">
        <f>AM162</f>
        <v>2.7E-2</v>
      </c>
      <c r="AN163" s="179">
        <f>AN162</f>
        <v>3</v>
      </c>
      <c r="AQ163" s="182">
        <f>AM163*I163+AL163</f>
        <v>55.83</v>
      </c>
      <c r="AR163" s="182">
        <f t="shared" si="176"/>
        <v>5.5830000000000002</v>
      </c>
      <c r="AS163" s="183">
        <f t="shared" si="177"/>
        <v>6.5</v>
      </c>
      <c r="AT163" s="183">
        <f t="shared" si="178"/>
        <v>16.978249999999999</v>
      </c>
      <c r="AU163" s="182">
        <f>10068.2*J163*POWER(10,-6)*10</f>
        <v>205.39127999999999</v>
      </c>
      <c r="AV163" s="183">
        <f t="shared" si="179"/>
        <v>290.28253000000001</v>
      </c>
      <c r="AW163" s="184">
        <f t="shared" si="180"/>
        <v>3.6000000000000007E-6</v>
      </c>
      <c r="AX163" s="184">
        <f t="shared" si="181"/>
        <v>3.6000000000000007E-6</v>
      </c>
      <c r="AY163" s="184">
        <f t="shared" si="182"/>
        <v>5.2250855400000015E-4</v>
      </c>
    </row>
    <row r="164" spans="1:51" s="179" customFormat="1" x14ac:dyDescent="0.3">
      <c r="A164" s="169" t="s">
        <v>20</v>
      </c>
      <c r="B164" s="169" t="str">
        <f>B162</f>
        <v>Резервуар РВС (7810T0002)</v>
      </c>
      <c r="C164" s="171" t="s">
        <v>198</v>
      </c>
      <c r="D164" s="172" t="s">
        <v>60</v>
      </c>
      <c r="E164" s="185">
        <f>E162</f>
        <v>1.0000000000000001E-5</v>
      </c>
      <c r="F164" s="186">
        <f>F162</f>
        <v>1</v>
      </c>
      <c r="G164" s="169">
        <v>0.72000000000000008</v>
      </c>
      <c r="H164" s="174">
        <f t="shared" si="172"/>
        <v>7.2000000000000014E-6</v>
      </c>
      <c r="I164" s="187">
        <f>I162</f>
        <v>2040</v>
      </c>
      <c r="J164" s="169">
        <v>0</v>
      </c>
      <c r="K164" s="177" t="s">
        <v>177</v>
      </c>
      <c r="L164" s="178">
        <v>0</v>
      </c>
      <c r="M164" s="179" t="str">
        <f t="shared" si="173"/>
        <v>С3</v>
      </c>
      <c r="N164" s="179" t="str">
        <f t="shared" si="174"/>
        <v>Резервуар РВС (7810T0002)</v>
      </c>
      <c r="O164" s="179" t="str">
        <f t="shared" si="175"/>
        <v>Полное-ликвидация</v>
      </c>
      <c r="P164" s="179" t="s">
        <v>83</v>
      </c>
      <c r="Q164" s="179" t="s">
        <v>83</v>
      </c>
      <c r="R164" s="179" t="s">
        <v>83</v>
      </c>
      <c r="S164" s="179" t="s">
        <v>83</v>
      </c>
      <c r="T164" s="179" t="s">
        <v>83</v>
      </c>
      <c r="U164" s="179" t="s">
        <v>83</v>
      </c>
      <c r="V164" s="179" t="s">
        <v>83</v>
      </c>
      <c r="W164" s="179" t="s">
        <v>83</v>
      </c>
      <c r="X164" s="179" t="s">
        <v>83</v>
      </c>
      <c r="Y164" s="179" t="s">
        <v>83</v>
      </c>
      <c r="Z164" s="179" t="s">
        <v>83</v>
      </c>
      <c r="AA164" s="179" t="s">
        <v>83</v>
      </c>
      <c r="AB164" s="179" t="s">
        <v>83</v>
      </c>
      <c r="AC164" s="179" t="s">
        <v>83</v>
      </c>
      <c r="AD164" s="179" t="s">
        <v>83</v>
      </c>
      <c r="AE164" s="179" t="s">
        <v>83</v>
      </c>
      <c r="AF164" s="179" t="s">
        <v>83</v>
      </c>
      <c r="AG164" s="179" t="s">
        <v>83</v>
      </c>
      <c r="AH164" s="179" t="s">
        <v>83</v>
      </c>
      <c r="AI164" s="179" t="s">
        <v>83</v>
      </c>
      <c r="AJ164" s="179">
        <v>0</v>
      </c>
      <c r="AK164" s="179">
        <v>0</v>
      </c>
      <c r="AL164" s="179">
        <f>AL162</f>
        <v>0.75</v>
      </c>
      <c r="AM164" s="179">
        <f>AM162</f>
        <v>2.7E-2</v>
      </c>
      <c r="AN164" s="179">
        <f>AN162</f>
        <v>3</v>
      </c>
      <c r="AQ164" s="182">
        <f>AM164*I164*0.1+AL164</f>
        <v>6.258</v>
      </c>
      <c r="AR164" s="182">
        <f t="shared" si="176"/>
        <v>0.62580000000000002</v>
      </c>
      <c r="AS164" s="183">
        <f t="shared" si="177"/>
        <v>0</v>
      </c>
      <c r="AT164" s="183">
        <f t="shared" si="178"/>
        <v>1.72095</v>
      </c>
      <c r="AU164" s="182">
        <f>1333*J163*POWER(10,-6)</f>
        <v>2.7193199999999997</v>
      </c>
      <c r="AV164" s="183">
        <f t="shared" si="179"/>
        <v>11.324069999999999</v>
      </c>
      <c r="AW164" s="184">
        <f t="shared" si="180"/>
        <v>0</v>
      </c>
      <c r="AX164" s="184">
        <f t="shared" si="181"/>
        <v>0</v>
      </c>
      <c r="AY164" s="184">
        <f t="shared" si="182"/>
        <v>8.1533304000000012E-5</v>
      </c>
    </row>
    <row r="165" spans="1:51" s="179" customFormat="1" x14ac:dyDescent="0.3">
      <c r="A165" s="169" t="s">
        <v>21</v>
      </c>
      <c r="B165" s="169" t="str">
        <f>B162</f>
        <v>Резервуар РВС (7810T0002)</v>
      </c>
      <c r="C165" s="171" t="s">
        <v>199</v>
      </c>
      <c r="D165" s="172" t="s">
        <v>84</v>
      </c>
      <c r="E165" s="173">
        <v>1E-4</v>
      </c>
      <c r="F165" s="186">
        <f>F162</f>
        <v>1</v>
      </c>
      <c r="G165" s="169">
        <v>0.1</v>
      </c>
      <c r="H165" s="174">
        <f t="shared" si="172"/>
        <v>1.0000000000000001E-5</v>
      </c>
      <c r="I165" s="187">
        <f>0.15*I162</f>
        <v>306</v>
      </c>
      <c r="J165" s="187">
        <f>I165</f>
        <v>306</v>
      </c>
      <c r="K165" s="190" t="s">
        <v>179</v>
      </c>
      <c r="L165" s="191">
        <v>45390</v>
      </c>
      <c r="M165" s="179" t="str">
        <f t="shared" si="173"/>
        <v>С4</v>
      </c>
      <c r="N165" s="179" t="str">
        <f t="shared" si="174"/>
        <v>Резервуар РВС (7810T0002)</v>
      </c>
      <c r="O165" s="179" t="str">
        <f t="shared" si="175"/>
        <v>Частичное-пожар</v>
      </c>
      <c r="P165" s="179" t="s">
        <v>83</v>
      </c>
      <c r="Q165" s="179" t="s">
        <v>83</v>
      </c>
      <c r="R165" s="179" t="s">
        <v>83</v>
      </c>
      <c r="S165" s="179" t="s">
        <v>83</v>
      </c>
      <c r="T165" s="179" t="s">
        <v>83</v>
      </c>
      <c r="U165" s="179" t="s">
        <v>83</v>
      </c>
      <c r="V165" s="179" t="s">
        <v>83</v>
      </c>
      <c r="W165" s="179" t="s">
        <v>83</v>
      </c>
      <c r="X165" s="179" t="s">
        <v>83</v>
      </c>
      <c r="Y165" s="179" t="s">
        <v>83</v>
      </c>
      <c r="Z165" s="179" t="s">
        <v>83</v>
      </c>
      <c r="AA165" s="179" t="s">
        <v>83</v>
      </c>
      <c r="AB165" s="179" t="s">
        <v>83</v>
      </c>
      <c r="AC165" s="179" t="s">
        <v>83</v>
      </c>
      <c r="AD165" s="179" t="s">
        <v>83</v>
      </c>
      <c r="AE165" s="179" t="s">
        <v>83</v>
      </c>
      <c r="AF165" s="179" t="s">
        <v>83</v>
      </c>
      <c r="AG165" s="179" t="s">
        <v>83</v>
      </c>
      <c r="AH165" s="179" t="s">
        <v>83</v>
      </c>
      <c r="AI165" s="179" t="s">
        <v>83</v>
      </c>
      <c r="AJ165" s="179">
        <v>0</v>
      </c>
      <c r="AK165" s="179">
        <v>2</v>
      </c>
      <c r="AL165" s="179">
        <f>0.1*$AL$2</f>
        <v>7.5000000000000002E-4</v>
      </c>
      <c r="AM165" s="179">
        <f>AM162</f>
        <v>2.7E-2</v>
      </c>
      <c r="AN165" s="179">
        <f>ROUNDUP(AN162/3,0)</f>
        <v>1</v>
      </c>
      <c r="AQ165" s="182">
        <f>AM165*I165+AL165</f>
        <v>8.2627500000000005</v>
      </c>
      <c r="AR165" s="182">
        <f t="shared" si="176"/>
        <v>0.82627500000000009</v>
      </c>
      <c r="AS165" s="183">
        <f t="shared" si="177"/>
        <v>0.5</v>
      </c>
      <c r="AT165" s="183">
        <f t="shared" si="178"/>
        <v>2.3972562500000003</v>
      </c>
      <c r="AU165" s="182">
        <f>10068.2*J165*POWER(10,-6)</f>
        <v>3.0808692</v>
      </c>
      <c r="AV165" s="183">
        <f t="shared" si="179"/>
        <v>15.06715045</v>
      </c>
      <c r="AW165" s="184">
        <f t="shared" si="180"/>
        <v>0</v>
      </c>
      <c r="AX165" s="184">
        <f t="shared" si="181"/>
        <v>2.0000000000000002E-5</v>
      </c>
      <c r="AY165" s="184">
        <f t="shared" si="182"/>
        <v>1.506715045E-4</v>
      </c>
    </row>
    <row r="166" spans="1:51" s="179" customFormat="1" x14ac:dyDescent="0.3">
      <c r="A166" s="169" t="s">
        <v>22</v>
      </c>
      <c r="B166" s="169" t="str">
        <f>B162</f>
        <v>Резервуар РВС (7810T0002)</v>
      </c>
      <c r="C166" s="171" t="s">
        <v>206</v>
      </c>
      <c r="D166" s="172" t="s">
        <v>84</v>
      </c>
      <c r="E166" s="185">
        <f>E165</f>
        <v>1E-4</v>
      </c>
      <c r="F166" s="186">
        <f>F162</f>
        <v>1</v>
      </c>
      <c r="G166" s="169">
        <v>4.5000000000000005E-2</v>
      </c>
      <c r="H166" s="174">
        <f t="shared" si="172"/>
        <v>4.500000000000001E-6</v>
      </c>
      <c r="I166" s="187">
        <f>0.15*I162</f>
        <v>306</v>
      </c>
      <c r="J166" s="187">
        <f>I165</f>
        <v>306</v>
      </c>
      <c r="K166" s="190" t="s">
        <v>180</v>
      </c>
      <c r="L166" s="191">
        <v>3</v>
      </c>
      <c r="M166" s="179" t="str">
        <f t="shared" si="173"/>
        <v>С5</v>
      </c>
      <c r="N166" s="179" t="str">
        <f t="shared" si="174"/>
        <v>Резервуар РВС (7810T0002)</v>
      </c>
      <c r="O166" s="179" t="str">
        <f t="shared" si="175"/>
        <v>Частичное-пожар</v>
      </c>
      <c r="P166" s="179" t="s">
        <v>83</v>
      </c>
      <c r="Q166" s="179" t="s">
        <v>83</v>
      </c>
      <c r="R166" s="179" t="s">
        <v>83</v>
      </c>
      <c r="S166" s="179" t="s">
        <v>83</v>
      </c>
      <c r="T166" s="179" t="s">
        <v>83</v>
      </c>
      <c r="U166" s="179" t="s">
        <v>83</v>
      </c>
      <c r="V166" s="179" t="s">
        <v>83</v>
      </c>
      <c r="W166" s="179" t="s">
        <v>83</v>
      </c>
      <c r="X166" s="179" t="s">
        <v>83</v>
      </c>
      <c r="Y166" s="179" t="s">
        <v>83</v>
      </c>
      <c r="Z166" s="179" t="s">
        <v>83</v>
      </c>
      <c r="AA166" s="179" t="s">
        <v>83</v>
      </c>
      <c r="AB166" s="179" t="s">
        <v>83</v>
      </c>
      <c r="AC166" s="179" t="s">
        <v>83</v>
      </c>
      <c r="AD166" s="179" t="s">
        <v>83</v>
      </c>
      <c r="AE166" s="179" t="s">
        <v>83</v>
      </c>
      <c r="AF166" s="179" t="s">
        <v>83</v>
      </c>
      <c r="AG166" s="179" t="s">
        <v>83</v>
      </c>
      <c r="AH166" s="179" t="s">
        <v>83</v>
      </c>
      <c r="AI166" s="179" t="s">
        <v>83</v>
      </c>
      <c r="AJ166" s="179">
        <v>0</v>
      </c>
      <c r="AK166" s="179">
        <v>1</v>
      </c>
      <c r="AL166" s="179">
        <f>0.1*$AL$2</f>
        <v>7.5000000000000002E-4</v>
      </c>
      <c r="AM166" s="179">
        <f>AM162</f>
        <v>2.7E-2</v>
      </c>
      <c r="AN166" s="179">
        <f>ROUNDUP(AN162/3,0)</f>
        <v>1</v>
      </c>
      <c r="AQ166" s="182">
        <f>AM166*I166+AL166</f>
        <v>8.2627500000000005</v>
      </c>
      <c r="AR166" s="182">
        <f t="shared" si="176"/>
        <v>0.82627500000000009</v>
      </c>
      <c r="AS166" s="183">
        <f t="shared" si="177"/>
        <v>0.25</v>
      </c>
      <c r="AT166" s="183">
        <f t="shared" si="178"/>
        <v>2.3347562500000003</v>
      </c>
      <c r="AU166" s="182">
        <f>10068.2*J166*POWER(10,-6)*10</f>
        <v>30.808692000000001</v>
      </c>
      <c r="AV166" s="183">
        <f t="shared" si="179"/>
        <v>42.482473249999998</v>
      </c>
      <c r="AW166" s="184">
        <f t="shared" si="180"/>
        <v>0</v>
      </c>
      <c r="AX166" s="184">
        <f t="shared" si="181"/>
        <v>4.500000000000001E-6</v>
      </c>
      <c r="AY166" s="184">
        <f t="shared" si="182"/>
        <v>1.9117112962500004E-4</v>
      </c>
    </row>
    <row r="167" spans="1:51" s="179" customFormat="1" ht="15" thickBot="1" x14ac:dyDescent="0.35">
      <c r="A167" s="169" t="s">
        <v>23</v>
      </c>
      <c r="B167" s="169" t="str">
        <f>B162</f>
        <v>Резервуар РВС (7810T0002)</v>
      </c>
      <c r="C167" s="171" t="s">
        <v>201</v>
      </c>
      <c r="D167" s="172" t="s">
        <v>61</v>
      </c>
      <c r="E167" s="185">
        <f>E165</f>
        <v>1E-4</v>
      </c>
      <c r="F167" s="186">
        <f>F162</f>
        <v>1</v>
      </c>
      <c r="G167" s="169">
        <v>0.85499999999999998</v>
      </c>
      <c r="H167" s="174">
        <f t="shared" si="172"/>
        <v>8.5500000000000005E-5</v>
      </c>
      <c r="I167" s="187">
        <f>0.15*I162</f>
        <v>306</v>
      </c>
      <c r="J167" s="169">
        <v>0</v>
      </c>
      <c r="K167" s="192" t="s">
        <v>191</v>
      </c>
      <c r="L167" s="192">
        <v>11</v>
      </c>
      <c r="M167" s="179" t="str">
        <f t="shared" si="173"/>
        <v>С6</v>
      </c>
      <c r="N167" s="179" t="str">
        <f t="shared" si="174"/>
        <v>Резервуар РВС (7810T0002)</v>
      </c>
      <c r="O167" s="179" t="str">
        <f t="shared" si="175"/>
        <v>Частичное-ликвидация</v>
      </c>
      <c r="P167" s="179" t="s">
        <v>83</v>
      </c>
      <c r="Q167" s="179" t="s">
        <v>83</v>
      </c>
      <c r="R167" s="179" t="s">
        <v>83</v>
      </c>
      <c r="S167" s="179" t="s">
        <v>83</v>
      </c>
      <c r="T167" s="179" t="s">
        <v>83</v>
      </c>
      <c r="U167" s="179" t="s">
        <v>83</v>
      </c>
      <c r="V167" s="179" t="s">
        <v>83</v>
      </c>
      <c r="W167" s="179" t="s">
        <v>83</v>
      </c>
      <c r="X167" s="179" t="s">
        <v>83</v>
      </c>
      <c r="Y167" s="179" t="s">
        <v>83</v>
      </c>
      <c r="Z167" s="179" t="s">
        <v>83</v>
      </c>
      <c r="AA167" s="179" t="s">
        <v>83</v>
      </c>
      <c r="AB167" s="179" t="s">
        <v>83</v>
      </c>
      <c r="AC167" s="179" t="s">
        <v>83</v>
      </c>
      <c r="AD167" s="179" t="s">
        <v>83</v>
      </c>
      <c r="AE167" s="179" t="s">
        <v>83</v>
      </c>
      <c r="AF167" s="179" t="s">
        <v>83</v>
      </c>
      <c r="AG167" s="179" t="s">
        <v>83</v>
      </c>
      <c r="AH167" s="179" t="s">
        <v>83</v>
      </c>
      <c r="AI167" s="179" t="s">
        <v>83</v>
      </c>
      <c r="AJ167" s="179">
        <v>0</v>
      </c>
      <c r="AK167" s="179">
        <v>0</v>
      </c>
      <c r="AL167" s="179">
        <f>0.1*$AL$2</f>
        <v>7.5000000000000002E-4</v>
      </c>
      <c r="AM167" s="179">
        <f>AM162</f>
        <v>2.7E-2</v>
      </c>
      <c r="AN167" s="179">
        <f>ROUNDUP(AN162/3,0)</f>
        <v>1</v>
      </c>
      <c r="AQ167" s="182">
        <f>AM167*I167*0.1+AL167</f>
        <v>0.82695000000000007</v>
      </c>
      <c r="AR167" s="182">
        <f t="shared" si="176"/>
        <v>8.2695000000000018E-2</v>
      </c>
      <c r="AS167" s="183">
        <f t="shared" si="177"/>
        <v>0</v>
      </c>
      <c r="AT167" s="183">
        <f t="shared" si="178"/>
        <v>0.22741125000000001</v>
      </c>
      <c r="AU167" s="182">
        <f>1333*J166*POWER(10,-6)</f>
        <v>0.40789799999999998</v>
      </c>
      <c r="AV167" s="183">
        <f t="shared" si="179"/>
        <v>1.54495425</v>
      </c>
      <c r="AW167" s="184">
        <f t="shared" si="180"/>
        <v>0</v>
      </c>
      <c r="AX167" s="184">
        <f t="shared" si="181"/>
        <v>0</v>
      </c>
      <c r="AY167" s="184">
        <f t="shared" si="182"/>
        <v>1.3209358837500002E-4</v>
      </c>
    </row>
    <row r="168" spans="1:51" s="179" customFormat="1" x14ac:dyDescent="0.3">
      <c r="A168" s="180"/>
      <c r="B168" s="180"/>
      <c r="D168" s="271"/>
      <c r="E168" s="272"/>
      <c r="F168" s="273"/>
      <c r="G168" s="180"/>
      <c r="H168" s="184"/>
      <c r="I168" s="183"/>
      <c r="J168" s="180"/>
      <c r="K168" s="180"/>
      <c r="L168" s="180"/>
      <c r="AQ168" s="182"/>
      <c r="AR168" s="182"/>
      <c r="AS168" s="183"/>
      <c r="AT168" s="183"/>
      <c r="AU168" s="182"/>
      <c r="AV168" s="183"/>
      <c r="AW168" s="184"/>
      <c r="AX168" s="184"/>
      <c r="AY168" s="184"/>
    </row>
    <row r="169" spans="1:51" s="179" customFormat="1" x14ac:dyDescent="0.3">
      <c r="A169" s="180"/>
      <c r="B169" s="180"/>
      <c r="D169" s="271"/>
      <c r="E169" s="272"/>
      <c r="F169" s="273"/>
      <c r="G169" s="180"/>
      <c r="H169" s="184"/>
      <c r="I169" s="183"/>
      <c r="J169" s="180"/>
      <c r="K169" s="180"/>
      <c r="L169" s="180"/>
      <c r="AQ169" s="182"/>
      <c r="AR169" s="182"/>
      <c r="AS169" s="183"/>
      <c r="AT169" s="183"/>
      <c r="AU169" s="182"/>
      <c r="AV169" s="183"/>
      <c r="AW169" s="184"/>
      <c r="AX169" s="184"/>
      <c r="AY169" s="184"/>
    </row>
    <row r="170" spans="1:51" s="179" customFormat="1" x14ac:dyDescent="0.3">
      <c r="A170" s="180"/>
      <c r="B170" s="180"/>
      <c r="D170" s="271"/>
      <c r="E170" s="272"/>
      <c r="F170" s="273"/>
      <c r="G170" s="180"/>
      <c r="H170" s="184"/>
      <c r="I170" s="183"/>
      <c r="J170" s="180"/>
      <c r="K170" s="180"/>
      <c r="L170" s="180"/>
      <c r="AQ170" s="182"/>
      <c r="AR170" s="182"/>
      <c r="AS170" s="183"/>
      <c r="AT170" s="183"/>
      <c r="AU170" s="182"/>
      <c r="AV170" s="183"/>
      <c r="AW170" s="184"/>
      <c r="AX170" s="184"/>
      <c r="AY170" s="184"/>
    </row>
    <row r="171" spans="1:51" ht="15" thickBot="1" x14ac:dyDescent="0.35"/>
    <row r="172" spans="1:51" s="179" customFormat="1" ht="15" thickBot="1" x14ac:dyDescent="0.35">
      <c r="A172" s="169" t="s">
        <v>18</v>
      </c>
      <c r="B172" s="312" t="s">
        <v>607</v>
      </c>
      <c r="C172" s="171" t="s">
        <v>196</v>
      </c>
      <c r="D172" s="172" t="s">
        <v>59</v>
      </c>
      <c r="E172" s="173">
        <v>1.0000000000000001E-5</v>
      </c>
      <c r="F172" s="170">
        <v>1</v>
      </c>
      <c r="G172" s="169">
        <v>0.1</v>
      </c>
      <c r="H172" s="174">
        <f t="shared" ref="H172:H177" si="183">E172*F172*G172</f>
        <v>1.0000000000000002E-6</v>
      </c>
      <c r="I172" s="175">
        <v>1920</v>
      </c>
      <c r="J172" s="187">
        <f>I172</f>
        <v>1920</v>
      </c>
      <c r="K172" s="177" t="s">
        <v>175</v>
      </c>
      <c r="L172" s="178">
        <v>4556</v>
      </c>
      <c r="M172" s="179" t="str">
        <f t="shared" ref="M172:M177" si="184">A172</f>
        <v>С1</v>
      </c>
      <c r="N172" s="179" t="str">
        <f t="shared" ref="N172:N177" si="185">B172</f>
        <v>Резервуар РВС (8311T0001)</v>
      </c>
      <c r="O172" s="179" t="str">
        <f t="shared" ref="O172:O177" si="186">D172</f>
        <v>Полное-пожар</v>
      </c>
      <c r="P172" s="179" t="s">
        <v>83</v>
      </c>
      <c r="Q172" s="179" t="s">
        <v>83</v>
      </c>
      <c r="R172" s="179" t="s">
        <v>83</v>
      </c>
      <c r="S172" s="179" t="s">
        <v>83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0.75</v>
      </c>
      <c r="AM172" s="181">
        <v>2.7E-2</v>
      </c>
      <c r="AN172" s="181">
        <v>3</v>
      </c>
      <c r="AQ172" s="182">
        <f>AM172*I172+AL172</f>
        <v>52.589999999999996</v>
      </c>
      <c r="AR172" s="182">
        <f t="shared" ref="AR172:AR177" si="187">0.1*AQ172</f>
        <v>5.2590000000000003</v>
      </c>
      <c r="AS172" s="183">
        <f t="shared" ref="AS172:AS177" si="188">AJ172*3+0.25*AK172</f>
        <v>3.5</v>
      </c>
      <c r="AT172" s="183">
        <f t="shared" ref="AT172:AT177" si="189">SUM(AQ172:AS172)/4</f>
        <v>15.337249999999999</v>
      </c>
      <c r="AU172" s="182">
        <f>10068.2*J172*POWER(10,-6)</f>
        <v>19.330943999999999</v>
      </c>
      <c r="AV172" s="183">
        <f t="shared" ref="AV172:AV177" si="190">AU172+AT172+AS172+AR172+AQ172</f>
        <v>96.017193999999989</v>
      </c>
      <c r="AW172" s="184">
        <f t="shared" ref="AW172:AW177" si="191">AJ172*H172</f>
        <v>1.0000000000000002E-6</v>
      </c>
      <c r="AX172" s="184">
        <f t="shared" ref="AX172:AX177" si="192">H172*AK172</f>
        <v>2.0000000000000003E-6</v>
      </c>
      <c r="AY172" s="184">
        <f t="shared" ref="AY172:AY177" si="193">H172*AV172</f>
        <v>9.601719400000001E-5</v>
      </c>
    </row>
    <row r="173" spans="1:51" s="179" customFormat="1" ht="15" thickBot="1" x14ac:dyDescent="0.35">
      <c r="A173" s="169" t="s">
        <v>19</v>
      </c>
      <c r="B173" s="169" t="str">
        <f>B172</f>
        <v>Резервуар РВС (8311T0001)</v>
      </c>
      <c r="C173" s="171" t="s">
        <v>205</v>
      </c>
      <c r="D173" s="172" t="s">
        <v>59</v>
      </c>
      <c r="E173" s="185">
        <f>E172</f>
        <v>1.0000000000000001E-5</v>
      </c>
      <c r="F173" s="186">
        <f>F172</f>
        <v>1</v>
      </c>
      <c r="G173" s="169">
        <v>0.18000000000000002</v>
      </c>
      <c r="H173" s="174">
        <f t="shared" si="183"/>
        <v>1.8000000000000003E-6</v>
      </c>
      <c r="I173" s="187">
        <f>I172</f>
        <v>1920</v>
      </c>
      <c r="J173" s="187">
        <f>I172</f>
        <v>1920</v>
      </c>
      <c r="K173" s="177" t="s">
        <v>176</v>
      </c>
      <c r="L173" s="178">
        <v>0</v>
      </c>
      <c r="M173" s="179" t="str">
        <f t="shared" si="184"/>
        <v>С2</v>
      </c>
      <c r="N173" s="179" t="str">
        <f t="shared" si="185"/>
        <v>Резервуар РВС (8311T0001)</v>
      </c>
      <c r="O173" s="179" t="str">
        <f t="shared" si="186"/>
        <v>Полное-пожар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 t="s">
        <v>83</v>
      </c>
      <c r="U173" s="179" t="s">
        <v>83</v>
      </c>
      <c r="V173" s="179" t="s">
        <v>83</v>
      </c>
      <c r="W173" s="179" t="s">
        <v>83</v>
      </c>
      <c r="X173" s="179" t="s">
        <v>83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0.75</v>
      </c>
      <c r="AM173" s="179">
        <f>AM172</f>
        <v>2.7E-2</v>
      </c>
      <c r="AN173" s="179">
        <f>AN172</f>
        <v>3</v>
      </c>
      <c r="AQ173" s="182">
        <f>AM173*I173+AL173</f>
        <v>52.589999999999996</v>
      </c>
      <c r="AR173" s="182">
        <f t="shared" si="187"/>
        <v>5.2590000000000003</v>
      </c>
      <c r="AS173" s="183">
        <f t="shared" si="188"/>
        <v>6.5</v>
      </c>
      <c r="AT173" s="183">
        <f t="shared" si="189"/>
        <v>16.087249999999997</v>
      </c>
      <c r="AU173" s="182">
        <f>10068.2*J173*POWER(10,-6)*10</f>
        <v>193.30944</v>
      </c>
      <c r="AV173" s="183">
        <f t="shared" si="190"/>
        <v>273.74568999999997</v>
      </c>
      <c r="AW173" s="184">
        <f t="shared" si="191"/>
        <v>3.6000000000000007E-6</v>
      </c>
      <c r="AX173" s="184">
        <f t="shared" si="192"/>
        <v>3.6000000000000007E-6</v>
      </c>
      <c r="AY173" s="184">
        <f t="shared" si="193"/>
        <v>4.9274224200000002E-4</v>
      </c>
    </row>
    <row r="174" spans="1:51" s="179" customFormat="1" x14ac:dyDescent="0.3">
      <c r="A174" s="169" t="s">
        <v>20</v>
      </c>
      <c r="B174" s="169" t="str">
        <f>B172</f>
        <v>Резервуар РВС (8311T0001)</v>
      </c>
      <c r="C174" s="171" t="s">
        <v>198</v>
      </c>
      <c r="D174" s="172" t="s">
        <v>60</v>
      </c>
      <c r="E174" s="185">
        <f>E172</f>
        <v>1.0000000000000001E-5</v>
      </c>
      <c r="F174" s="186">
        <f>F172</f>
        <v>1</v>
      </c>
      <c r="G174" s="169">
        <v>0.72000000000000008</v>
      </c>
      <c r="H174" s="174">
        <f t="shared" si="183"/>
        <v>7.2000000000000014E-6</v>
      </c>
      <c r="I174" s="187">
        <f>I172</f>
        <v>1920</v>
      </c>
      <c r="J174" s="169">
        <v>0</v>
      </c>
      <c r="K174" s="177" t="s">
        <v>177</v>
      </c>
      <c r="L174" s="178">
        <v>0</v>
      </c>
      <c r="M174" s="179" t="str">
        <f t="shared" si="184"/>
        <v>С3</v>
      </c>
      <c r="N174" s="179" t="str">
        <f t="shared" si="185"/>
        <v>Резервуар РВС (8311T0001)</v>
      </c>
      <c r="O174" s="179" t="str">
        <f t="shared" si="186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0.75</v>
      </c>
      <c r="AM174" s="179">
        <f>AM172</f>
        <v>2.7E-2</v>
      </c>
      <c r="AN174" s="179">
        <f>AN172</f>
        <v>3</v>
      </c>
      <c r="AQ174" s="182">
        <f>AM174*I174*0.1+AL174</f>
        <v>5.9340000000000002</v>
      </c>
      <c r="AR174" s="182">
        <f t="shared" si="187"/>
        <v>0.59340000000000004</v>
      </c>
      <c r="AS174" s="183">
        <f t="shared" si="188"/>
        <v>0</v>
      </c>
      <c r="AT174" s="183">
        <f t="shared" si="189"/>
        <v>1.63185</v>
      </c>
      <c r="AU174" s="182">
        <f>1333*J173*POWER(10,-6)</f>
        <v>2.5593599999999999</v>
      </c>
      <c r="AV174" s="183">
        <f t="shared" si="190"/>
        <v>10.71861</v>
      </c>
      <c r="AW174" s="184">
        <f t="shared" si="191"/>
        <v>0</v>
      </c>
      <c r="AX174" s="184">
        <f t="shared" si="192"/>
        <v>0</v>
      </c>
      <c r="AY174" s="184">
        <f t="shared" si="193"/>
        <v>7.7173992000000008E-5</v>
      </c>
    </row>
    <row r="175" spans="1:51" s="179" customFormat="1" x14ac:dyDescent="0.3">
      <c r="A175" s="169" t="s">
        <v>21</v>
      </c>
      <c r="B175" s="169" t="str">
        <f>B172</f>
        <v>Резервуар РВС (8311T0001)</v>
      </c>
      <c r="C175" s="171" t="s">
        <v>199</v>
      </c>
      <c r="D175" s="172" t="s">
        <v>84</v>
      </c>
      <c r="E175" s="173">
        <v>1E-4</v>
      </c>
      <c r="F175" s="186">
        <f>F172</f>
        <v>1</v>
      </c>
      <c r="G175" s="169">
        <v>0.1</v>
      </c>
      <c r="H175" s="174">
        <f t="shared" si="183"/>
        <v>1.0000000000000001E-5</v>
      </c>
      <c r="I175" s="187">
        <f>0.15*I172</f>
        <v>288</v>
      </c>
      <c r="J175" s="187">
        <f>I175</f>
        <v>288</v>
      </c>
      <c r="K175" s="190" t="s">
        <v>179</v>
      </c>
      <c r="L175" s="191">
        <v>45390</v>
      </c>
      <c r="M175" s="179" t="str">
        <f t="shared" si="184"/>
        <v>С4</v>
      </c>
      <c r="N175" s="179" t="str">
        <f t="shared" si="185"/>
        <v>Резервуар РВС (8311T0001)</v>
      </c>
      <c r="O175" s="179" t="str">
        <f t="shared" si="186"/>
        <v>Частичное-пожар</v>
      </c>
      <c r="P175" s="179" t="s">
        <v>83</v>
      </c>
      <c r="Q175" s="179" t="s">
        <v>83</v>
      </c>
      <c r="R175" s="179" t="s">
        <v>83</v>
      </c>
      <c r="S175" s="179" t="s">
        <v>83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0.1*$AL$2</f>
        <v>7.5000000000000002E-4</v>
      </c>
      <c r="AM175" s="179">
        <f>AM172</f>
        <v>2.7E-2</v>
      </c>
      <c r="AN175" s="179">
        <f>ROUNDUP(AN172/3,0)</f>
        <v>1</v>
      </c>
      <c r="AQ175" s="182">
        <f>AM175*I175+AL175</f>
        <v>7.7767499999999998</v>
      </c>
      <c r="AR175" s="182">
        <f t="shared" si="187"/>
        <v>0.77767500000000001</v>
      </c>
      <c r="AS175" s="183">
        <f t="shared" si="188"/>
        <v>0.5</v>
      </c>
      <c r="AT175" s="183">
        <f t="shared" si="189"/>
        <v>2.26360625</v>
      </c>
      <c r="AU175" s="182">
        <f>10068.2*J175*POWER(10,-6)</f>
        <v>2.8996415999999998</v>
      </c>
      <c r="AV175" s="183">
        <f t="shared" si="190"/>
        <v>14.21767285</v>
      </c>
      <c r="AW175" s="184">
        <f t="shared" si="191"/>
        <v>0</v>
      </c>
      <c r="AX175" s="184">
        <f t="shared" si="192"/>
        <v>2.0000000000000002E-5</v>
      </c>
      <c r="AY175" s="184">
        <f t="shared" si="193"/>
        <v>1.421767285E-4</v>
      </c>
    </row>
    <row r="176" spans="1:51" s="179" customFormat="1" x14ac:dyDescent="0.3">
      <c r="A176" s="169" t="s">
        <v>22</v>
      </c>
      <c r="B176" s="169" t="str">
        <f>B172</f>
        <v>Резервуар РВС (8311T0001)</v>
      </c>
      <c r="C176" s="171" t="s">
        <v>206</v>
      </c>
      <c r="D176" s="172" t="s">
        <v>84</v>
      </c>
      <c r="E176" s="185">
        <f>E175</f>
        <v>1E-4</v>
      </c>
      <c r="F176" s="186">
        <f>F172</f>
        <v>1</v>
      </c>
      <c r="G176" s="169">
        <v>4.5000000000000005E-2</v>
      </c>
      <c r="H176" s="174">
        <f t="shared" si="183"/>
        <v>4.500000000000001E-6</v>
      </c>
      <c r="I176" s="187">
        <f>0.15*I172</f>
        <v>288</v>
      </c>
      <c r="J176" s="187">
        <f>I175</f>
        <v>288</v>
      </c>
      <c r="K176" s="190" t="s">
        <v>180</v>
      </c>
      <c r="L176" s="191">
        <v>3</v>
      </c>
      <c r="M176" s="179" t="str">
        <f t="shared" si="184"/>
        <v>С5</v>
      </c>
      <c r="N176" s="179" t="str">
        <f t="shared" si="185"/>
        <v>Резервуар РВС (8311T0001)</v>
      </c>
      <c r="O176" s="179" t="str">
        <f t="shared" si="186"/>
        <v>Частичное-пожар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 t="s">
        <v>83</v>
      </c>
      <c r="AB176" s="179" t="s">
        <v>83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>0.1*$AL$2</f>
        <v>7.5000000000000002E-4</v>
      </c>
      <c r="AM176" s="179">
        <f>AM172</f>
        <v>2.7E-2</v>
      </c>
      <c r="AN176" s="179">
        <f>ROUNDUP(AN172/3,0)</f>
        <v>1</v>
      </c>
      <c r="AQ176" s="182">
        <f>AM176*I176+AL176</f>
        <v>7.7767499999999998</v>
      </c>
      <c r="AR176" s="182">
        <f t="shared" si="187"/>
        <v>0.77767500000000001</v>
      </c>
      <c r="AS176" s="183">
        <f t="shared" si="188"/>
        <v>0.25</v>
      </c>
      <c r="AT176" s="183">
        <f t="shared" si="189"/>
        <v>2.20110625</v>
      </c>
      <c r="AU176" s="182">
        <f>10068.2*J176*POWER(10,-6)*10</f>
        <v>28.996415999999996</v>
      </c>
      <c r="AV176" s="183">
        <f t="shared" si="190"/>
        <v>40.001947249999994</v>
      </c>
      <c r="AW176" s="184">
        <f t="shared" si="191"/>
        <v>0</v>
      </c>
      <c r="AX176" s="184">
        <f t="shared" si="192"/>
        <v>4.500000000000001E-6</v>
      </c>
      <c r="AY176" s="184">
        <f t="shared" si="193"/>
        <v>1.8000876262500002E-4</v>
      </c>
    </row>
    <row r="177" spans="1:51" s="179" customFormat="1" ht="15" thickBot="1" x14ac:dyDescent="0.35">
      <c r="A177" s="169" t="s">
        <v>23</v>
      </c>
      <c r="B177" s="169" t="str">
        <f>B172</f>
        <v>Резервуар РВС (8311T0001)</v>
      </c>
      <c r="C177" s="171" t="s">
        <v>201</v>
      </c>
      <c r="D177" s="172" t="s">
        <v>61</v>
      </c>
      <c r="E177" s="185">
        <f>E175</f>
        <v>1E-4</v>
      </c>
      <c r="F177" s="186">
        <f>F172</f>
        <v>1</v>
      </c>
      <c r="G177" s="169">
        <v>0.85499999999999998</v>
      </c>
      <c r="H177" s="174">
        <f t="shared" si="183"/>
        <v>8.5500000000000005E-5</v>
      </c>
      <c r="I177" s="187">
        <f>0.15*I172</f>
        <v>288</v>
      </c>
      <c r="J177" s="169">
        <v>0</v>
      </c>
      <c r="K177" s="192" t="s">
        <v>191</v>
      </c>
      <c r="L177" s="192">
        <v>11</v>
      </c>
      <c r="M177" s="179" t="str">
        <f t="shared" si="184"/>
        <v>С6</v>
      </c>
      <c r="N177" s="179" t="str">
        <f t="shared" si="185"/>
        <v>Резервуар РВС (8311T0001)</v>
      </c>
      <c r="O177" s="179" t="str">
        <f t="shared" si="186"/>
        <v>Частичное-ликвидация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>0.1*$AL$2</f>
        <v>7.5000000000000002E-4</v>
      </c>
      <c r="AM177" s="179">
        <f>AM172</f>
        <v>2.7E-2</v>
      </c>
      <c r="AN177" s="179">
        <f>ROUNDUP(AN172/3,0)</f>
        <v>1</v>
      </c>
      <c r="AQ177" s="182">
        <f>AM177*I177*0.1+AL177</f>
        <v>0.7783500000000001</v>
      </c>
      <c r="AR177" s="182">
        <f t="shared" si="187"/>
        <v>7.7835000000000015E-2</v>
      </c>
      <c r="AS177" s="183">
        <f t="shared" si="188"/>
        <v>0</v>
      </c>
      <c r="AT177" s="183">
        <f t="shared" si="189"/>
        <v>0.21404625000000002</v>
      </c>
      <c r="AU177" s="182">
        <f>1333*J176*POWER(10,-6)</f>
        <v>0.38390399999999997</v>
      </c>
      <c r="AV177" s="183">
        <f t="shared" si="190"/>
        <v>1.4541352500000002</v>
      </c>
      <c r="AW177" s="184">
        <f t="shared" si="191"/>
        <v>0</v>
      </c>
      <c r="AX177" s="184">
        <f t="shared" si="192"/>
        <v>0</v>
      </c>
      <c r="AY177" s="184">
        <f t="shared" si="193"/>
        <v>1.2432856387500002E-4</v>
      </c>
    </row>
    <row r="178" spans="1:51" s="179" customFormat="1" x14ac:dyDescent="0.3">
      <c r="A178" s="180"/>
      <c r="B178" s="180"/>
      <c r="D178" s="271"/>
      <c r="E178" s="272"/>
      <c r="F178" s="273"/>
      <c r="G178" s="180"/>
      <c r="H178" s="184"/>
      <c r="I178" s="183"/>
      <c r="J178" s="180"/>
      <c r="K178" s="180"/>
      <c r="L178" s="180"/>
      <c r="AQ178" s="182"/>
      <c r="AR178" s="182"/>
      <c r="AS178" s="183"/>
      <c r="AT178" s="183"/>
      <c r="AU178" s="182"/>
      <c r="AV178" s="183"/>
      <c r="AW178" s="184"/>
      <c r="AX178" s="184"/>
      <c r="AY178" s="184"/>
    </row>
    <row r="179" spans="1:51" s="179" customFormat="1" x14ac:dyDescent="0.3">
      <c r="A179" s="180"/>
      <c r="B179" s="180"/>
      <c r="D179" s="271"/>
      <c r="E179" s="272"/>
      <c r="F179" s="273"/>
      <c r="G179" s="180"/>
      <c r="H179" s="184"/>
      <c r="I179" s="183"/>
      <c r="J179" s="180"/>
      <c r="K179" s="180"/>
      <c r="L179" s="180"/>
      <c r="AQ179" s="182"/>
      <c r="AR179" s="182"/>
      <c r="AS179" s="183"/>
      <c r="AT179" s="183"/>
      <c r="AU179" s="182"/>
      <c r="AV179" s="183"/>
      <c r="AW179" s="184"/>
      <c r="AX179" s="184"/>
      <c r="AY179" s="184"/>
    </row>
    <row r="180" spans="1:51" s="179" customFormat="1" x14ac:dyDescent="0.3">
      <c r="A180" s="180"/>
      <c r="B180" s="180"/>
      <c r="D180" s="271"/>
      <c r="E180" s="272"/>
      <c r="F180" s="273"/>
      <c r="G180" s="180"/>
      <c r="H180" s="184"/>
      <c r="I180" s="183"/>
      <c r="J180" s="180"/>
      <c r="K180" s="180"/>
      <c r="L180" s="180"/>
      <c r="AQ180" s="182"/>
      <c r="AR180" s="182"/>
      <c r="AS180" s="183"/>
      <c r="AT180" s="183"/>
      <c r="AU180" s="182"/>
      <c r="AV180" s="183"/>
      <c r="AW180" s="184"/>
      <c r="AX180" s="184"/>
      <c r="AY180" s="184"/>
    </row>
    <row r="181" spans="1:51" ht="15" thickBot="1" x14ac:dyDescent="0.35"/>
    <row r="182" spans="1:51" s="179" customFormat="1" ht="15" thickBot="1" x14ac:dyDescent="0.35">
      <c r="A182" s="169" t="s">
        <v>18</v>
      </c>
      <c r="B182" s="312" t="s">
        <v>608</v>
      </c>
      <c r="C182" s="171" t="s">
        <v>196</v>
      </c>
      <c r="D182" s="172" t="s">
        <v>59</v>
      </c>
      <c r="E182" s="173">
        <v>1.0000000000000001E-5</v>
      </c>
      <c r="F182" s="170">
        <v>1</v>
      </c>
      <c r="G182" s="169">
        <v>0.1</v>
      </c>
      <c r="H182" s="174">
        <f t="shared" ref="H182:H187" si="194">E182*F182*G182</f>
        <v>1.0000000000000002E-6</v>
      </c>
      <c r="I182" s="175">
        <v>6040</v>
      </c>
      <c r="J182" s="187">
        <f>I182</f>
        <v>6040</v>
      </c>
      <c r="K182" s="177" t="s">
        <v>175</v>
      </c>
      <c r="L182" s="178">
        <v>5500</v>
      </c>
      <c r="M182" s="179" t="str">
        <f t="shared" ref="M182:M187" si="195">A182</f>
        <v>С1</v>
      </c>
      <c r="N182" s="179" t="str">
        <f t="shared" ref="N182:N187" si="196">B182</f>
        <v>Резервуар РВС (8704T0001)</v>
      </c>
      <c r="O182" s="179" t="str">
        <f t="shared" ref="O182:O187" si="197">D182</f>
        <v>Полное-пожар</v>
      </c>
      <c r="P182" s="179" t="s">
        <v>83</v>
      </c>
      <c r="Q182" s="179" t="s">
        <v>83</v>
      </c>
      <c r="R182" s="179" t="s">
        <v>83</v>
      </c>
      <c r="S182" s="179" t="s">
        <v>83</v>
      </c>
      <c r="T182" s="179" t="s">
        <v>83</v>
      </c>
      <c r="U182" s="179" t="s">
        <v>83</v>
      </c>
      <c r="V182" s="179" t="s">
        <v>83</v>
      </c>
      <c r="W182" s="179" t="s">
        <v>83</v>
      </c>
      <c r="X182" s="179" t="s">
        <v>83</v>
      </c>
      <c r="Y182" s="179" t="s">
        <v>83</v>
      </c>
      <c r="Z182" s="179" t="s">
        <v>83</v>
      </c>
      <c r="AA182" s="179" t="s">
        <v>83</v>
      </c>
      <c r="AB182" s="179" t="s">
        <v>83</v>
      </c>
      <c r="AC182" s="179" t="s">
        <v>83</v>
      </c>
      <c r="AD182" s="179" t="s">
        <v>83</v>
      </c>
      <c r="AE182" s="179" t="s">
        <v>83</v>
      </c>
      <c r="AF182" s="179" t="s">
        <v>83</v>
      </c>
      <c r="AG182" s="179" t="s">
        <v>83</v>
      </c>
      <c r="AH182" s="179" t="s">
        <v>83</v>
      </c>
      <c r="AI182" s="179" t="s">
        <v>83</v>
      </c>
      <c r="AJ182" s="180">
        <v>1</v>
      </c>
      <c r="AK182" s="180">
        <v>2</v>
      </c>
      <c r="AL182" s="181">
        <v>0.75</v>
      </c>
      <c r="AM182" s="181">
        <v>2.7E-2</v>
      </c>
      <c r="AN182" s="181">
        <v>3</v>
      </c>
      <c r="AQ182" s="182">
        <f>AM182*I182+AL182</f>
        <v>163.82999999999998</v>
      </c>
      <c r="AR182" s="182">
        <f t="shared" ref="AR182:AR187" si="198">0.1*AQ182</f>
        <v>16.382999999999999</v>
      </c>
      <c r="AS182" s="183">
        <f t="shared" ref="AS182:AS187" si="199">AJ182*3+0.25*AK182</f>
        <v>3.5</v>
      </c>
      <c r="AT182" s="183">
        <f t="shared" ref="AT182:AT187" si="200">SUM(AQ182:AS182)/4</f>
        <v>45.928249999999998</v>
      </c>
      <c r="AU182" s="182">
        <f>10068.2*J182*POWER(10,-6)</f>
        <v>60.811928000000002</v>
      </c>
      <c r="AV182" s="183">
        <f t="shared" ref="AV182:AV187" si="201">AU182+AT182+AS182+AR182+AQ182</f>
        <v>290.45317799999998</v>
      </c>
      <c r="AW182" s="184">
        <f t="shared" ref="AW182:AW187" si="202">AJ182*H182</f>
        <v>1.0000000000000002E-6</v>
      </c>
      <c r="AX182" s="184">
        <f t="shared" ref="AX182:AX187" si="203">H182*AK182</f>
        <v>2.0000000000000003E-6</v>
      </c>
      <c r="AY182" s="184">
        <f t="shared" ref="AY182:AY187" si="204">H182*AV182</f>
        <v>2.9045317800000003E-4</v>
      </c>
    </row>
    <row r="183" spans="1:51" s="179" customFormat="1" ht="15" thickBot="1" x14ac:dyDescent="0.35">
      <c r="A183" s="169" t="s">
        <v>19</v>
      </c>
      <c r="B183" s="169" t="str">
        <f>B182</f>
        <v>Резервуар РВС (8704T0001)</v>
      </c>
      <c r="C183" s="171" t="s">
        <v>205</v>
      </c>
      <c r="D183" s="172" t="s">
        <v>59</v>
      </c>
      <c r="E183" s="185">
        <f>E182</f>
        <v>1.0000000000000001E-5</v>
      </c>
      <c r="F183" s="186">
        <f>F182</f>
        <v>1</v>
      </c>
      <c r="G183" s="169">
        <v>0.18000000000000002</v>
      </c>
      <c r="H183" s="174">
        <f t="shared" si="194"/>
        <v>1.8000000000000003E-6</v>
      </c>
      <c r="I183" s="187">
        <f>I182</f>
        <v>6040</v>
      </c>
      <c r="J183" s="187">
        <f>I182</f>
        <v>6040</v>
      </c>
      <c r="K183" s="177" t="s">
        <v>176</v>
      </c>
      <c r="L183" s="178">
        <v>0</v>
      </c>
      <c r="M183" s="179" t="str">
        <f t="shared" si="195"/>
        <v>С2</v>
      </c>
      <c r="N183" s="179" t="str">
        <f t="shared" si="196"/>
        <v>Резервуар РВС (8704T0001)</v>
      </c>
      <c r="O183" s="179" t="str">
        <f t="shared" si="197"/>
        <v>Полное-пожар</v>
      </c>
      <c r="P183" s="179" t="s">
        <v>83</v>
      </c>
      <c r="Q183" s="179" t="s">
        <v>83</v>
      </c>
      <c r="R183" s="179" t="s">
        <v>83</v>
      </c>
      <c r="S183" s="179" t="s">
        <v>83</v>
      </c>
      <c r="T183" s="179" t="s">
        <v>83</v>
      </c>
      <c r="U183" s="179" t="s">
        <v>83</v>
      </c>
      <c r="V183" s="179" t="s">
        <v>83</v>
      </c>
      <c r="W183" s="179" t="s">
        <v>83</v>
      </c>
      <c r="X183" s="179" t="s">
        <v>83</v>
      </c>
      <c r="Y183" s="179" t="s">
        <v>83</v>
      </c>
      <c r="Z183" s="179" t="s">
        <v>83</v>
      </c>
      <c r="AA183" s="179" t="s">
        <v>83</v>
      </c>
      <c r="AB183" s="179" t="s">
        <v>83</v>
      </c>
      <c r="AC183" s="179" t="s">
        <v>83</v>
      </c>
      <c r="AD183" s="179" t="s">
        <v>83</v>
      </c>
      <c r="AE183" s="179" t="s">
        <v>83</v>
      </c>
      <c r="AF183" s="179" t="s">
        <v>83</v>
      </c>
      <c r="AG183" s="179" t="s">
        <v>83</v>
      </c>
      <c r="AH183" s="179" t="s">
        <v>83</v>
      </c>
      <c r="AI183" s="179" t="s">
        <v>83</v>
      </c>
      <c r="AJ183" s="180">
        <v>2</v>
      </c>
      <c r="AK183" s="180">
        <v>2</v>
      </c>
      <c r="AL183" s="179">
        <f>AL182</f>
        <v>0.75</v>
      </c>
      <c r="AM183" s="179">
        <f>AM182</f>
        <v>2.7E-2</v>
      </c>
      <c r="AN183" s="179">
        <f>AN182</f>
        <v>3</v>
      </c>
      <c r="AQ183" s="182">
        <f>AM183*I183+AL183</f>
        <v>163.82999999999998</v>
      </c>
      <c r="AR183" s="182">
        <f t="shared" si="198"/>
        <v>16.382999999999999</v>
      </c>
      <c r="AS183" s="183">
        <f t="shared" si="199"/>
        <v>6.5</v>
      </c>
      <c r="AT183" s="183">
        <f t="shared" si="200"/>
        <v>46.678249999999998</v>
      </c>
      <c r="AU183" s="182">
        <f>10068.2*J183*POWER(10,-6)*10</f>
        <v>608.11928</v>
      </c>
      <c r="AV183" s="183">
        <f t="shared" si="201"/>
        <v>841.51053000000002</v>
      </c>
      <c r="AW183" s="184">
        <f t="shared" si="202"/>
        <v>3.6000000000000007E-6</v>
      </c>
      <c r="AX183" s="184">
        <f t="shared" si="203"/>
        <v>3.6000000000000007E-6</v>
      </c>
      <c r="AY183" s="184">
        <f t="shared" si="204"/>
        <v>1.5147189540000003E-3</v>
      </c>
    </row>
    <row r="184" spans="1:51" s="179" customFormat="1" x14ac:dyDescent="0.3">
      <c r="A184" s="169" t="s">
        <v>20</v>
      </c>
      <c r="B184" s="169" t="str">
        <f>B182</f>
        <v>Резервуар РВС (8704T0001)</v>
      </c>
      <c r="C184" s="171" t="s">
        <v>198</v>
      </c>
      <c r="D184" s="172" t="s">
        <v>60</v>
      </c>
      <c r="E184" s="185">
        <f>E182</f>
        <v>1.0000000000000001E-5</v>
      </c>
      <c r="F184" s="186">
        <f>F182</f>
        <v>1</v>
      </c>
      <c r="G184" s="169">
        <v>0.72000000000000008</v>
      </c>
      <c r="H184" s="174">
        <f t="shared" si="194"/>
        <v>7.2000000000000014E-6</v>
      </c>
      <c r="I184" s="187">
        <f>I182</f>
        <v>6040</v>
      </c>
      <c r="J184" s="169">
        <v>0</v>
      </c>
      <c r="K184" s="177" t="s">
        <v>177</v>
      </c>
      <c r="L184" s="178">
        <v>0</v>
      </c>
      <c r="M184" s="179" t="str">
        <f t="shared" si="195"/>
        <v>С3</v>
      </c>
      <c r="N184" s="179" t="str">
        <f t="shared" si="196"/>
        <v>Резервуар РВС (8704T0001)</v>
      </c>
      <c r="O184" s="179" t="str">
        <f t="shared" si="197"/>
        <v>Полное-ликвидация</v>
      </c>
      <c r="P184" s="179" t="s">
        <v>83</v>
      </c>
      <c r="Q184" s="179" t="s">
        <v>83</v>
      </c>
      <c r="R184" s="179" t="s">
        <v>83</v>
      </c>
      <c r="S184" s="179" t="s">
        <v>83</v>
      </c>
      <c r="T184" s="179" t="s">
        <v>83</v>
      </c>
      <c r="U184" s="179" t="s">
        <v>83</v>
      </c>
      <c r="V184" s="179" t="s">
        <v>83</v>
      </c>
      <c r="W184" s="179" t="s">
        <v>83</v>
      </c>
      <c r="X184" s="179" t="s">
        <v>83</v>
      </c>
      <c r="Y184" s="179" t="s">
        <v>83</v>
      </c>
      <c r="Z184" s="179" t="s">
        <v>83</v>
      </c>
      <c r="AA184" s="179" t="s">
        <v>83</v>
      </c>
      <c r="AB184" s="179" t="s">
        <v>83</v>
      </c>
      <c r="AC184" s="179" t="s">
        <v>83</v>
      </c>
      <c r="AD184" s="179" t="s">
        <v>83</v>
      </c>
      <c r="AE184" s="179" t="s">
        <v>83</v>
      </c>
      <c r="AF184" s="179" t="s">
        <v>83</v>
      </c>
      <c r="AG184" s="179" t="s">
        <v>83</v>
      </c>
      <c r="AH184" s="179" t="s">
        <v>83</v>
      </c>
      <c r="AI184" s="179" t="s">
        <v>83</v>
      </c>
      <c r="AJ184" s="179">
        <v>0</v>
      </c>
      <c r="AK184" s="179">
        <v>0</v>
      </c>
      <c r="AL184" s="179">
        <f>AL182</f>
        <v>0.75</v>
      </c>
      <c r="AM184" s="179">
        <f>AM182</f>
        <v>2.7E-2</v>
      </c>
      <c r="AN184" s="179">
        <f>AN182</f>
        <v>3</v>
      </c>
      <c r="AQ184" s="182">
        <f>AM184*I184*0.1+AL184</f>
        <v>17.058</v>
      </c>
      <c r="AR184" s="182">
        <f t="shared" si="198"/>
        <v>1.7058</v>
      </c>
      <c r="AS184" s="183">
        <f t="shared" si="199"/>
        <v>0</v>
      </c>
      <c r="AT184" s="183">
        <f t="shared" si="200"/>
        <v>4.69095</v>
      </c>
      <c r="AU184" s="182">
        <f>1333*J183*POWER(10,-6)</f>
        <v>8.0513200000000005</v>
      </c>
      <c r="AV184" s="183">
        <f t="shared" si="201"/>
        <v>31.506070000000001</v>
      </c>
      <c r="AW184" s="184">
        <f t="shared" si="202"/>
        <v>0</v>
      </c>
      <c r="AX184" s="184">
        <f t="shared" si="203"/>
        <v>0</v>
      </c>
      <c r="AY184" s="184">
        <f t="shared" si="204"/>
        <v>2.2684370400000004E-4</v>
      </c>
    </row>
    <row r="185" spans="1:51" s="179" customFormat="1" x14ac:dyDescent="0.3">
      <c r="A185" s="169" t="s">
        <v>21</v>
      </c>
      <c r="B185" s="169" t="str">
        <f>B182</f>
        <v>Резервуар РВС (8704T0001)</v>
      </c>
      <c r="C185" s="171" t="s">
        <v>199</v>
      </c>
      <c r="D185" s="172" t="s">
        <v>84</v>
      </c>
      <c r="E185" s="173">
        <v>1E-4</v>
      </c>
      <c r="F185" s="186">
        <f>F182</f>
        <v>1</v>
      </c>
      <c r="G185" s="169">
        <v>0.1</v>
      </c>
      <c r="H185" s="174">
        <f t="shared" si="194"/>
        <v>1.0000000000000001E-5</v>
      </c>
      <c r="I185" s="187">
        <f>0.15*I182</f>
        <v>906</v>
      </c>
      <c r="J185" s="187">
        <f>I185</f>
        <v>906</v>
      </c>
      <c r="K185" s="190" t="s">
        <v>179</v>
      </c>
      <c r="L185" s="191">
        <v>45390</v>
      </c>
      <c r="M185" s="179" t="str">
        <f t="shared" si="195"/>
        <v>С4</v>
      </c>
      <c r="N185" s="179" t="str">
        <f t="shared" si="196"/>
        <v>Резервуар РВС (8704T0001)</v>
      </c>
      <c r="O185" s="179" t="str">
        <f t="shared" si="197"/>
        <v>Частичное-пожар</v>
      </c>
      <c r="P185" s="179" t="s">
        <v>83</v>
      </c>
      <c r="Q185" s="179" t="s">
        <v>83</v>
      </c>
      <c r="R185" s="179" t="s">
        <v>83</v>
      </c>
      <c r="S185" s="179" t="s">
        <v>83</v>
      </c>
      <c r="T185" s="179" t="s">
        <v>83</v>
      </c>
      <c r="U185" s="179" t="s">
        <v>83</v>
      </c>
      <c r="V185" s="179" t="s">
        <v>83</v>
      </c>
      <c r="W185" s="179" t="s">
        <v>83</v>
      </c>
      <c r="X185" s="179" t="s">
        <v>83</v>
      </c>
      <c r="Y185" s="179" t="s">
        <v>83</v>
      </c>
      <c r="Z185" s="179" t="s">
        <v>83</v>
      </c>
      <c r="AA185" s="179" t="s">
        <v>83</v>
      </c>
      <c r="AB185" s="179" t="s">
        <v>83</v>
      </c>
      <c r="AC185" s="179" t="s">
        <v>83</v>
      </c>
      <c r="AD185" s="179" t="s">
        <v>83</v>
      </c>
      <c r="AE185" s="179" t="s">
        <v>83</v>
      </c>
      <c r="AF185" s="179" t="s">
        <v>83</v>
      </c>
      <c r="AG185" s="179" t="s">
        <v>83</v>
      </c>
      <c r="AH185" s="179" t="s">
        <v>83</v>
      </c>
      <c r="AI185" s="179" t="s">
        <v>83</v>
      </c>
      <c r="AJ185" s="179">
        <v>0</v>
      </c>
      <c r="AK185" s="179">
        <v>2</v>
      </c>
      <c r="AL185" s="179">
        <f>0.1*$AL$2</f>
        <v>7.5000000000000002E-4</v>
      </c>
      <c r="AM185" s="179">
        <f>AM182</f>
        <v>2.7E-2</v>
      </c>
      <c r="AN185" s="179">
        <f>ROUNDUP(AN182/3,0)</f>
        <v>1</v>
      </c>
      <c r="AQ185" s="182">
        <f>AM185*I185+AL185</f>
        <v>24.46275</v>
      </c>
      <c r="AR185" s="182">
        <f t="shared" si="198"/>
        <v>2.446275</v>
      </c>
      <c r="AS185" s="183">
        <f t="shared" si="199"/>
        <v>0.5</v>
      </c>
      <c r="AT185" s="183">
        <f t="shared" si="200"/>
        <v>6.8522562499999999</v>
      </c>
      <c r="AU185" s="182">
        <f>10068.2*J185*POWER(10,-6)</f>
        <v>9.1217892000000003</v>
      </c>
      <c r="AV185" s="183">
        <f t="shared" si="201"/>
        <v>43.383070449999998</v>
      </c>
      <c r="AW185" s="184">
        <f t="shared" si="202"/>
        <v>0</v>
      </c>
      <c r="AX185" s="184">
        <f t="shared" si="203"/>
        <v>2.0000000000000002E-5</v>
      </c>
      <c r="AY185" s="184">
        <f t="shared" si="204"/>
        <v>4.3383070450000002E-4</v>
      </c>
    </row>
    <row r="186" spans="1:51" s="179" customFormat="1" x14ac:dyDescent="0.3">
      <c r="A186" s="169" t="s">
        <v>22</v>
      </c>
      <c r="B186" s="169" t="str">
        <f>B182</f>
        <v>Резервуар РВС (8704T0001)</v>
      </c>
      <c r="C186" s="171" t="s">
        <v>206</v>
      </c>
      <c r="D186" s="172" t="s">
        <v>84</v>
      </c>
      <c r="E186" s="185">
        <f>E185</f>
        <v>1E-4</v>
      </c>
      <c r="F186" s="186">
        <f>F182</f>
        <v>1</v>
      </c>
      <c r="G186" s="169">
        <v>4.5000000000000005E-2</v>
      </c>
      <c r="H186" s="174">
        <f t="shared" si="194"/>
        <v>4.500000000000001E-6</v>
      </c>
      <c r="I186" s="187">
        <f>0.15*I182</f>
        <v>906</v>
      </c>
      <c r="J186" s="187">
        <f>I185</f>
        <v>906</v>
      </c>
      <c r="K186" s="190" t="s">
        <v>180</v>
      </c>
      <c r="L186" s="191">
        <v>3</v>
      </c>
      <c r="M186" s="179" t="str">
        <f t="shared" si="195"/>
        <v>С5</v>
      </c>
      <c r="N186" s="179" t="str">
        <f t="shared" si="196"/>
        <v>Резервуар РВС (8704T0001)</v>
      </c>
      <c r="O186" s="179" t="str">
        <f t="shared" si="197"/>
        <v>Частичное-пожар</v>
      </c>
      <c r="P186" s="179" t="s">
        <v>83</v>
      </c>
      <c r="Q186" s="179" t="s">
        <v>83</v>
      </c>
      <c r="R186" s="179" t="s">
        <v>83</v>
      </c>
      <c r="S186" s="179" t="s">
        <v>83</v>
      </c>
      <c r="T186" s="179" t="s">
        <v>83</v>
      </c>
      <c r="U186" s="179" t="s">
        <v>83</v>
      </c>
      <c r="V186" s="179" t="s">
        <v>83</v>
      </c>
      <c r="W186" s="179" t="s">
        <v>83</v>
      </c>
      <c r="X186" s="179" t="s">
        <v>83</v>
      </c>
      <c r="Y186" s="179" t="s">
        <v>83</v>
      </c>
      <c r="Z186" s="179" t="s">
        <v>83</v>
      </c>
      <c r="AA186" s="179" t="s">
        <v>83</v>
      </c>
      <c r="AB186" s="179" t="s">
        <v>83</v>
      </c>
      <c r="AC186" s="179" t="s">
        <v>83</v>
      </c>
      <c r="AD186" s="179" t="s">
        <v>83</v>
      </c>
      <c r="AE186" s="179" t="s">
        <v>83</v>
      </c>
      <c r="AF186" s="179" t="s">
        <v>83</v>
      </c>
      <c r="AG186" s="179" t="s">
        <v>83</v>
      </c>
      <c r="AH186" s="179" t="s">
        <v>83</v>
      </c>
      <c r="AI186" s="179" t="s">
        <v>83</v>
      </c>
      <c r="AJ186" s="179">
        <v>0</v>
      </c>
      <c r="AK186" s="179">
        <v>1</v>
      </c>
      <c r="AL186" s="179">
        <f>0.1*$AL$2</f>
        <v>7.5000000000000002E-4</v>
      </c>
      <c r="AM186" s="179">
        <f>AM182</f>
        <v>2.7E-2</v>
      </c>
      <c r="AN186" s="179">
        <f>ROUNDUP(AN182/3,0)</f>
        <v>1</v>
      </c>
      <c r="AQ186" s="182">
        <f>AM186*I186+AL186</f>
        <v>24.46275</v>
      </c>
      <c r="AR186" s="182">
        <f t="shared" si="198"/>
        <v>2.446275</v>
      </c>
      <c r="AS186" s="183">
        <f t="shared" si="199"/>
        <v>0.25</v>
      </c>
      <c r="AT186" s="183">
        <f t="shared" si="200"/>
        <v>6.7897562499999999</v>
      </c>
      <c r="AU186" s="182">
        <f>10068.2*J186*POWER(10,-6)*10</f>
        <v>91.217892000000006</v>
      </c>
      <c r="AV186" s="183">
        <f t="shared" si="201"/>
        <v>125.16667325</v>
      </c>
      <c r="AW186" s="184">
        <f t="shared" si="202"/>
        <v>0</v>
      </c>
      <c r="AX186" s="184">
        <f t="shared" si="203"/>
        <v>4.500000000000001E-6</v>
      </c>
      <c r="AY186" s="184">
        <f t="shared" si="204"/>
        <v>5.632500296250001E-4</v>
      </c>
    </row>
    <row r="187" spans="1:51" s="179" customFormat="1" ht="15" thickBot="1" x14ac:dyDescent="0.35">
      <c r="A187" s="169" t="s">
        <v>23</v>
      </c>
      <c r="B187" s="169" t="str">
        <f>B182</f>
        <v>Резервуар РВС (8704T0001)</v>
      </c>
      <c r="C187" s="171" t="s">
        <v>201</v>
      </c>
      <c r="D187" s="172" t="s">
        <v>61</v>
      </c>
      <c r="E187" s="185">
        <f>E185</f>
        <v>1E-4</v>
      </c>
      <c r="F187" s="186">
        <f>F182</f>
        <v>1</v>
      </c>
      <c r="G187" s="169">
        <v>0.85499999999999998</v>
      </c>
      <c r="H187" s="174">
        <f t="shared" si="194"/>
        <v>8.5500000000000005E-5</v>
      </c>
      <c r="I187" s="187">
        <f>0.15*I182</f>
        <v>906</v>
      </c>
      <c r="J187" s="169">
        <v>0</v>
      </c>
      <c r="K187" s="192" t="s">
        <v>191</v>
      </c>
      <c r="L187" s="192">
        <v>11</v>
      </c>
      <c r="M187" s="179" t="str">
        <f t="shared" si="195"/>
        <v>С6</v>
      </c>
      <c r="N187" s="179" t="str">
        <f t="shared" si="196"/>
        <v>Резервуар РВС (8704T0001)</v>
      </c>
      <c r="O187" s="179" t="str">
        <f t="shared" si="197"/>
        <v>Частичное-ликвидация</v>
      </c>
      <c r="P187" s="179" t="s">
        <v>83</v>
      </c>
      <c r="Q187" s="179" t="s">
        <v>83</v>
      </c>
      <c r="R187" s="179" t="s">
        <v>83</v>
      </c>
      <c r="S187" s="179" t="s">
        <v>83</v>
      </c>
      <c r="T187" s="179" t="s">
        <v>83</v>
      </c>
      <c r="U187" s="179" t="s">
        <v>83</v>
      </c>
      <c r="V187" s="179" t="s">
        <v>83</v>
      </c>
      <c r="W187" s="179" t="s">
        <v>83</v>
      </c>
      <c r="X187" s="179" t="s">
        <v>83</v>
      </c>
      <c r="Y187" s="179" t="s">
        <v>83</v>
      </c>
      <c r="Z187" s="179" t="s">
        <v>83</v>
      </c>
      <c r="AA187" s="179" t="s">
        <v>83</v>
      </c>
      <c r="AB187" s="179" t="s">
        <v>83</v>
      </c>
      <c r="AC187" s="179" t="s">
        <v>83</v>
      </c>
      <c r="AD187" s="179" t="s">
        <v>83</v>
      </c>
      <c r="AE187" s="179" t="s">
        <v>83</v>
      </c>
      <c r="AF187" s="179" t="s">
        <v>83</v>
      </c>
      <c r="AG187" s="179" t="s">
        <v>83</v>
      </c>
      <c r="AH187" s="179" t="s">
        <v>83</v>
      </c>
      <c r="AI187" s="179" t="s">
        <v>83</v>
      </c>
      <c r="AJ187" s="179">
        <v>0</v>
      </c>
      <c r="AK187" s="179">
        <v>0</v>
      </c>
      <c r="AL187" s="179">
        <f>0.1*$AL$2</f>
        <v>7.5000000000000002E-4</v>
      </c>
      <c r="AM187" s="179">
        <f>AM182</f>
        <v>2.7E-2</v>
      </c>
      <c r="AN187" s="179">
        <f>ROUNDUP(AN182/3,0)</f>
        <v>1</v>
      </c>
      <c r="AQ187" s="182">
        <f>AM187*I187*0.1+AL187</f>
        <v>2.4469500000000002</v>
      </c>
      <c r="AR187" s="182">
        <f t="shared" si="198"/>
        <v>0.24469500000000002</v>
      </c>
      <c r="AS187" s="183">
        <f t="shared" si="199"/>
        <v>0</v>
      </c>
      <c r="AT187" s="183">
        <f t="shared" si="200"/>
        <v>0.67291125000000007</v>
      </c>
      <c r="AU187" s="182">
        <f>1333*J186*POWER(10,-6)</f>
        <v>1.2076979999999999</v>
      </c>
      <c r="AV187" s="183">
        <f t="shared" si="201"/>
        <v>4.5722542500000003</v>
      </c>
      <c r="AW187" s="184">
        <f t="shared" si="202"/>
        <v>0</v>
      </c>
      <c r="AX187" s="184">
        <f t="shared" si="203"/>
        <v>0</v>
      </c>
      <c r="AY187" s="184">
        <f t="shared" si="204"/>
        <v>3.9092773837500004E-4</v>
      </c>
    </row>
    <row r="188" spans="1:51" s="179" customFormat="1" x14ac:dyDescent="0.3">
      <c r="A188" s="180"/>
      <c r="B188" s="180"/>
      <c r="D188" s="271"/>
      <c r="E188" s="272"/>
      <c r="F188" s="273"/>
      <c r="G188" s="180"/>
      <c r="H188" s="184"/>
      <c r="I188" s="183"/>
      <c r="J188" s="180"/>
      <c r="K188" s="180"/>
      <c r="L188" s="180"/>
      <c r="AQ188" s="182"/>
      <c r="AR188" s="182"/>
      <c r="AS188" s="183"/>
      <c r="AT188" s="183"/>
      <c r="AU188" s="182"/>
      <c r="AV188" s="183"/>
      <c r="AW188" s="184"/>
      <c r="AX188" s="184"/>
      <c r="AY188" s="184"/>
    </row>
    <row r="189" spans="1:51" s="179" customFormat="1" x14ac:dyDescent="0.3">
      <c r="A189" s="180"/>
      <c r="B189" s="180"/>
      <c r="D189" s="271"/>
      <c r="E189" s="272"/>
      <c r="F189" s="273"/>
      <c r="G189" s="180"/>
      <c r="H189" s="184"/>
      <c r="I189" s="183"/>
      <c r="J189" s="180"/>
      <c r="K189" s="180"/>
      <c r="L189" s="180"/>
      <c r="AQ189" s="182"/>
      <c r="AR189" s="182"/>
      <c r="AS189" s="183"/>
      <c r="AT189" s="183"/>
      <c r="AU189" s="182"/>
      <c r="AV189" s="183"/>
      <c r="AW189" s="184"/>
      <c r="AX189" s="184"/>
      <c r="AY189" s="184"/>
    </row>
    <row r="190" spans="1:51" s="179" customFormat="1" x14ac:dyDescent="0.3">
      <c r="A190" s="180"/>
      <c r="B190" s="180"/>
      <c r="D190" s="271"/>
      <c r="E190" s="272"/>
      <c r="F190" s="273"/>
      <c r="G190" s="180"/>
      <c r="H190" s="184"/>
      <c r="I190" s="183"/>
      <c r="J190" s="180"/>
      <c r="K190" s="180"/>
      <c r="L190" s="180"/>
      <c r="AQ190" s="182"/>
      <c r="AR190" s="182"/>
      <c r="AS190" s="183"/>
      <c r="AT190" s="183"/>
      <c r="AU190" s="182"/>
      <c r="AV190" s="183"/>
      <c r="AW190" s="184"/>
      <c r="AX190" s="184"/>
      <c r="AY190" s="184"/>
    </row>
    <row r="191" spans="1:51" ht="15" thickBot="1" x14ac:dyDescent="0.35"/>
    <row r="192" spans="1:51" ht="15" thickBot="1" x14ac:dyDescent="0.35">
      <c r="A192" s="48" t="s">
        <v>18</v>
      </c>
      <c r="B192" s="294" t="s">
        <v>609</v>
      </c>
      <c r="C192" s="166" t="s">
        <v>159</v>
      </c>
      <c r="D192" s="49" t="s">
        <v>59</v>
      </c>
      <c r="E192" s="153">
        <v>9.9999999999999995E-8</v>
      </c>
      <c r="F192" s="150">
        <v>180</v>
      </c>
      <c r="G192" s="48">
        <v>0.2</v>
      </c>
      <c r="H192" s="50">
        <f t="shared" ref="H192:H197" si="205">E192*F192*G192</f>
        <v>3.6000000000000003E-6</v>
      </c>
      <c r="I192" s="151">
        <v>9.69</v>
      </c>
      <c r="J192" s="149">
        <f>I192</f>
        <v>9.69</v>
      </c>
      <c r="K192" s="159" t="s">
        <v>175</v>
      </c>
      <c r="L192" s="164">
        <f>J192*20</f>
        <v>193.79999999999998</v>
      </c>
      <c r="M192" s="92" t="str">
        <f t="shared" ref="M192:M197" si="206">A192</f>
        <v>С1</v>
      </c>
      <c r="N192" s="92" t="str">
        <f t="shared" ref="N192:N197" si="207">B192</f>
        <v>Трубопровод керосина рег. № 757</v>
      </c>
      <c r="O192" s="92" t="str">
        <f t="shared" ref="O192:O197" si="208">D192</f>
        <v>Полное-пожар</v>
      </c>
      <c r="P192" s="92">
        <v>17.100000000000001</v>
      </c>
      <c r="Q192" s="92">
        <v>23.5</v>
      </c>
      <c r="R192" s="92">
        <v>33.1</v>
      </c>
      <c r="S192" s="92">
        <v>61.2</v>
      </c>
      <c r="T192" s="92" t="s">
        <v>83</v>
      </c>
      <c r="U192" s="92" t="s">
        <v>83</v>
      </c>
      <c r="V192" s="92" t="s">
        <v>83</v>
      </c>
      <c r="W192" s="92" t="s">
        <v>83</v>
      </c>
      <c r="X192" s="92" t="s">
        <v>83</v>
      </c>
      <c r="Y192" s="92" t="s">
        <v>83</v>
      </c>
      <c r="Z192" s="92" t="s">
        <v>83</v>
      </c>
      <c r="AA192" s="92" t="s">
        <v>83</v>
      </c>
      <c r="AB192" s="92" t="s">
        <v>83</v>
      </c>
      <c r="AC192" s="92" t="s">
        <v>83</v>
      </c>
      <c r="AD192" s="92" t="s">
        <v>83</v>
      </c>
      <c r="AE192" s="92" t="s">
        <v>83</v>
      </c>
      <c r="AF192" s="92" t="s">
        <v>83</v>
      </c>
      <c r="AG192" s="92" t="s">
        <v>83</v>
      </c>
      <c r="AH192" s="92" t="s">
        <v>83</v>
      </c>
      <c r="AI192" s="92" t="s">
        <v>83</v>
      </c>
      <c r="AJ192" s="52">
        <v>1</v>
      </c>
      <c r="AK192" s="52">
        <v>2</v>
      </c>
      <c r="AL192" s="152">
        <v>0.75</v>
      </c>
      <c r="AM192" s="152">
        <v>2.7E-2</v>
      </c>
      <c r="AN192" s="152">
        <v>3</v>
      </c>
      <c r="AO192" s="92"/>
      <c r="AP192" s="92"/>
      <c r="AQ192" s="93">
        <f>AM192*I192+AL192</f>
        <v>1.01163</v>
      </c>
      <c r="AR192" s="93">
        <f t="shared" ref="AR192:AR197" si="209">0.1*AQ192</f>
        <v>0.101163</v>
      </c>
      <c r="AS192" s="94">
        <f t="shared" ref="AS192:AS197" si="210">AJ192*3+0.25*AK192</f>
        <v>3.5</v>
      </c>
      <c r="AT192" s="94">
        <f t="shared" ref="AT192:AT197" si="211">SUM(AQ192:AS192)/4</f>
        <v>1.15319825</v>
      </c>
      <c r="AU192" s="93">
        <f>10068.2*J192*POWER(10,-6)</f>
        <v>9.7560858E-2</v>
      </c>
      <c r="AV192" s="94">
        <f t="shared" ref="AV192:AV197" si="212">AU192+AT192+AS192+AR192+AQ192</f>
        <v>5.8635521080000004</v>
      </c>
      <c r="AW192" s="95">
        <f t="shared" ref="AW192:AW197" si="213">AJ192*H192</f>
        <v>3.6000000000000003E-6</v>
      </c>
      <c r="AX192" s="95">
        <f t="shared" ref="AX192:AX197" si="214">H192*AK192</f>
        <v>7.2000000000000005E-6</v>
      </c>
      <c r="AY192" s="95">
        <f t="shared" ref="AY192:AY197" si="215">H192*AV192</f>
        <v>2.1108787588800003E-5</v>
      </c>
    </row>
    <row r="193" spans="1:51" ht="15" thickBot="1" x14ac:dyDescent="0.35">
      <c r="A193" s="48" t="s">
        <v>19</v>
      </c>
      <c r="B193" s="48" t="str">
        <f>B192</f>
        <v>Трубопровод керосина рег. № 757</v>
      </c>
      <c r="C193" s="166" t="s">
        <v>174</v>
      </c>
      <c r="D193" s="49" t="s">
        <v>59</v>
      </c>
      <c r="E193" s="154">
        <f>E192</f>
        <v>9.9999999999999995E-8</v>
      </c>
      <c r="F193" s="155">
        <f>F192</f>
        <v>180</v>
      </c>
      <c r="G193" s="48">
        <v>0.04</v>
      </c>
      <c r="H193" s="50">
        <f t="shared" si="205"/>
        <v>7.1999999999999999E-7</v>
      </c>
      <c r="I193" s="149">
        <f>I192</f>
        <v>9.69</v>
      </c>
      <c r="J193" s="149">
        <f>I192</f>
        <v>9.69</v>
      </c>
      <c r="K193" s="159" t="s">
        <v>176</v>
      </c>
      <c r="L193" s="164">
        <v>0</v>
      </c>
      <c r="M193" s="92" t="str">
        <f t="shared" si="206"/>
        <v>С2</v>
      </c>
      <c r="N193" s="92" t="str">
        <f t="shared" si="207"/>
        <v>Трубопровод керосина рег. № 757</v>
      </c>
      <c r="O193" s="92" t="str">
        <f t="shared" si="208"/>
        <v>Полное-пожар</v>
      </c>
      <c r="P193" s="92">
        <v>17.100000000000001</v>
      </c>
      <c r="Q193" s="92">
        <v>23.5</v>
      </c>
      <c r="R193" s="92">
        <v>33.1</v>
      </c>
      <c r="S193" s="92">
        <v>61.2</v>
      </c>
      <c r="T193" s="92" t="s">
        <v>83</v>
      </c>
      <c r="U193" s="92" t="s">
        <v>83</v>
      </c>
      <c r="V193" s="92" t="s">
        <v>83</v>
      </c>
      <c r="W193" s="92" t="s">
        <v>83</v>
      </c>
      <c r="X193" s="92" t="s">
        <v>83</v>
      </c>
      <c r="Y193" s="92" t="s">
        <v>83</v>
      </c>
      <c r="Z193" s="92" t="s">
        <v>83</v>
      </c>
      <c r="AA193" s="92" t="s">
        <v>83</v>
      </c>
      <c r="AB193" s="92" t="s">
        <v>83</v>
      </c>
      <c r="AC193" s="92" t="s">
        <v>83</v>
      </c>
      <c r="AD193" s="92" t="s">
        <v>83</v>
      </c>
      <c r="AE193" s="92" t="s">
        <v>83</v>
      </c>
      <c r="AF193" s="92" t="s">
        <v>83</v>
      </c>
      <c r="AG193" s="92" t="s">
        <v>83</v>
      </c>
      <c r="AH193" s="92" t="s">
        <v>83</v>
      </c>
      <c r="AI193" s="92" t="s">
        <v>83</v>
      </c>
      <c r="AJ193" s="52">
        <v>2</v>
      </c>
      <c r="AK193" s="52">
        <v>2</v>
      </c>
      <c r="AL193" s="92">
        <f>AL192</f>
        <v>0.75</v>
      </c>
      <c r="AM193" s="92">
        <f>AM192</f>
        <v>2.7E-2</v>
      </c>
      <c r="AN193" s="92">
        <f>AN192</f>
        <v>3</v>
      </c>
      <c r="AO193" s="92"/>
      <c r="AP193" s="92"/>
      <c r="AQ193" s="93">
        <f>AM193*I193+AL193</f>
        <v>1.01163</v>
      </c>
      <c r="AR193" s="93">
        <f t="shared" si="209"/>
        <v>0.101163</v>
      </c>
      <c r="AS193" s="94">
        <f t="shared" si="210"/>
        <v>6.5</v>
      </c>
      <c r="AT193" s="94">
        <f t="shared" si="211"/>
        <v>1.90319825</v>
      </c>
      <c r="AU193" s="93">
        <f>10068.2*J193*POWER(10,-6)*10</f>
        <v>0.97560858000000006</v>
      </c>
      <c r="AV193" s="94">
        <f t="shared" si="212"/>
        <v>10.49159983</v>
      </c>
      <c r="AW193" s="95">
        <f t="shared" si="213"/>
        <v>1.44E-6</v>
      </c>
      <c r="AX193" s="95">
        <f t="shared" si="214"/>
        <v>1.44E-6</v>
      </c>
      <c r="AY193" s="95">
        <f t="shared" si="215"/>
        <v>7.5539518775999999E-6</v>
      </c>
    </row>
    <row r="194" spans="1:51" x14ac:dyDescent="0.3">
      <c r="A194" s="48" t="s">
        <v>20</v>
      </c>
      <c r="B194" s="48" t="str">
        <f>B192</f>
        <v>Трубопровод керосина рег. № 757</v>
      </c>
      <c r="C194" s="166" t="s">
        <v>161</v>
      </c>
      <c r="D194" s="49" t="s">
        <v>60</v>
      </c>
      <c r="E194" s="154">
        <f>E192</f>
        <v>9.9999999999999995E-8</v>
      </c>
      <c r="F194" s="155">
        <f>F192</f>
        <v>180</v>
      </c>
      <c r="G194" s="48">
        <v>0.76</v>
      </c>
      <c r="H194" s="50">
        <f t="shared" si="205"/>
        <v>1.3680000000000001E-5</v>
      </c>
      <c r="I194" s="149">
        <f>I192</f>
        <v>9.69</v>
      </c>
      <c r="J194" s="48">
        <v>0</v>
      </c>
      <c r="K194" s="159" t="s">
        <v>177</v>
      </c>
      <c r="L194" s="164">
        <v>0</v>
      </c>
      <c r="M194" s="92" t="str">
        <f t="shared" si="206"/>
        <v>С3</v>
      </c>
      <c r="N194" s="92" t="str">
        <f t="shared" si="207"/>
        <v>Трубопровод керосина рег. № 757</v>
      </c>
      <c r="O194" s="92" t="str">
        <f t="shared" si="208"/>
        <v>Полное-ликвидация</v>
      </c>
      <c r="P194" s="92" t="s">
        <v>83</v>
      </c>
      <c r="Q194" s="92" t="s">
        <v>83</v>
      </c>
      <c r="R194" s="92" t="s">
        <v>83</v>
      </c>
      <c r="S194" s="92" t="s">
        <v>83</v>
      </c>
      <c r="T194" s="92" t="s">
        <v>83</v>
      </c>
      <c r="U194" s="92" t="s">
        <v>83</v>
      </c>
      <c r="V194" s="92" t="s">
        <v>83</v>
      </c>
      <c r="W194" s="92" t="s">
        <v>83</v>
      </c>
      <c r="X194" s="92" t="s">
        <v>83</v>
      </c>
      <c r="Y194" s="92" t="s">
        <v>83</v>
      </c>
      <c r="Z194" s="92" t="s">
        <v>83</v>
      </c>
      <c r="AA194" s="92" t="s">
        <v>83</v>
      </c>
      <c r="AB194" s="92" t="s">
        <v>83</v>
      </c>
      <c r="AC194" s="92" t="s">
        <v>83</v>
      </c>
      <c r="AD194" s="92" t="s">
        <v>83</v>
      </c>
      <c r="AE194" s="92" t="s">
        <v>83</v>
      </c>
      <c r="AF194" s="92" t="s">
        <v>83</v>
      </c>
      <c r="AG194" s="92" t="s">
        <v>83</v>
      </c>
      <c r="AH194" s="92" t="s">
        <v>83</v>
      </c>
      <c r="AI194" s="92" t="s">
        <v>83</v>
      </c>
      <c r="AJ194" s="92">
        <v>0</v>
      </c>
      <c r="AK194" s="92">
        <v>0</v>
      </c>
      <c r="AL194" s="92">
        <f>AL192</f>
        <v>0.75</v>
      </c>
      <c r="AM194" s="92">
        <f>AM192</f>
        <v>2.7E-2</v>
      </c>
      <c r="AN194" s="92">
        <f>AN192</f>
        <v>3</v>
      </c>
      <c r="AO194" s="92"/>
      <c r="AP194" s="92"/>
      <c r="AQ194" s="93">
        <f>AM194*I194*0.1+AL194</f>
        <v>0.77616300000000005</v>
      </c>
      <c r="AR194" s="93">
        <f t="shared" si="209"/>
        <v>7.7616300000000013E-2</v>
      </c>
      <c r="AS194" s="94">
        <f t="shared" si="210"/>
        <v>0</v>
      </c>
      <c r="AT194" s="94">
        <f t="shared" si="211"/>
        <v>0.213444825</v>
      </c>
      <c r="AU194" s="93">
        <f>1333*J193*POWER(10,-6)</f>
        <v>1.2916769999999998E-2</v>
      </c>
      <c r="AV194" s="94">
        <f t="shared" si="212"/>
        <v>1.080140895</v>
      </c>
      <c r="AW194" s="95">
        <f t="shared" si="213"/>
        <v>0</v>
      </c>
      <c r="AX194" s="95">
        <f t="shared" si="214"/>
        <v>0</v>
      </c>
      <c r="AY194" s="95">
        <f t="shared" si="215"/>
        <v>1.4776327443600001E-5</v>
      </c>
    </row>
    <row r="195" spans="1:51" x14ac:dyDescent="0.3">
      <c r="A195" s="48" t="s">
        <v>21</v>
      </c>
      <c r="B195" s="48" t="str">
        <f>B192</f>
        <v>Трубопровод керосина рег. № 757</v>
      </c>
      <c r="C195" s="166" t="s">
        <v>162</v>
      </c>
      <c r="D195" s="49" t="s">
        <v>84</v>
      </c>
      <c r="E195" s="153">
        <v>5.0000000000000004E-6</v>
      </c>
      <c r="F195" s="155">
        <f>F192</f>
        <v>180</v>
      </c>
      <c r="G195" s="48">
        <v>0.2</v>
      </c>
      <c r="H195" s="50">
        <f t="shared" si="205"/>
        <v>1.8000000000000004E-4</v>
      </c>
      <c r="I195" s="149">
        <f>0.15*I192</f>
        <v>1.4534999999999998</v>
      </c>
      <c r="J195" s="149">
        <f>I195</f>
        <v>1.4534999999999998</v>
      </c>
      <c r="K195" s="161" t="s">
        <v>179</v>
      </c>
      <c r="L195" s="165">
        <v>45390</v>
      </c>
      <c r="M195" s="92" t="str">
        <f t="shared" si="206"/>
        <v>С4</v>
      </c>
      <c r="N195" s="92" t="str">
        <f t="shared" si="207"/>
        <v>Трубопровод керосина рег. № 757</v>
      </c>
      <c r="O195" s="92" t="str">
        <f t="shared" si="208"/>
        <v>Частичное-пожар</v>
      </c>
      <c r="P195" s="92">
        <v>12.8</v>
      </c>
      <c r="Q195" s="92">
        <v>16.399999999999999</v>
      </c>
      <c r="R195" s="92">
        <v>21.7</v>
      </c>
      <c r="S195" s="92">
        <v>37.299999999999997</v>
      </c>
      <c r="T195" s="92" t="s">
        <v>83</v>
      </c>
      <c r="U195" s="92" t="s">
        <v>83</v>
      </c>
      <c r="V195" s="92" t="s">
        <v>83</v>
      </c>
      <c r="W195" s="92" t="s">
        <v>83</v>
      </c>
      <c r="X195" s="92" t="s">
        <v>83</v>
      </c>
      <c r="Y195" s="92" t="s">
        <v>83</v>
      </c>
      <c r="Z195" s="92" t="s">
        <v>83</v>
      </c>
      <c r="AA195" s="92" t="s">
        <v>83</v>
      </c>
      <c r="AB195" s="92" t="s">
        <v>83</v>
      </c>
      <c r="AC195" s="92" t="s">
        <v>83</v>
      </c>
      <c r="AD195" s="92" t="s">
        <v>83</v>
      </c>
      <c r="AE195" s="92" t="s">
        <v>83</v>
      </c>
      <c r="AF195" s="92" t="s">
        <v>83</v>
      </c>
      <c r="AG195" s="92" t="s">
        <v>83</v>
      </c>
      <c r="AH195" s="92" t="s">
        <v>83</v>
      </c>
      <c r="AI195" s="92" t="s">
        <v>83</v>
      </c>
      <c r="AJ195" s="92">
        <v>0</v>
      </c>
      <c r="AK195" s="92">
        <v>2</v>
      </c>
      <c r="AL195" s="92">
        <f>0.1*$AL$2</f>
        <v>7.5000000000000002E-4</v>
      </c>
      <c r="AM195" s="92">
        <f>AM192</f>
        <v>2.7E-2</v>
      </c>
      <c r="AN195" s="92">
        <f>ROUNDUP(AN192/3,0)</f>
        <v>1</v>
      </c>
      <c r="AO195" s="92"/>
      <c r="AP195" s="92"/>
      <c r="AQ195" s="93">
        <f>AM195*I195+AL195</f>
        <v>3.9994499999999995E-2</v>
      </c>
      <c r="AR195" s="93">
        <f t="shared" si="209"/>
        <v>3.9994499999999999E-3</v>
      </c>
      <c r="AS195" s="94">
        <f t="shared" si="210"/>
        <v>0.5</v>
      </c>
      <c r="AT195" s="94">
        <f t="shared" si="211"/>
        <v>0.13599848749999999</v>
      </c>
      <c r="AU195" s="93">
        <f>10068.2*J195*POWER(10,-6)</f>
        <v>1.4634128699999999E-2</v>
      </c>
      <c r="AV195" s="94">
        <f t="shared" si="212"/>
        <v>0.69462656620000007</v>
      </c>
      <c r="AW195" s="95">
        <f t="shared" si="213"/>
        <v>0</v>
      </c>
      <c r="AX195" s="95">
        <f t="shared" si="214"/>
        <v>3.6000000000000008E-4</v>
      </c>
      <c r="AY195" s="95">
        <f t="shared" si="215"/>
        <v>1.2503278191600004E-4</v>
      </c>
    </row>
    <row r="196" spans="1:51" x14ac:dyDescent="0.3">
      <c r="A196" s="48" t="s">
        <v>22</v>
      </c>
      <c r="B196" s="48" t="str">
        <f>B192</f>
        <v>Трубопровод керосина рег. № 757</v>
      </c>
      <c r="C196" s="166" t="s">
        <v>190</v>
      </c>
      <c r="D196" s="49" t="s">
        <v>84</v>
      </c>
      <c r="E196" s="154">
        <f>E195</f>
        <v>5.0000000000000004E-6</v>
      </c>
      <c r="F196" s="155">
        <f>F192</f>
        <v>180</v>
      </c>
      <c r="G196" s="48">
        <v>0.04</v>
      </c>
      <c r="H196" s="50">
        <f t="shared" si="205"/>
        <v>3.6000000000000001E-5</v>
      </c>
      <c r="I196" s="149">
        <f>0.15*I192</f>
        <v>1.4534999999999998</v>
      </c>
      <c r="J196" s="149">
        <f>I195</f>
        <v>1.4534999999999998</v>
      </c>
      <c r="K196" s="161" t="s">
        <v>180</v>
      </c>
      <c r="L196" s="165">
        <v>3</v>
      </c>
      <c r="M196" s="92" t="str">
        <f t="shared" si="206"/>
        <v>С5</v>
      </c>
      <c r="N196" s="92" t="str">
        <f t="shared" si="207"/>
        <v>Трубопровод керосина рег. № 757</v>
      </c>
      <c r="O196" s="92" t="str">
        <f t="shared" si="208"/>
        <v>Частичное-пожар</v>
      </c>
      <c r="P196" s="92">
        <v>12.8</v>
      </c>
      <c r="Q196" s="92">
        <v>16.399999999999999</v>
      </c>
      <c r="R196" s="92">
        <v>21.7</v>
      </c>
      <c r="S196" s="92">
        <v>37.299999999999997</v>
      </c>
      <c r="T196" s="92" t="s">
        <v>83</v>
      </c>
      <c r="U196" s="92" t="s">
        <v>83</v>
      </c>
      <c r="V196" s="92" t="s">
        <v>83</v>
      </c>
      <c r="W196" s="92" t="s">
        <v>83</v>
      </c>
      <c r="X196" s="92" t="s">
        <v>83</v>
      </c>
      <c r="Y196" s="92" t="s">
        <v>83</v>
      </c>
      <c r="Z196" s="92" t="s">
        <v>83</v>
      </c>
      <c r="AA196" s="92" t="s">
        <v>83</v>
      </c>
      <c r="AB196" s="92" t="s">
        <v>83</v>
      </c>
      <c r="AC196" s="92" t="s">
        <v>83</v>
      </c>
      <c r="AD196" s="92" t="s">
        <v>83</v>
      </c>
      <c r="AE196" s="92" t="s">
        <v>83</v>
      </c>
      <c r="AF196" s="92" t="s">
        <v>83</v>
      </c>
      <c r="AG196" s="92" t="s">
        <v>83</v>
      </c>
      <c r="AH196" s="92" t="s">
        <v>83</v>
      </c>
      <c r="AI196" s="92" t="s">
        <v>83</v>
      </c>
      <c r="AJ196" s="92">
        <v>0</v>
      </c>
      <c r="AK196" s="92">
        <v>1</v>
      </c>
      <c r="AL196" s="92">
        <f>0.1*$AL$2</f>
        <v>7.5000000000000002E-4</v>
      </c>
      <c r="AM196" s="92">
        <f>AM192</f>
        <v>2.7E-2</v>
      </c>
      <c r="AN196" s="92">
        <f>ROUNDUP(AN192/3,0)</f>
        <v>1</v>
      </c>
      <c r="AO196" s="92"/>
      <c r="AP196" s="92"/>
      <c r="AQ196" s="93">
        <f>AM196*I196+AL196</f>
        <v>3.9994499999999995E-2</v>
      </c>
      <c r="AR196" s="93">
        <f t="shared" si="209"/>
        <v>3.9994499999999999E-3</v>
      </c>
      <c r="AS196" s="94">
        <f t="shared" si="210"/>
        <v>0.25</v>
      </c>
      <c r="AT196" s="94">
        <f t="shared" si="211"/>
        <v>7.3498487500000001E-2</v>
      </c>
      <c r="AU196" s="93">
        <f>10068.2*J196*POWER(10,-6)*10</f>
        <v>0.14634128699999999</v>
      </c>
      <c r="AV196" s="94">
        <f t="shared" si="212"/>
        <v>0.51383372449999998</v>
      </c>
      <c r="AW196" s="95">
        <f t="shared" si="213"/>
        <v>0</v>
      </c>
      <c r="AX196" s="95">
        <f t="shared" si="214"/>
        <v>3.6000000000000001E-5</v>
      </c>
      <c r="AY196" s="95">
        <f t="shared" si="215"/>
        <v>1.8498014081999999E-5</v>
      </c>
    </row>
    <row r="197" spans="1:51" ht="15" thickBot="1" x14ac:dyDescent="0.35">
      <c r="A197" s="48" t="s">
        <v>23</v>
      </c>
      <c r="B197" s="48" t="str">
        <f>B192</f>
        <v>Трубопровод керосина рег. № 757</v>
      </c>
      <c r="C197" s="166" t="s">
        <v>164</v>
      </c>
      <c r="D197" s="49" t="s">
        <v>61</v>
      </c>
      <c r="E197" s="154">
        <f>E195</f>
        <v>5.0000000000000004E-6</v>
      </c>
      <c r="F197" s="155">
        <f>F192</f>
        <v>180</v>
      </c>
      <c r="G197" s="48">
        <v>0.76</v>
      </c>
      <c r="H197" s="50">
        <f t="shared" si="205"/>
        <v>6.8400000000000004E-4</v>
      </c>
      <c r="I197" s="149">
        <f>0.15*I192</f>
        <v>1.4534999999999998</v>
      </c>
      <c r="J197" s="48">
        <v>0</v>
      </c>
      <c r="K197" s="162" t="s">
        <v>191</v>
      </c>
      <c r="L197" s="168">
        <v>3</v>
      </c>
      <c r="M197" s="92" t="str">
        <f t="shared" si="206"/>
        <v>С6</v>
      </c>
      <c r="N197" s="92" t="str">
        <f t="shared" si="207"/>
        <v>Трубопровод керосина рег. № 757</v>
      </c>
      <c r="O197" s="92" t="str">
        <f t="shared" si="208"/>
        <v>Частичное-ликвидация</v>
      </c>
      <c r="P197" s="92" t="s">
        <v>83</v>
      </c>
      <c r="Q197" s="92" t="s">
        <v>83</v>
      </c>
      <c r="R197" s="92" t="s">
        <v>83</v>
      </c>
      <c r="S197" s="92" t="s">
        <v>83</v>
      </c>
      <c r="T197" s="92" t="s">
        <v>83</v>
      </c>
      <c r="U197" s="92" t="s">
        <v>83</v>
      </c>
      <c r="V197" s="92" t="s">
        <v>83</v>
      </c>
      <c r="W197" s="92" t="s">
        <v>83</v>
      </c>
      <c r="X197" s="92" t="s">
        <v>83</v>
      </c>
      <c r="Y197" s="92" t="s">
        <v>83</v>
      </c>
      <c r="Z197" s="92" t="s">
        <v>83</v>
      </c>
      <c r="AA197" s="92" t="s">
        <v>83</v>
      </c>
      <c r="AB197" s="92" t="s">
        <v>83</v>
      </c>
      <c r="AC197" s="92" t="s">
        <v>83</v>
      </c>
      <c r="AD197" s="92" t="s">
        <v>83</v>
      </c>
      <c r="AE197" s="92" t="s">
        <v>83</v>
      </c>
      <c r="AF197" s="92" t="s">
        <v>83</v>
      </c>
      <c r="AG197" s="92" t="s">
        <v>83</v>
      </c>
      <c r="AH197" s="92" t="s">
        <v>83</v>
      </c>
      <c r="AI197" s="92" t="s">
        <v>83</v>
      </c>
      <c r="AJ197" s="92">
        <v>0</v>
      </c>
      <c r="AK197" s="92">
        <v>0</v>
      </c>
      <c r="AL197" s="92">
        <f>0.1*$AL$2</f>
        <v>7.5000000000000002E-4</v>
      </c>
      <c r="AM197" s="92">
        <f>AM192</f>
        <v>2.7E-2</v>
      </c>
      <c r="AN197" s="92">
        <f>ROUNDUP(AN192/3,0)</f>
        <v>1</v>
      </c>
      <c r="AO197" s="92"/>
      <c r="AP197" s="92"/>
      <c r="AQ197" s="93">
        <f>AM197*I197*0.1+AL197</f>
        <v>4.6744499999999993E-3</v>
      </c>
      <c r="AR197" s="93">
        <f t="shared" si="209"/>
        <v>4.6744499999999993E-4</v>
      </c>
      <c r="AS197" s="94">
        <f t="shared" si="210"/>
        <v>0</v>
      </c>
      <c r="AT197" s="94">
        <f t="shared" si="211"/>
        <v>1.2854737499999997E-3</v>
      </c>
      <c r="AU197" s="93">
        <f>1333*J196*POWER(10,-6)</f>
        <v>1.9375154999999996E-3</v>
      </c>
      <c r="AV197" s="94">
        <f t="shared" si="212"/>
        <v>8.3648842499999994E-3</v>
      </c>
      <c r="AW197" s="95">
        <f t="shared" si="213"/>
        <v>0</v>
      </c>
      <c r="AX197" s="95">
        <f t="shared" si="214"/>
        <v>0</v>
      </c>
      <c r="AY197" s="95">
        <f t="shared" si="215"/>
        <v>5.7215808269999996E-6</v>
      </c>
    </row>
    <row r="198" spans="1:51" x14ac:dyDescent="0.3">
      <c r="A198" s="48"/>
      <c r="B198" s="48"/>
      <c r="C198" s="166"/>
      <c r="D198" s="49"/>
      <c r="E198" s="154"/>
      <c r="F198" s="155"/>
      <c r="G198" s="48"/>
      <c r="H198" s="50"/>
      <c r="I198" s="149"/>
      <c r="J198" s="48"/>
      <c r="K198" s="278"/>
      <c r="L198" s="279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3"/>
      <c r="AR198" s="93"/>
      <c r="AS198" s="94"/>
      <c r="AT198" s="94"/>
      <c r="AU198" s="93"/>
      <c r="AV198" s="94"/>
      <c r="AW198" s="95"/>
      <c r="AX198" s="95"/>
      <c r="AY198" s="95"/>
    </row>
    <row r="199" spans="1:51" s="267" customFormat="1" x14ac:dyDescent="0.3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</row>
    <row r="200" spans="1:51" s="267" customFormat="1" x14ac:dyDescent="0.3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</row>
    <row r="201" spans="1:51" ht="15" thickBot="1" x14ac:dyDescent="0.35"/>
    <row r="202" spans="1:51" s="179" customFormat="1" ht="15" thickBot="1" x14ac:dyDescent="0.35">
      <c r="A202" s="169" t="s">
        <v>18</v>
      </c>
      <c r="B202" s="170" t="s">
        <v>610</v>
      </c>
      <c r="C202" s="171" t="s">
        <v>227</v>
      </c>
      <c r="D202" s="172" t="s">
        <v>183</v>
      </c>
      <c r="E202" s="173">
        <v>1.0000000000000001E-5</v>
      </c>
      <c r="F202" s="170">
        <v>1</v>
      </c>
      <c r="G202" s="169">
        <v>1.4999999999999999E-2</v>
      </c>
      <c r="H202" s="174">
        <f t="shared" ref="H202:H207" si="216">E202*F202*G202</f>
        <v>1.5000000000000002E-7</v>
      </c>
      <c r="I202" s="175">
        <f>(70/3600)*12</f>
        <v>0.23333333333333334</v>
      </c>
      <c r="J202" s="187">
        <f>I202</f>
        <v>0.23333333333333334</v>
      </c>
      <c r="K202" s="177" t="s">
        <v>175</v>
      </c>
      <c r="L202" s="422">
        <f>J202*20</f>
        <v>4.666666666666667</v>
      </c>
      <c r="M202" s="179" t="str">
        <f t="shared" ref="M202:M207" si="217">A202</f>
        <v>С1</v>
      </c>
      <c r="N202" s="179" t="str">
        <f t="shared" ref="N202:N207" si="218">B202</f>
        <v>Насос центробежный (8320P0012B)</v>
      </c>
      <c r="O202" s="179" t="str">
        <f t="shared" ref="O202:O207" si="219">D202</f>
        <v>Полное-факел</v>
      </c>
      <c r="P202" s="179" t="s">
        <v>83</v>
      </c>
      <c r="Q202" s="179" t="s">
        <v>83</v>
      </c>
      <c r="R202" s="179" t="s">
        <v>83</v>
      </c>
      <c r="S202" s="179" t="s">
        <v>83</v>
      </c>
      <c r="T202" s="179" t="s">
        <v>83</v>
      </c>
      <c r="U202" s="179" t="s">
        <v>83</v>
      </c>
      <c r="V202" s="179" t="s">
        <v>83</v>
      </c>
      <c r="W202" s="179" t="s">
        <v>83</v>
      </c>
      <c r="X202" s="179" t="s">
        <v>83</v>
      </c>
      <c r="Y202" s="179" t="s">
        <v>83</v>
      </c>
      <c r="Z202" s="179" t="s">
        <v>83</v>
      </c>
      <c r="AA202" s="179" t="s">
        <v>83</v>
      </c>
      <c r="AB202" s="179" t="s">
        <v>83</v>
      </c>
      <c r="AC202" s="179" t="s">
        <v>83</v>
      </c>
      <c r="AD202" s="179" t="s">
        <v>83</v>
      </c>
      <c r="AE202" s="179" t="s">
        <v>83</v>
      </c>
      <c r="AF202" s="179" t="s">
        <v>83</v>
      </c>
      <c r="AG202" s="179" t="s">
        <v>83</v>
      </c>
      <c r="AH202" s="179" t="s">
        <v>83</v>
      </c>
      <c r="AI202" s="179" t="s">
        <v>83</v>
      </c>
      <c r="AJ202" s="180">
        <v>1</v>
      </c>
      <c r="AK202" s="180">
        <v>2</v>
      </c>
      <c r="AL202" s="181">
        <v>0.75</v>
      </c>
      <c r="AM202" s="181">
        <v>2.7E-2</v>
      </c>
      <c r="AN202" s="181">
        <v>3</v>
      </c>
      <c r="AQ202" s="182">
        <f>AM202*I202+AL202</f>
        <v>0.75629999999999997</v>
      </c>
      <c r="AR202" s="182">
        <f t="shared" ref="AR202:AR207" si="220">0.1*AQ202</f>
        <v>7.5630000000000003E-2</v>
      </c>
      <c r="AS202" s="183">
        <f t="shared" ref="AS202:AS207" si="221">AJ202*3+0.25*AK202</f>
        <v>3.5</v>
      </c>
      <c r="AT202" s="183">
        <f t="shared" ref="AT202:AT207" si="222">SUM(AQ202:AS202)/4</f>
        <v>1.0829825</v>
      </c>
      <c r="AU202" s="182">
        <f>10068.2*J202*POWER(10,-6)</f>
        <v>2.3492466666666669E-3</v>
      </c>
      <c r="AV202" s="183">
        <f t="shared" ref="AV202:AV207" si="223">AU202+AT202+AS202+AR202+AQ202</f>
        <v>5.4172617466666662</v>
      </c>
      <c r="AW202" s="184">
        <f t="shared" ref="AW202:AW207" si="224">AJ202*H202</f>
        <v>1.5000000000000002E-7</v>
      </c>
      <c r="AX202" s="184">
        <f t="shared" ref="AX202:AX207" si="225">H202*AK202</f>
        <v>3.0000000000000004E-7</v>
      </c>
      <c r="AY202" s="184">
        <f t="shared" ref="AY202:AY207" si="226">H202*AV202</f>
        <v>8.1258926200000007E-7</v>
      </c>
    </row>
    <row r="203" spans="1:51" s="179" customFormat="1" ht="15" thickBot="1" x14ac:dyDescent="0.35">
      <c r="A203" s="169" t="s">
        <v>19</v>
      </c>
      <c r="B203" s="169" t="str">
        <f>B202</f>
        <v>Насос центробежный (8320P0012B)</v>
      </c>
      <c r="C203" s="171" t="s">
        <v>238</v>
      </c>
      <c r="D203" s="172" t="s">
        <v>59</v>
      </c>
      <c r="E203" s="185">
        <f>E202</f>
        <v>1.0000000000000001E-5</v>
      </c>
      <c r="F203" s="186">
        <f>F202</f>
        <v>1</v>
      </c>
      <c r="G203" s="169">
        <v>1.4249999999999999E-2</v>
      </c>
      <c r="H203" s="174">
        <f t="shared" si="216"/>
        <v>1.4250000000000001E-7</v>
      </c>
      <c r="I203" s="187">
        <f>I202</f>
        <v>0.23333333333333334</v>
      </c>
      <c r="J203" s="175">
        <f>I202</f>
        <v>0.23333333333333334</v>
      </c>
      <c r="K203" s="177" t="s">
        <v>176</v>
      </c>
      <c r="L203" s="178">
        <v>0</v>
      </c>
      <c r="M203" s="179" t="str">
        <f t="shared" si="217"/>
        <v>С2</v>
      </c>
      <c r="N203" s="179" t="str">
        <f t="shared" si="218"/>
        <v>Насос центробежный (8320P0012B)</v>
      </c>
      <c r="O203" s="179" t="str">
        <f t="shared" si="219"/>
        <v>Полное-пожар</v>
      </c>
      <c r="P203" s="179" t="s">
        <v>83</v>
      </c>
      <c r="Q203" s="179" t="s">
        <v>83</v>
      </c>
      <c r="R203" s="179" t="s">
        <v>83</v>
      </c>
      <c r="S203" s="179" t="s">
        <v>83</v>
      </c>
      <c r="T203" s="179" t="s">
        <v>83</v>
      </c>
      <c r="U203" s="179" t="s">
        <v>83</v>
      </c>
      <c r="V203" s="179" t="s">
        <v>83</v>
      </c>
      <c r="W203" s="179" t="s">
        <v>83</v>
      </c>
      <c r="X203" s="179" t="s">
        <v>83</v>
      </c>
      <c r="Y203" s="179" t="s">
        <v>83</v>
      </c>
      <c r="Z203" s="179" t="s">
        <v>83</v>
      </c>
      <c r="AA203" s="179" t="s">
        <v>83</v>
      </c>
      <c r="AB203" s="179" t="s">
        <v>83</v>
      </c>
      <c r="AC203" s="179" t="s">
        <v>83</v>
      </c>
      <c r="AD203" s="179" t="s">
        <v>83</v>
      </c>
      <c r="AE203" s="179" t="s">
        <v>83</v>
      </c>
      <c r="AF203" s="179" t="s">
        <v>83</v>
      </c>
      <c r="AG203" s="179" t="s">
        <v>83</v>
      </c>
      <c r="AH203" s="179" t="s">
        <v>83</v>
      </c>
      <c r="AI203" s="179" t="s">
        <v>83</v>
      </c>
      <c r="AJ203" s="180">
        <v>2</v>
      </c>
      <c r="AK203" s="180">
        <v>2</v>
      </c>
      <c r="AL203" s="179">
        <f>AL202</f>
        <v>0.75</v>
      </c>
      <c r="AM203" s="179">
        <f>AM202</f>
        <v>2.7E-2</v>
      </c>
      <c r="AN203" s="179">
        <f>AN202</f>
        <v>3</v>
      </c>
      <c r="AQ203" s="182">
        <f>AM203*I203+AL203</f>
        <v>0.75629999999999997</v>
      </c>
      <c r="AR203" s="182">
        <f t="shared" si="220"/>
        <v>7.5630000000000003E-2</v>
      </c>
      <c r="AS203" s="183">
        <f t="shared" si="221"/>
        <v>6.5</v>
      </c>
      <c r="AT203" s="183">
        <f t="shared" si="222"/>
        <v>1.8329825</v>
      </c>
      <c r="AU203" s="182">
        <f>10068.2*J203*POWER(10,-6)*10</f>
        <v>2.349246666666667E-2</v>
      </c>
      <c r="AV203" s="183">
        <f t="shared" si="223"/>
        <v>9.188404966666667</v>
      </c>
      <c r="AW203" s="184">
        <f t="shared" si="224"/>
        <v>2.8500000000000002E-7</v>
      </c>
      <c r="AX203" s="184">
        <f t="shared" si="225"/>
        <v>2.8500000000000002E-7</v>
      </c>
      <c r="AY203" s="184">
        <f t="shared" si="226"/>
        <v>1.3093477077500001E-6</v>
      </c>
    </row>
    <row r="204" spans="1:51" s="179" customFormat="1" x14ac:dyDescent="0.3">
      <c r="A204" s="169" t="s">
        <v>20</v>
      </c>
      <c r="B204" s="169" t="str">
        <f>B202</f>
        <v>Насос центробежный (8320P0012B)</v>
      </c>
      <c r="C204" s="171" t="s">
        <v>239</v>
      </c>
      <c r="D204" s="172" t="s">
        <v>60</v>
      </c>
      <c r="E204" s="185">
        <f>E202</f>
        <v>1.0000000000000001E-5</v>
      </c>
      <c r="F204" s="186">
        <f>F202</f>
        <v>1</v>
      </c>
      <c r="G204" s="169">
        <v>0.27074999999999999</v>
      </c>
      <c r="H204" s="174">
        <f t="shared" si="216"/>
        <v>2.7075000000000003E-6</v>
      </c>
      <c r="I204" s="187">
        <f>I202</f>
        <v>0.23333333333333334</v>
      </c>
      <c r="J204" s="169">
        <v>0</v>
      </c>
      <c r="K204" s="177" t="s">
        <v>177</v>
      </c>
      <c r="L204" s="178">
        <v>1</v>
      </c>
      <c r="M204" s="179" t="str">
        <f t="shared" si="217"/>
        <v>С3</v>
      </c>
      <c r="N204" s="179" t="str">
        <f t="shared" si="218"/>
        <v>Насос центробежный (8320P0012B)</v>
      </c>
      <c r="O204" s="179" t="str">
        <f t="shared" si="219"/>
        <v>Полное-ликвидация</v>
      </c>
      <c r="P204" s="179" t="s">
        <v>83</v>
      </c>
      <c r="Q204" s="179" t="s">
        <v>83</v>
      </c>
      <c r="R204" s="179" t="s">
        <v>83</v>
      </c>
      <c r="S204" s="179" t="s">
        <v>83</v>
      </c>
      <c r="T204" s="179" t="s">
        <v>83</v>
      </c>
      <c r="U204" s="179" t="s">
        <v>83</v>
      </c>
      <c r="V204" s="179" t="s">
        <v>83</v>
      </c>
      <c r="W204" s="179" t="s">
        <v>83</v>
      </c>
      <c r="X204" s="179" t="s">
        <v>83</v>
      </c>
      <c r="Y204" s="179" t="s">
        <v>83</v>
      </c>
      <c r="Z204" s="179" t="s">
        <v>83</v>
      </c>
      <c r="AA204" s="179" t="s">
        <v>83</v>
      </c>
      <c r="AB204" s="179" t="s">
        <v>83</v>
      </c>
      <c r="AC204" s="179" t="s">
        <v>83</v>
      </c>
      <c r="AD204" s="179" t="s">
        <v>83</v>
      </c>
      <c r="AE204" s="179" t="s">
        <v>83</v>
      </c>
      <c r="AF204" s="179" t="s">
        <v>83</v>
      </c>
      <c r="AG204" s="179" t="s">
        <v>83</v>
      </c>
      <c r="AH204" s="179" t="s">
        <v>83</v>
      </c>
      <c r="AI204" s="179" t="s">
        <v>83</v>
      </c>
      <c r="AJ204" s="179">
        <v>0</v>
      </c>
      <c r="AK204" s="179">
        <v>0</v>
      </c>
      <c r="AL204" s="179">
        <f>AL202</f>
        <v>0.75</v>
      </c>
      <c r="AM204" s="179">
        <f>AM202</f>
        <v>2.7E-2</v>
      </c>
      <c r="AN204" s="179">
        <f>AN202</f>
        <v>3</v>
      </c>
      <c r="AQ204" s="182">
        <f>AM204*I204*0.1+AL204</f>
        <v>0.75063000000000002</v>
      </c>
      <c r="AR204" s="182">
        <f t="shared" si="220"/>
        <v>7.5063000000000005E-2</v>
      </c>
      <c r="AS204" s="183">
        <f t="shared" si="221"/>
        <v>0</v>
      </c>
      <c r="AT204" s="183">
        <f t="shared" si="222"/>
        <v>0.20642325</v>
      </c>
      <c r="AU204" s="182">
        <f>1333*J203*POWER(10,-6)</f>
        <v>3.1103333333333332E-4</v>
      </c>
      <c r="AV204" s="183">
        <f t="shared" si="223"/>
        <v>1.0324272833333334</v>
      </c>
      <c r="AW204" s="184">
        <f t="shared" si="224"/>
        <v>0</v>
      </c>
      <c r="AX204" s="184">
        <f t="shared" si="225"/>
        <v>0</v>
      </c>
      <c r="AY204" s="184">
        <f t="shared" si="226"/>
        <v>2.7952968696250008E-6</v>
      </c>
    </row>
    <row r="205" spans="1:51" s="179" customFormat="1" x14ac:dyDescent="0.3">
      <c r="A205" s="169" t="s">
        <v>21</v>
      </c>
      <c r="B205" s="169" t="str">
        <f>B202</f>
        <v>Насос центробежный (8320P0012B)</v>
      </c>
      <c r="C205" s="171" t="s">
        <v>230</v>
      </c>
      <c r="D205" s="172" t="s">
        <v>84</v>
      </c>
      <c r="E205" s="185">
        <f>E203</f>
        <v>1.0000000000000001E-5</v>
      </c>
      <c r="F205" s="186">
        <f>F202</f>
        <v>1</v>
      </c>
      <c r="G205" s="169">
        <v>3.4999999999999996E-2</v>
      </c>
      <c r="H205" s="174">
        <f t="shared" si="216"/>
        <v>3.4999999999999998E-7</v>
      </c>
      <c r="I205" s="187">
        <f>0.15*I202</f>
        <v>3.4999999999999996E-2</v>
      </c>
      <c r="J205" s="187">
        <f>I205</f>
        <v>3.4999999999999996E-2</v>
      </c>
      <c r="K205" s="190" t="s">
        <v>179</v>
      </c>
      <c r="L205" s="191">
        <v>45390</v>
      </c>
      <c r="M205" s="179" t="str">
        <f t="shared" si="217"/>
        <v>С4</v>
      </c>
      <c r="N205" s="179" t="str">
        <f t="shared" si="218"/>
        <v>Насос центробежный (8320P0012B)</v>
      </c>
      <c r="O205" s="179" t="str">
        <f t="shared" si="219"/>
        <v>Частичное-пожар</v>
      </c>
      <c r="P205" s="179" t="s">
        <v>83</v>
      </c>
      <c r="Q205" s="179" t="s">
        <v>83</v>
      </c>
      <c r="R205" s="179" t="s">
        <v>83</v>
      </c>
      <c r="S205" s="179" t="s">
        <v>83</v>
      </c>
      <c r="T205" s="179" t="s">
        <v>83</v>
      </c>
      <c r="U205" s="179" t="s">
        <v>83</v>
      </c>
      <c r="V205" s="179" t="s">
        <v>83</v>
      </c>
      <c r="W205" s="179" t="s">
        <v>83</v>
      </c>
      <c r="X205" s="179" t="s">
        <v>83</v>
      </c>
      <c r="Y205" s="179" t="s">
        <v>83</v>
      </c>
      <c r="Z205" s="179" t="s">
        <v>83</v>
      </c>
      <c r="AA205" s="179" t="s">
        <v>83</v>
      </c>
      <c r="AB205" s="179" t="s">
        <v>83</v>
      </c>
      <c r="AC205" s="179" t="s">
        <v>83</v>
      </c>
      <c r="AD205" s="179" t="s">
        <v>83</v>
      </c>
      <c r="AE205" s="179" t="s">
        <v>83</v>
      </c>
      <c r="AF205" s="179" t="s">
        <v>83</v>
      </c>
      <c r="AG205" s="179" t="s">
        <v>83</v>
      </c>
      <c r="AH205" s="179" t="s">
        <v>83</v>
      </c>
      <c r="AI205" s="179" t="s">
        <v>83</v>
      </c>
      <c r="AJ205" s="179">
        <v>0</v>
      </c>
      <c r="AK205" s="179">
        <v>2</v>
      </c>
      <c r="AL205" s="179">
        <f>0.1*$AL$2</f>
        <v>7.5000000000000002E-4</v>
      </c>
      <c r="AM205" s="179">
        <f>AM202</f>
        <v>2.7E-2</v>
      </c>
      <c r="AN205" s="179">
        <f>ROUNDUP(AN202/3,0)</f>
        <v>1</v>
      </c>
      <c r="AQ205" s="182">
        <f>AM205*I205+AL205</f>
        <v>1.6949999999999999E-3</v>
      </c>
      <c r="AR205" s="182">
        <f t="shared" si="220"/>
        <v>1.695E-4</v>
      </c>
      <c r="AS205" s="183">
        <f t="shared" si="221"/>
        <v>0.5</v>
      </c>
      <c r="AT205" s="183">
        <f t="shared" si="222"/>
        <v>0.12546612500000001</v>
      </c>
      <c r="AU205" s="182">
        <f>10068.2*J205*POWER(10,-6)</f>
        <v>3.5238699999999996E-4</v>
      </c>
      <c r="AV205" s="183">
        <f t="shared" si="223"/>
        <v>0.6276830120000001</v>
      </c>
      <c r="AW205" s="184">
        <f t="shared" si="224"/>
        <v>0</v>
      </c>
      <c r="AX205" s="184">
        <f t="shared" si="225"/>
        <v>6.9999999999999997E-7</v>
      </c>
      <c r="AY205" s="184">
        <f t="shared" si="226"/>
        <v>2.1968905420000003E-7</v>
      </c>
    </row>
    <row r="206" spans="1:51" s="179" customFormat="1" x14ac:dyDescent="0.3">
      <c r="A206" s="169" t="s">
        <v>22</v>
      </c>
      <c r="B206" s="169" t="str">
        <f>B202</f>
        <v>Насос центробежный (8320P0012B)</v>
      </c>
      <c r="C206" s="171" t="s">
        <v>232</v>
      </c>
      <c r="D206" s="172" t="s">
        <v>84</v>
      </c>
      <c r="E206" s="185">
        <f>E204</f>
        <v>1.0000000000000001E-5</v>
      </c>
      <c r="F206" s="186">
        <f>F202</f>
        <v>1</v>
      </c>
      <c r="G206" s="169">
        <v>3.3249999999999995E-2</v>
      </c>
      <c r="H206" s="174">
        <f t="shared" si="216"/>
        <v>3.3249999999999999E-7</v>
      </c>
      <c r="I206" s="187">
        <f>0.15*I202</f>
        <v>3.4999999999999996E-2</v>
      </c>
      <c r="J206" s="187">
        <f>I205</f>
        <v>3.4999999999999996E-2</v>
      </c>
      <c r="K206" s="190" t="s">
        <v>180</v>
      </c>
      <c r="L206" s="191">
        <v>3</v>
      </c>
      <c r="M206" s="179" t="str">
        <f t="shared" si="217"/>
        <v>С5</v>
      </c>
      <c r="N206" s="179" t="str">
        <f t="shared" si="218"/>
        <v>Насос центробежный (8320P0012B)</v>
      </c>
      <c r="O206" s="179" t="str">
        <f t="shared" si="219"/>
        <v>Частичное-пожар</v>
      </c>
      <c r="P206" s="179" t="s">
        <v>83</v>
      </c>
      <c r="Q206" s="179" t="s">
        <v>83</v>
      </c>
      <c r="R206" s="179" t="s">
        <v>83</v>
      </c>
      <c r="S206" s="179" t="s">
        <v>83</v>
      </c>
      <c r="T206" s="179" t="s">
        <v>83</v>
      </c>
      <c r="U206" s="179" t="s">
        <v>83</v>
      </c>
      <c r="V206" s="179" t="s">
        <v>83</v>
      </c>
      <c r="W206" s="179" t="s">
        <v>83</v>
      </c>
      <c r="X206" s="179" t="s">
        <v>83</v>
      </c>
      <c r="Y206" s="179" t="s">
        <v>83</v>
      </c>
      <c r="Z206" s="179" t="s">
        <v>83</v>
      </c>
      <c r="AA206" s="179" t="s">
        <v>83</v>
      </c>
      <c r="AB206" s="179" t="s">
        <v>83</v>
      </c>
      <c r="AC206" s="179" t="s">
        <v>83</v>
      </c>
      <c r="AD206" s="179" t="s">
        <v>83</v>
      </c>
      <c r="AE206" s="179" t="s">
        <v>83</v>
      </c>
      <c r="AF206" s="179" t="s">
        <v>83</v>
      </c>
      <c r="AG206" s="179" t="s">
        <v>83</v>
      </c>
      <c r="AH206" s="179" t="s">
        <v>83</v>
      </c>
      <c r="AI206" s="179" t="s">
        <v>83</v>
      </c>
      <c r="AJ206" s="179">
        <v>0</v>
      </c>
      <c r="AK206" s="179">
        <v>1</v>
      </c>
      <c r="AL206" s="179">
        <f>0.1*$AL$2</f>
        <v>7.5000000000000002E-4</v>
      </c>
      <c r="AM206" s="179">
        <f>AM202</f>
        <v>2.7E-2</v>
      </c>
      <c r="AN206" s="179">
        <f>ROUNDUP(AN202/3,0)</f>
        <v>1</v>
      </c>
      <c r="AQ206" s="182">
        <f>AM206*I206+AL206</f>
        <v>1.6949999999999999E-3</v>
      </c>
      <c r="AR206" s="182">
        <f t="shared" si="220"/>
        <v>1.695E-4</v>
      </c>
      <c r="AS206" s="183">
        <f t="shared" si="221"/>
        <v>0.25</v>
      </c>
      <c r="AT206" s="183">
        <f t="shared" si="222"/>
        <v>6.2966124999999998E-2</v>
      </c>
      <c r="AU206" s="182">
        <f>10068.2*J206*POWER(10,-6)*10</f>
        <v>3.5238699999999997E-3</v>
      </c>
      <c r="AV206" s="183">
        <f t="shared" si="223"/>
        <v>0.31835449499999996</v>
      </c>
      <c r="AW206" s="184">
        <f t="shared" si="224"/>
        <v>0</v>
      </c>
      <c r="AX206" s="184">
        <f t="shared" si="225"/>
        <v>3.3249999999999999E-7</v>
      </c>
      <c r="AY206" s="184">
        <f t="shared" si="226"/>
        <v>1.0585286958749999E-7</v>
      </c>
    </row>
    <row r="207" spans="1:51" s="179" customFormat="1" ht="15" thickBot="1" x14ac:dyDescent="0.35">
      <c r="A207" s="169" t="s">
        <v>23</v>
      </c>
      <c r="B207" s="169" t="str">
        <f>B202</f>
        <v>Насос центробежный (8320P0012B)</v>
      </c>
      <c r="C207" s="171" t="s">
        <v>231</v>
      </c>
      <c r="D207" s="172" t="s">
        <v>617</v>
      </c>
      <c r="E207" s="185">
        <f>E205</f>
        <v>1.0000000000000001E-5</v>
      </c>
      <c r="F207" s="186">
        <f>F202</f>
        <v>1</v>
      </c>
      <c r="G207" s="169">
        <v>0.63174999999999992</v>
      </c>
      <c r="H207" s="174">
        <f t="shared" si="216"/>
        <v>6.3175000000000001E-6</v>
      </c>
      <c r="I207" s="187">
        <f>0.15*I202</f>
        <v>3.4999999999999996E-2</v>
      </c>
      <c r="J207" s="169">
        <v>0</v>
      </c>
      <c r="K207" s="192" t="s">
        <v>191</v>
      </c>
      <c r="L207" s="192">
        <v>18</v>
      </c>
      <c r="M207" s="179" t="str">
        <f t="shared" si="217"/>
        <v>С6</v>
      </c>
      <c r="N207" s="179" t="str">
        <f t="shared" si="218"/>
        <v>Насос центробежный (8320P0012B)</v>
      </c>
      <c r="O207" s="179" t="str">
        <f t="shared" si="219"/>
        <v>Частичное-ликв</v>
      </c>
      <c r="P207" s="179" t="s">
        <v>83</v>
      </c>
      <c r="Q207" s="179" t="s">
        <v>83</v>
      </c>
      <c r="R207" s="179" t="s">
        <v>83</v>
      </c>
      <c r="S207" s="179" t="s">
        <v>83</v>
      </c>
      <c r="T207" s="179" t="s">
        <v>83</v>
      </c>
      <c r="U207" s="179" t="s">
        <v>83</v>
      </c>
      <c r="V207" s="179" t="s">
        <v>83</v>
      </c>
      <c r="W207" s="179" t="s">
        <v>83</v>
      </c>
      <c r="X207" s="179" t="s">
        <v>83</v>
      </c>
      <c r="Y207" s="179" t="s">
        <v>83</v>
      </c>
      <c r="Z207" s="179" t="s">
        <v>83</v>
      </c>
      <c r="AA207" s="179" t="s">
        <v>83</v>
      </c>
      <c r="AB207" s="179" t="s">
        <v>83</v>
      </c>
      <c r="AC207" s="179" t="s">
        <v>83</v>
      </c>
      <c r="AD207" s="179" t="s">
        <v>83</v>
      </c>
      <c r="AE207" s="179" t="s">
        <v>83</v>
      </c>
      <c r="AF207" s="179" t="s">
        <v>83</v>
      </c>
      <c r="AG207" s="179" t="s">
        <v>83</v>
      </c>
      <c r="AH207" s="179" t="s">
        <v>83</v>
      </c>
      <c r="AI207" s="179" t="s">
        <v>83</v>
      </c>
      <c r="AJ207" s="179">
        <v>0</v>
      </c>
      <c r="AK207" s="179">
        <v>0</v>
      </c>
      <c r="AL207" s="179">
        <f>0.1*$AL$2</f>
        <v>7.5000000000000002E-4</v>
      </c>
      <c r="AM207" s="179">
        <f>AM202</f>
        <v>2.7E-2</v>
      </c>
      <c r="AN207" s="179">
        <f>ROUNDUP(AN202/3,0)</f>
        <v>1</v>
      </c>
      <c r="AQ207" s="182">
        <f>AM207*I207*0.1+AL207</f>
        <v>8.4449999999999998E-4</v>
      </c>
      <c r="AR207" s="182">
        <f t="shared" si="220"/>
        <v>8.4450000000000006E-5</v>
      </c>
      <c r="AS207" s="183">
        <f t="shared" si="221"/>
        <v>0</v>
      </c>
      <c r="AT207" s="183">
        <f t="shared" si="222"/>
        <v>2.322375E-4</v>
      </c>
      <c r="AU207" s="182">
        <f>1333*J206*POWER(10,-6)</f>
        <v>4.6654999999999993E-5</v>
      </c>
      <c r="AV207" s="183">
        <f t="shared" si="223"/>
        <v>1.2078424999999999E-3</v>
      </c>
      <c r="AW207" s="184">
        <f t="shared" si="224"/>
        <v>0</v>
      </c>
      <c r="AX207" s="184">
        <f t="shared" si="225"/>
        <v>0</v>
      </c>
      <c r="AY207" s="184">
        <f t="shared" si="226"/>
        <v>7.6305449937499998E-9</v>
      </c>
    </row>
    <row r="208" spans="1:51" s="179" customFormat="1" x14ac:dyDescent="0.3">
      <c r="A208" s="180"/>
      <c r="B208" s="180"/>
      <c r="D208" s="271"/>
      <c r="E208" s="272"/>
      <c r="F208" s="273"/>
      <c r="G208" s="180"/>
      <c r="H208" s="184"/>
      <c r="I208" s="183"/>
      <c r="J208" s="180"/>
      <c r="K208" s="180"/>
      <c r="L208" s="180"/>
      <c r="AQ208" s="182"/>
      <c r="AR208" s="182"/>
      <c r="AS208" s="183"/>
      <c r="AT208" s="183"/>
      <c r="AU208" s="182"/>
      <c r="AV208" s="183"/>
      <c r="AW208" s="184"/>
      <c r="AX208" s="184"/>
      <c r="AY208" s="184"/>
    </row>
    <row r="209" spans="1:51" s="179" customFormat="1" x14ac:dyDescent="0.3">
      <c r="A209" s="180"/>
      <c r="B209" s="180"/>
      <c r="D209" s="271"/>
      <c r="E209" s="272"/>
      <c r="F209" s="273"/>
      <c r="G209" s="180"/>
      <c r="H209" s="184"/>
      <c r="I209" s="183"/>
      <c r="J209" s="180"/>
      <c r="K209" s="180"/>
      <c r="L209" s="180"/>
      <c r="AQ209" s="182"/>
      <c r="AR209" s="182"/>
      <c r="AS209" s="183"/>
      <c r="AT209" s="183"/>
      <c r="AU209" s="182"/>
      <c r="AV209" s="183"/>
      <c r="AW209" s="184"/>
      <c r="AX209" s="184"/>
      <c r="AY209" s="184"/>
    </row>
    <row r="210" spans="1:51" s="179" customFormat="1" x14ac:dyDescent="0.3">
      <c r="A210" s="180"/>
      <c r="B210" s="180"/>
      <c r="D210" s="271"/>
      <c r="E210" s="272"/>
      <c r="F210" s="273"/>
      <c r="G210" s="180"/>
      <c r="H210" s="184"/>
      <c r="I210" s="183"/>
      <c r="J210" s="180"/>
      <c r="K210" s="180"/>
      <c r="L210" s="180"/>
      <c r="AQ210" s="182"/>
      <c r="AR210" s="182"/>
      <c r="AS210" s="183"/>
      <c r="AT210" s="183"/>
      <c r="AU210" s="182"/>
      <c r="AV210" s="183"/>
      <c r="AW210" s="184"/>
      <c r="AX210" s="184"/>
      <c r="AY210" s="184"/>
    </row>
    <row r="211" spans="1:51" ht="15" thickBot="1" x14ac:dyDescent="0.35"/>
    <row r="212" spans="1:51" s="179" customFormat="1" ht="15" thickBot="1" x14ac:dyDescent="0.35">
      <c r="A212" s="169" t="s">
        <v>18</v>
      </c>
      <c r="B212" s="312" t="s">
        <v>611</v>
      </c>
      <c r="C212" s="171" t="s">
        <v>196</v>
      </c>
      <c r="D212" s="172" t="s">
        <v>59</v>
      </c>
      <c r="E212" s="173">
        <v>1.0000000000000001E-5</v>
      </c>
      <c r="F212" s="170">
        <v>1</v>
      </c>
      <c r="G212" s="169">
        <v>0.1</v>
      </c>
      <c r="H212" s="174">
        <f t="shared" ref="H212:H217" si="227">E212*F212*G212</f>
        <v>1.0000000000000002E-6</v>
      </c>
      <c r="I212" s="175">
        <v>17.7</v>
      </c>
      <c r="J212" s="187">
        <f>I212</f>
        <v>17.7</v>
      </c>
      <c r="K212" s="177" t="s">
        <v>175</v>
      </c>
      <c r="L212" s="178">
        <v>180</v>
      </c>
      <c r="M212" s="179" t="str">
        <f t="shared" ref="M212:M217" si="228">A212</f>
        <v>С1</v>
      </c>
      <c r="N212" s="179" t="str">
        <f t="shared" ref="N212:N217" si="229">B212</f>
        <v>Емкость (8321D0001)</v>
      </c>
      <c r="O212" s="179" t="str">
        <f t="shared" ref="O212:O217" si="230">D212</f>
        <v>Полное-пожар</v>
      </c>
      <c r="P212" s="179" t="s">
        <v>83</v>
      </c>
      <c r="Q212" s="179" t="s">
        <v>83</v>
      </c>
      <c r="R212" s="179" t="s">
        <v>83</v>
      </c>
      <c r="S212" s="179" t="s">
        <v>83</v>
      </c>
      <c r="T212" s="179" t="s">
        <v>83</v>
      </c>
      <c r="U212" s="179" t="s">
        <v>83</v>
      </c>
      <c r="V212" s="179" t="s">
        <v>83</v>
      </c>
      <c r="W212" s="179" t="s">
        <v>83</v>
      </c>
      <c r="X212" s="179" t="s">
        <v>83</v>
      </c>
      <c r="Y212" s="179" t="s">
        <v>83</v>
      </c>
      <c r="Z212" s="179" t="s">
        <v>83</v>
      </c>
      <c r="AA212" s="179" t="s">
        <v>83</v>
      </c>
      <c r="AB212" s="179" t="s">
        <v>83</v>
      </c>
      <c r="AC212" s="179" t="s">
        <v>83</v>
      </c>
      <c r="AD212" s="179" t="s">
        <v>83</v>
      </c>
      <c r="AE212" s="179" t="s">
        <v>83</v>
      </c>
      <c r="AF212" s="179" t="s">
        <v>83</v>
      </c>
      <c r="AG212" s="179" t="s">
        <v>83</v>
      </c>
      <c r="AH212" s="179" t="s">
        <v>83</v>
      </c>
      <c r="AI212" s="179" t="s">
        <v>83</v>
      </c>
      <c r="AJ212" s="180">
        <v>1</v>
      </c>
      <c r="AK212" s="180">
        <v>2</v>
      </c>
      <c r="AL212" s="181">
        <v>0.75</v>
      </c>
      <c r="AM212" s="181">
        <v>2.7E-2</v>
      </c>
      <c r="AN212" s="181">
        <v>3</v>
      </c>
      <c r="AQ212" s="182">
        <f>AM212*I212+AL212</f>
        <v>1.2279</v>
      </c>
      <c r="AR212" s="182">
        <f t="shared" ref="AR212:AR217" si="231">0.1*AQ212</f>
        <v>0.12279000000000001</v>
      </c>
      <c r="AS212" s="183">
        <f t="shared" ref="AS212:AS217" si="232">AJ212*3+0.25*AK212</f>
        <v>3.5</v>
      </c>
      <c r="AT212" s="183">
        <f t="shared" ref="AT212:AT217" si="233">SUM(AQ212:AS212)/4</f>
        <v>1.2126725</v>
      </c>
      <c r="AU212" s="182">
        <f>10068.2*J212*POWER(10,-6)</f>
        <v>0.17820714000000001</v>
      </c>
      <c r="AV212" s="183">
        <f t="shared" ref="AV212:AV217" si="234">AU212+AT212+AS212+AR212+AQ212</f>
        <v>6.2415696399999998</v>
      </c>
      <c r="AW212" s="184">
        <f t="shared" ref="AW212:AW217" si="235">AJ212*H212</f>
        <v>1.0000000000000002E-6</v>
      </c>
      <c r="AX212" s="184">
        <f t="shared" ref="AX212:AX217" si="236">H212*AK212</f>
        <v>2.0000000000000003E-6</v>
      </c>
      <c r="AY212" s="184">
        <f t="shared" ref="AY212:AY217" si="237">H212*AV212</f>
        <v>6.2415696400000005E-6</v>
      </c>
    </row>
    <row r="213" spans="1:51" s="179" customFormat="1" ht="15" thickBot="1" x14ac:dyDescent="0.35">
      <c r="A213" s="169" t="s">
        <v>19</v>
      </c>
      <c r="B213" s="169" t="str">
        <f>B212</f>
        <v>Емкость (8321D0001)</v>
      </c>
      <c r="C213" s="171" t="s">
        <v>205</v>
      </c>
      <c r="D213" s="172" t="s">
        <v>59</v>
      </c>
      <c r="E213" s="185">
        <f>E212</f>
        <v>1.0000000000000001E-5</v>
      </c>
      <c r="F213" s="186">
        <f>F212</f>
        <v>1</v>
      </c>
      <c r="G213" s="169">
        <v>0.18000000000000002</v>
      </c>
      <c r="H213" s="174">
        <f t="shared" si="227"/>
        <v>1.8000000000000003E-6</v>
      </c>
      <c r="I213" s="187">
        <f>I212</f>
        <v>17.7</v>
      </c>
      <c r="J213" s="187">
        <f>I212</f>
        <v>17.7</v>
      </c>
      <c r="K213" s="177" t="s">
        <v>176</v>
      </c>
      <c r="L213" s="178">
        <v>0</v>
      </c>
      <c r="M213" s="179" t="str">
        <f t="shared" si="228"/>
        <v>С2</v>
      </c>
      <c r="N213" s="179" t="str">
        <f t="shared" si="229"/>
        <v>Емкость (8321D0001)</v>
      </c>
      <c r="O213" s="179" t="str">
        <f t="shared" si="230"/>
        <v>Полное-пожар</v>
      </c>
      <c r="P213" s="179" t="s">
        <v>83</v>
      </c>
      <c r="Q213" s="179" t="s">
        <v>83</v>
      </c>
      <c r="R213" s="179" t="s">
        <v>83</v>
      </c>
      <c r="S213" s="179" t="s">
        <v>83</v>
      </c>
      <c r="T213" s="179" t="s">
        <v>83</v>
      </c>
      <c r="U213" s="179" t="s">
        <v>83</v>
      </c>
      <c r="V213" s="179" t="s">
        <v>83</v>
      </c>
      <c r="W213" s="179" t="s">
        <v>83</v>
      </c>
      <c r="X213" s="179" t="s">
        <v>83</v>
      </c>
      <c r="Y213" s="179" t="s">
        <v>83</v>
      </c>
      <c r="Z213" s="179" t="s">
        <v>83</v>
      </c>
      <c r="AA213" s="179" t="s">
        <v>83</v>
      </c>
      <c r="AB213" s="179" t="s">
        <v>83</v>
      </c>
      <c r="AC213" s="179" t="s">
        <v>83</v>
      </c>
      <c r="AD213" s="179" t="s">
        <v>83</v>
      </c>
      <c r="AE213" s="179" t="s">
        <v>83</v>
      </c>
      <c r="AF213" s="179" t="s">
        <v>83</v>
      </c>
      <c r="AG213" s="179" t="s">
        <v>83</v>
      </c>
      <c r="AH213" s="179" t="s">
        <v>83</v>
      </c>
      <c r="AI213" s="179" t="s">
        <v>83</v>
      </c>
      <c r="AJ213" s="180">
        <v>2</v>
      </c>
      <c r="AK213" s="180">
        <v>2</v>
      </c>
      <c r="AL213" s="179">
        <f>AL212</f>
        <v>0.75</v>
      </c>
      <c r="AM213" s="179">
        <f>AM212</f>
        <v>2.7E-2</v>
      </c>
      <c r="AN213" s="179">
        <f>AN212</f>
        <v>3</v>
      </c>
      <c r="AQ213" s="182">
        <f>AM213*I213+AL213</f>
        <v>1.2279</v>
      </c>
      <c r="AR213" s="182">
        <f t="shared" si="231"/>
        <v>0.12279000000000001</v>
      </c>
      <c r="AS213" s="183">
        <f t="shared" si="232"/>
        <v>6.5</v>
      </c>
      <c r="AT213" s="183">
        <f t="shared" si="233"/>
        <v>1.9626725</v>
      </c>
      <c r="AU213" s="182">
        <f>10068.2*J213*POWER(10,-6)*10</f>
        <v>1.7820714000000002</v>
      </c>
      <c r="AV213" s="183">
        <f t="shared" si="234"/>
        <v>11.5954339</v>
      </c>
      <c r="AW213" s="184">
        <f t="shared" si="235"/>
        <v>3.6000000000000007E-6</v>
      </c>
      <c r="AX213" s="184">
        <f t="shared" si="236"/>
        <v>3.6000000000000007E-6</v>
      </c>
      <c r="AY213" s="184">
        <f t="shared" si="237"/>
        <v>2.0871781020000003E-5</v>
      </c>
    </row>
    <row r="214" spans="1:51" s="179" customFormat="1" x14ac:dyDescent="0.3">
      <c r="A214" s="169" t="s">
        <v>20</v>
      </c>
      <c r="B214" s="169" t="str">
        <f>B212</f>
        <v>Емкость (8321D0001)</v>
      </c>
      <c r="C214" s="171" t="s">
        <v>198</v>
      </c>
      <c r="D214" s="172" t="s">
        <v>60</v>
      </c>
      <c r="E214" s="185">
        <f>E212</f>
        <v>1.0000000000000001E-5</v>
      </c>
      <c r="F214" s="186">
        <f>F212</f>
        <v>1</v>
      </c>
      <c r="G214" s="169">
        <v>0.72000000000000008</v>
      </c>
      <c r="H214" s="174">
        <f t="shared" si="227"/>
        <v>7.2000000000000014E-6</v>
      </c>
      <c r="I214" s="187">
        <f>I212</f>
        <v>17.7</v>
      </c>
      <c r="J214" s="169">
        <v>0</v>
      </c>
      <c r="K214" s="177" t="s">
        <v>177</v>
      </c>
      <c r="L214" s="178">
        <v>0</v>
      </c>
      <c r="M214" s="179" t="str">
        <f t="shared" si="228"/>
        <v>С3</v>
      </c>
      <c r="N214" s="179" t="str">
        <f t="shared" si="229"/>
        <v>Емкость (8321D0001)</v>
      </c>
      <c r="O214" s="179" t="str">
        <f t="shared" si="230"/>
        <v>Полное-ликвидация</v>
      </c>
      <c r="P214" s="179" t="s">
        <v>83</v>
      </c>
      <c r="Q214" s="179" t="s">
        <v>83</v>
      </c>
      <c r="R214" s="179" t="s">
        <v>83</v>
      </c>
      <c r="S214" s="179" t="s">
        <v>83</v>
      </c>
      <c r="T214" s="179" t="s">
        <v>83</v>
      </c>
      <c r="U214" s="179" t="s">
        <v>83</v>
      </c>
      <c r="V214" s="179" t="s">
        <v>83</v>
      </c>
      <c r="W214" s="179" t="s">
        <v>83</v>
      </c>
      <c r="X214" s="179" t="s">
        <v>83</v>
      </c>
      <c r="Y214" s="179" t="s">
        <v>83</v>
      </c>
      <c r="Z214" s="179" t="s">
        <v>83</v>
      </c>
      <c r="AA214" s="179" t="s">
        <v>83</v>
      </c>
      <c r="AB214" s="179" t="s">
        <v>83</v>
      </c>
      <c r="AC214" s="179" t="s">
        <v>83</v>
      </c>
      <c r="AD214" s="179" t="s">
        <v>83</v>
      </c>
      <c r="AE214" s="179" t="s">
        <v>83</v>
      </c>
      <c r="AF214" s="179" t="s">
        <v>83</v>
      </c>
      <c r="AG214" s="179" t="s">
        <v>83</v>
      </c>
      <c r="AH214" s="179" t="s">
        <v>83</v>
      </c>
      <c r="AI214" s="179" t="s">
        <v>83</v>
      </c>
      <c r="AJ214" s="179">
        <v>0</v>
      </c>
      <c r="AK214" s="179">
        <v>0</v>
      </c>
      <c r="AL214" s="179">
        <f>AL212</f>
        <v>0.75</v>
      </c>
      <c r="AM214" s="179">
        <f>AM212</f>
        <v>2.7E-2</v>
      </c>
      <c r="AN214" s="179">
        <f>AN212</f>
        <v>3</v>
      </c>
      <c r="AQ214" s="182">
        <f>AM214*I214*0.1+AL214</f>
        <v>0.79779</v>
      </c>
      <c r="AR214" s="182">
        <f t="shared" si="231"/>
        <v>7.9779000000000003E-2</v>
      </c>
      <c r="AS214" s="183">
        <f t="shared" si="232"/>
        <v>0</v>
      </c>
      <c r="AT214" s="183">
        <f t="shared" si="233"/>
        <v>0.21939225000000001</v>
      </c>
      <c r="AU214" s="182">
        <f>1333*J213*POWER(10,-6)</f>
        <v>2.3594099999999996E-2</v>
      </c>
      <c r="AV214" s="183">
        <f t="shared" si="234"/>
        <v>1.1205553500000001</v>
      </c>
      <c r="AW214" s="184">
        <f t="shared" si="235"/>
        <v>0</v>
      </c>
      <c r="AX214" s="184">
        <f t="shared" si="236"/>
        <v>0</v>
      </c>
      <c r="AY214" s="184">
        <f t="shared" si="237"/>
        <v>8.0679985200000019E-6</v>
      </c>
    </row>
    <row r="215" spans="1:51" s="179" customFormat="1" x14ac:dyDescent="0.3">
      <c r="A215" s="169" t="s">
        <v>21</v>
      </c>
      <c r="B215" s="169" t="str">
        <f>B212</f>
        <v>Емкость (8321D0001)</v>
      </c>
      <c r="C215" s="171" t="s">
        <v>199</v>
      </c>
      <c r="D215" s="172" t="s">
        <v>84</v>
      </c>
      <c r="E215" s="173">
        <v>1E-4</v>
      </c>
      <c r="F215" s="186">
        <f>F212</f>
        <v>1</v>
      </c>
      <c r="G215" s="169">
        <v>0.1</v>
      </c>
      <c r="H215" s="174">
        <f t="shared" si="227"/>
        <v>1.0000000000000001E-5</v>
      </c>
      <c r="I215" s="187">
        <f>0.15*I212</f>
        <v>2.6549999999999998</v>
      </c>
      <c r="J215" s="187">
        <f>I215</f>
        <v>2.6549999999999998</v>
      </c>
      <c r="K215" s="190" t="s">
        <v>179</v>
      </c>
      <c r="L215" s="191">
        <v>45390</v>
      </c>
      <c r="M215" s="179" t="str">
        <f t="shared" si="228"/>
        <v>С4</v>
      </c>
      <c r="N215" s="179" t="str">
        <f t="shared" si="229"/>
        <v>Емкость (8321D0001)</v>
      </c>
      <c r="O215" s="179" t="str">
        <f t="shared" si="230"/>
        <v>Частичное-пожар</v>
      </c>
      <c r="P215" s="179" t="s">
        <v>83</v>
      </c>
      <c r="Q215" s="179" t="s">
        <v>83</v>
      </c>
      <c r="R215" s="179" t="s">
        <v>83</v>
      </c>
      <c r="S215" s="179" t="s">
        <v>83</v>
      </c>
      <c r="T215" s="179" t="s">
        <v>83</v>
      </c>
      <c r="U215" s="179" t="s">
        <v>83</v>
      </c>
      <c r="V215" s="179" t="s">
        <v>83</v>
      </c>
      <c r="W215" s="179" t="s">
        <v>83</v>
      </c>
      <c r="X215" s="179" t="s">
        <v>83</v>
      </c>
      <c r="Y215" s="179" t="s">
        <v>83</v>
      </c>
      <c r="Z215" s="179" t="s">
        <v>83</v>
      </c>
      <c r="AA215" s="179" t="s">
        <v>83</v>
      </c>
      <c r="AB215" s="179" t="s">
        <v>83</v>
      </c>
      <c r="AC215" s="179" t="s">
        <v>83</v>
      </c>
      <c r="AD215" s="179" t="s">
        <v>83</v>
      </c>
      <c r="AE215" s="179" t="s">
        <v>83</v>
      </c>
      <c r="AF215" s="179" t="s">
        <v>83</v>
      </c>
      <c r="AG215" s="179" t="s">
        <v>83</v>
      </c>
      <c r="AH215" s="179" t="s">
        <v>83</v>
      </c>
      <c r="AI215" s="179" t="s">
        <v>83</v>
      </c>
      <c r="AJ215" s="179">
        <v>0</v>
      </c>
      <c r="AK215" s="179">
        <v>2</v>
      </c>
      <c r="AL215" s="179">
        <f>0.1*$AL$2</f>
        <v>7.5000000000000002E-4</v>
      </c>
      <c r="AM215" s="179">
        <f>AM212</f>
        <v>2.7E-2</v>
      </c>
      <c r="AN215" s="179">
        <f>ROUNDUP(AN212/3,0)</f>
        <v>1</v>
      </c>
      <c r="AQ215" s="182">
        <f>AM215*I215+AL215</f>
        <v>7.2434999999999999E-2</v>
      </c>
      <c r="AR215" s="182">
        <f t="shared" si="231"/>
        <v>7.2434999999999999E-3</v>
      </c>
      <c r="AS215" s="183">
        <f t="shared" si="232"/>
        <v>0.5</v>
      </c>
      <c r="AT215" s="183">
        <f t="shared" si="233"/>
        <v>0.144919625</v>
      </c>
      <c r="AU215" s="182">
        <f>10068.2*J215*POWER(10,-6)</f>
        <v>2.6731070999999999E-2</v>
      </c>
      <c r="AV215" s="183">
        <f t="shared" si="234"/>
        <v>0.75132919599999992</v>
      </c>
      <c r="AW215" s="184">
        <f t="shared" si="235"/>
        <v>0</v>
      </c>
      <c r="AX215" s="184">
        <f t="shared" si="236"/>
        <v>2.0000000000000002E-5</v>
      </c>
      <c r="AY215" s="184">
        <f t="shared" si="237"/>
        <v>7.5132919600000002E-6</v>
      </c>
    </row>
    <row r="216" spans="1:51" s="179" customFormat="1" x14ac:dyDescent="0.3">
      <c r="A216" s="169" t="s">
        <v>22</v>
      </c>
      <c r="B216" s="169" t="str">
        <f>B212</f>
        <v>Емкость (8321D0001)</v>
      </c>
      <c r="C216" s="171" t="s">
        <v>206</v>
      </c>
      <c r="D216" s="172" t="s">
        <v>84</v>
      </c>
      <c r="E216" s="185">
        <f>E215</f>
        <v>1E-4</v>
      </c>
      <c r="F216" s="186">
        <f>F212</f>
        <v>1</v>
      </c>
      <c r="G216" s="169">
        <v>4.5000000000000005E-2</v>
      </c>
      <c r="H216" s="174">
        <f t="shared" si="227"/>
        <v>4.500000000000001E-6</v>
      </c>
      <c r="I216" s="187">
        <f>0.15*I212</f>
        <v>2.6549999999999998</v>
      </c>
      <c r="J216" s="187">
        <f>I215</f>
        <v>2.6549999999999998</v>
      </c>
      <c r="K216" s="190" t="s">
        <v>180</v>
      </c>
      <c r="L216" s="191">
        <v>3</v>
      </c>
      <c r="M216" s="179" t="str">
        <f t="shared" si="228"/>
        <v>С5</v>
      </c>
      <c r="N216" s="179" t="str">
        <f t="shared" si="229"/>
        <v>Емкость (8321D0001)</v>
      </c>
      <c r="O216" s="179" t="str">
        <f t="shared" si="230"/>
        <v>Частичное-пожар</v>
      </c>
      <c r="P216" s="179" t="s">
        <v>83</v>
      </c>
      <c r="Q216" s="179" t="s">
        <v>83</v>
      </c>
      <c r="R216" s="179" t="s">
        <v>83</v>
      </c>
      <c r="S216" s="179" t="s">
        <v>83</v>
      </c>
      <c r="T216" s="179" t="s">
        <v>83</v>
      </c>
      <c r="U216" s="179" t="s">
        <v>83</v>
      </c>
      <c r="V216" s="179" t="s">
        <v>83</v>
      </c>
      <c r="W216" s="179" t="s">
        <v>83</v>
      </c>
      <c r="X216" s="179" t="s">
        <v>83</v>
      </c>
      <c r="Y216" s="179" t="s">
        <v>83</v>
      </c>
      <c r="Z216" s="179" t="s">
        <v>83</v>
      </c>
      <c r="AA216" s="179" t="s">
        <v>83</v>
      </c>
      <c r="AB216" s="179" t="s">
        <v>83</v>
      </c>
      <c r="AC216" s="179" t="s">
        <v>83</v>
      </c>
      <c r="AD216" s="179" t="s">
        <v>83</v>
      </c>
      <c r="AE216" s="179" t="s">
        <v>83</v>
      </c>
      <c r="AF216" s="179" t="s">
        <v>83</v>
      </c>
      <c r="AG216" s="179" t="s">
        <v>83</v>
      </c>
      <c r="AH216" s="179" t="s">
        <v>83</v>
      </c>
      <c r="AI216" s="179" t="s">
        <v>83</v>
      </c>
      <c r="AJ216" s="179">
        <v>0</v>
      </c>
      <c r="AK216" s="179">
        <v>1</v>
      </c>
      <c r="AL216" s="179">
        <f>0.1*$AL$2</f>
        <v>7.5000000000000002E-4</v>
      </c>
      <c r="AM216" s="179">
        <f>AM212</f>
        <v>2.7E-2</v>
      </c>
      <c r="AN216" s="179">
        <f>ROUNDUP(AN212/3,0)</f>
        <v>1</v>
      </c>
      <c r="AQ216" s="182">
        <f>AM216*I216+AL216</f>
        <v>7.2434999999999999E-2</v>
      </c>
      <c r="AR216" s="182">
        <f t="shared" si="231"/>
        <v>7.2434999999999999E-3</v>
      </c>
      <c r="AS216" s="183">
        <f t="shared" si="232"/>
        <v>0.25</v>
      </c>
      <c r="AT216" s="183">
        <f t="shared" si="233"/>
        <v>8.2419624999999996E-2</v>
      </c>
      <c r="AU216" s="182">
        <f>10068.2*J216*POWER(10,-6)*10</f>
        <v>0.26731071000000001</v>
      </c>
      <c r="AV216" s="183">
        <f t="shared" si="234"/>
        <v>0.67940883500000004</v>
      </c>
      <c r="AW216" s="184">
        <f t="shared" si="235"/>
        <v>0</v>
      </c>
      <c r="AX216" s="184">
        <f t="shared" si="236"/>
        <v>4.500000000000001E-6</v>
      </c>
      <c r="AY216" s="184">
        <f t="shared" si="237"/>
        <v>3.0573397575000011E-6</v>
      </c>
    </row>
    <row r="217" spans="1:51" s="179" customFormat="1" ht="15" thickBot="1" x14ac:dyDescent="0.35">
      <c r="A217" s="169" t="s">
        <v>23</v>
      </c>
      <c r="B217" s="169" t="str">
        <f>B212</f>
        <v>Емкость (8321D0001)</v>
      </c>
      <c r="C217" s="171" t="s">
        <v>201</v>
      </c>
      <c r="D217" s="172" t="s">
        <v>61</v>
      </c>
      <c r="E217" s="185">
        <f>E215</f>
        <v>1E-4</v>
      </c>
      <c r="F217" s="186">
        <f>F212</f>
        <v>1</v>
      </c>
      <c r="G217" s="169">
        <v>0.85499999999999998</v>
      </c>
      <c r="H217" s="174">
        <f t="shared" si="227"/>
        <v>8.5500000000000005E-5</v>
      </c>
      <c r="I217" s="187">
        <f>0.15*I212</f>
        <v>2.6549999999999998</v>
      </c>
      <c r="J217" s="169">
        <v>0</v>
      </c>
      <c r="K217" s="192" t="s">
        <v>191</v>
      </c>
      <c r="L217" s="192">
        <v>11</v>
      </c>
      <c r="M217" s="179" t="str">
        <f t="shared" si="228"/>
        <v>С6</v>
      </c>
      <c r="N217" s="179" t="str">
        <f t="shared" si="229"/>
        <v>Емкость (8321D0001)</v>
      </c>
      <c r="O217" s="179" t="str">
        <f t="shared" si="230"/>
        <v>Частичное-ликвидация</v>
      </c>
      <c r="P217" s="179" t="s">
        <v>83</v>
      </c>
      <c r="Q217" s="179" t="s">
        <v>83</v>
      </c>
      <c r="R217" s="179" t="s">
        <v>83</v>
      </c>
      <c r="S217" s="179" t="s">
        <v>83</v>
      </c>
      <c r="T217" s="179" t="s">
        <v>83</v>
      </c>
      <c r="U217" s="179" t="s">
        <v>83</v>
      </c>
      <c r="V217" s="179" t="s">
        <v>83</v>
      </c>
      <c r="W217" s="179" t="s">
        <v>83</v>
      </c>
      <c r="X217" s="179" t="s">
        <v>83</v>
      </c>
      <c r="Y217" s="179" t="s">
        <v>83</v>
      </c>
      <c r="Z217" s="179" t="s">
        <v>83</v>
      </c>
      <c r="AA217" s="179" t="s">
        <v>83</v>
      </c>
      <c r="AB217" s="179" t="s">
        <v>83</v>
      </c>
      <c r="AC217" s="179" t="s">
        <v>83</v>
      </c>
      <c r="AD217" s="179" t="s">
        <v>83</v>
      </c>
      <c r="AE217" s="179" t="s">
        <v>83</v>
      </c>
      <c r="AF217" s="179" t="s">
        <v>83</v>
      </c>
      <c r="AG217" s="179" t="s">
        <v>83</v>
      </c>
      <c r="AH217" s="179" t="s">
        <v>83</v>
      </c>
      <c r="AI217" s="179" t="s">
        <v>83</v>
      </c>
      <c r="AJ217" s="179">
        <v>0</v>
      </c>
      <c r="AK217" s="179">
        <v>0</v>
      </c>
      <c r="AL217" s="179">
        <f>0.1*$AL$2</f>
        <v>7.5000000000000002E-4</v>
      </c>
      <c r="AM217" s="179">
        <f>AM212</f>
        <v>2.7E-2</v>
      </c>
      <c r="AN217" s="179">
        <f>ROUNDUP(AN212/3,0)</f>
        <v>1</v>
      </c>
      <c r="AQ217" s="182">
        <f>AM217*I217*0.1+AL217</f>
        <v>7.9185000000000002E-3</v>
      </c>
      <c r="AR217" s="182">
        <f t="shared" si="231"/>
        <v>7.9185000000000008E-4</v>
      </c>
      <c r="AS217" s="183">
        <f t="shared" si="232"/>
        <v>0</v>
      </c>
      <c r="AT217" s="183">
        <f t="shared" si="233"/>
        <v>2.1775875000000001E-3</v>
      </c>
      <c r="AU217" s="182">
        <f>1333*J216*POWER(10,-6)</f>
        <v>3.5391149999999998E-3</v>
      </c>
      <c r="AV217" s="183">
        <f t="shared" si="234"/>
        <v>1.4427052500000001E-2</v>
      </c>
      <c r="AW217" s="184">
        <f t="shared" si="235"/>
        <v>0</v>
      </c>
      <c r="AX217" s="184">
        <f t="shared" si="236"/>
        <v>0</v>
      </c>
      <c r="AY217" s="184">
        <f t="shared" si="237"/>
        <v>1.2335129887500001E-6</v>
      </c>
    </row>
    <row r="218" spans="1:51" s="179" customFormat="1" x14ac:dyDescent="0.3">
      <c r="A218" s="180"/>
      <c r="B218" s="180"/>
      <c r="D218" s="271"/>
      <c r="E218" s="272"/>
      <c r="F218" s="273"/>
      <c r="G218" s="180"/>
      <c r="H218" s="184"/>
      <c r="I218" s="183"/>
      <c r="J218" s="180"/>
      <c r="K218" s="180"/>
      <c r="L218" s="180"/>
      <c r="AQ218" s="182"/>
      <c r="AR218" s="182"/>
      <c r="AS218" s="183"/>
      <c r="AT218" s="183"/>
      <c r="AU218" s="182"/>
      <c r="AV218" s="183"/>
      <c r="AW218" s="184"/>
      <c r="AX218" s="184"/>
      <c r="AY218" s="184"/>
    </row>
    <row r="219" spans="1:51" s="179" customFormat="1" x14ac:dyDescent="0.3">
      <c r="A219" s="180"/>
      <c r="B219" s="180"/>
      <c r="D219" s="271"/>
      <c r="E219" s="272"/>
      <c r="F219" s="273"/>
      <c r="G219" s="180"/>
      <c r="H219" s="184"/>
      <c r="I219" s="183"/>
      <c r="J219" s="180"/>
      <c r="K219" s="180"/>
      <c r="L219" s="180"/>
      <c r="AQ219" s="182"/>
      <c r="AR219" s="182"/>
      <c r="AS219" s="183"/>
      <c r="AT219" s="183"/>
      <c r="AU219" s="182"/>
      <c r="AV219" s="183"/>
      <c r="AW219" s="184"/>
      <c r="AX219" s="184"/>
      <c r="AY219" s="184"/>
    </row>
    <row r="220" spans="1:51" s="179" customFormat="1" x14ac:dyDescent="0.3">
      <c r="A220" s="180"/>
      <c r="B220" s="180"/>
      <c r="D220" s="271"/>
      <c r="E220" s="272"/>
      <c r="F220" s="273"/>
      <c r="G220" s="180"/>
      <c r="H220" s="184"/>
      <c r="I220" s="183"/>
      <c r="J220" s="180"/>
      <c r="K220" s="180"/>
      <c r="L220" s="180"/>
      <c r="AQ220" s="182"/>
      <c r="AR220" s="182"/>
      <c r="AS220" s="183"/>
      <c r="AT220" s="183"/>
      <c r="AU220" s="182"/>
      <c r="AV220" s="183"/>
      <c r="AW220" s="184"/>
      <c r="AX220" s="184"/>
      <c r="AY220" s="184"/>
    </row>
    <row r="221" spans="1:51" ht="15" thickBot="1" x14ac:dyDescent="0.35"/>
    <row r="222" spans="1:51" s="179" customFormat="1" ht="15" thickBot="1" x14ac:dyDescent="0.35">
      <c r="A222" s="169" t="s">
        <v>18</v>
      </c>
      <c r="B222" s="170" t="s">
        <v>612</v>
      </c>
      <c r="C222" s="171" t="s">
        <v>227</v>
      </c>
      <c r="D222" s="172" t="s">
        <v>183</v>
      </c>
      <c r="E222" s="173">
        <v>1.0000000000000001E-5</v>
      </c>
      <c r="F222" s="170">
        <v>1</v>
      </c>
      <c r="G222" s="169">
        <v>1.4999999999999999E-2</v>
      </c>
      <c r="H222" s="174">
        <f t="shared" ref="H222:H227" si="238">E222*F222*G222</f>
        <v>1.5000000000000002E-7</v>
      </c>
      <c r="I222" s="175">
        <f>(226/3600)*12</f>
        <v>0.75333333333333341</v>
      </c>
      <c r="J222" s="187">
        <f>I222</f>
        <v>0.75333333333333341</v>
      </c>
      <c r="K222" s="177" t="s">
        <v>175</v>
      </c>
      <c r="L222" s="422">
        <f>J222*20</f>
        <v>15.066666666666668</v>
      </c>
      <c r="M222" s="179" t="str">
        <f t="shared" ref="M222:M227" si="239">A222</f>
        <v>С1</v>
      </c>
      <c r="N222" s="179" t="str">
        <f t="shared" ref="N222:N227" si="240">B222</f>
        <v>Насос центробежный (8321P0001A)</v>
      </c>
      <c r="O222" s="179" t="str">
        <f t="shared" ref="O222:O227" si="241">D222</f>
        <v>Полное-факел</v>
      </c>
      <c r="P222" s="179" t="s">
        <v>83</v>
      </c>
      <c r="Q222" s="179" t="s">
        <v>83</v>
      </c>
      <c r="R222" s="179" t="s">
        <v>83</v>
      </c>
      <c r="S222" s="179" t="s">
        <v>83</v>
      </c>
      <c r="T222" s="179" t="s">
        <v>83</v>
      </c>
      <c r="U222" s="179" t="s">
        <v>83</v>
      </c>
      <c r="V222" s="179" t="s">
        <v>83</v>
      </c>
      <c r="W222" s="179" t="s">
        <v>83</v>
      </c>
      <c r="X222" s="179" t="s">
        <v>83</v>
      </c>
      <c r="Y222" s="179" t="s">
        <v>83</v>
      </c>
      <c r="Z222" s="179" t="s">
        <v>83</v>
      </c>
      <c r="AA222" s="179" t="s">
        <v>83</v>
      </c>
      <c r="AB222" s="179" t="s">
        <v>83</v>
      </c>
      <c r="AC222" s="179" t="s">
        <v>83</v>
      </c>
      <c r="AD222" s="179" t="s">
        <v>83</v>
      </c>
      <c r="AE222" s="179" t="s">
        <v>83</v>
      </c>
      <c r="AF222" s="179" t="s">
        <v>83</v>
      </c>
      <c r="AG222" s="179" t="s">
        <v>83</v>
      </c>
      <c r="AH222" s="179" t="s">
        <v>83</v>
      </c>
      <c r="AI222" s="179" t="s">
        <v>83</v>
      </c>
      <c r="AJ222" s="180">
        <v>1</v>
      </c>
      <c r="AK222" s="180">
        <v>2</v>
      </c>
      <c r="AL222" s="181">
        <v>0.75</v>
      </c>
      <c r="AM222" s="181">
        <v>2.7E-2</v>
      </c>
      <c r="AN222" s="181">
        <v>3</v>
      </c>
      <c r="AQ222" s="182">
        <f>AM222*I222+AL222</f>
        <v>0.77034000000000002</v>
      </c>
      <c r="AR222" s="182">
        <f t="shared" ref="AR222:AR227" si="242">0.1*AQ222</f>
        <v>7.7034000000000005E-2</v>
      </c>
      <c r="AS222" s="183">
        <f t="shared" ref="AS222:AS227" si="243">AJ222*3+0.25*AK222</f>
        <v>3.5</v>
      </c>
      <c r="AT222" s="183">
        <f t="shared" ref="AT222:AT227" si="244">SUM(AQ222:AS222)/4</f>
        <v>1.0868435000000001</v>
      </c>
      <c r="AU222" s="182">
        <f>10068.2*J222*POWER(10,-6)</f>
        <v>7.5847106666666678E-3</v>
      </c>
      <c r="AV222" s="183">
        <f t="shared" ref="AV222:AV227" si="245">AU222+AT222+AS222+AR222+AQ222</f>
        <v>5.4418022106666672</v>
      </c>
      <c r="AW222" s="184">
        <f t="shared" ref="AW222:AW227" si="246">AJ222*H222</f>
        <v>1.5000000000000002E-7</v>
      </c>
      <c r="AX222" s="184">
        <f t="shared" ref="AX222:AX227" si="247">H222*AK222</f>
        <v>3.0000000000000004E-7</v>
      </c>
      <c r="AY222" s="184">
        <f t="shared" ref="AY222:AY227" si="248">H222*AV222</f>
        <v>8.1627033160000021E-7</v>
      </c>
    </row>
    <row r="223" spans="1:51" s="179" customFormat="1" ht="15" thickBot="1" x14ac:dyDescent="0.35">
      <c r="A223" s="169" t="s">
        <v>19</v>
      </c>
      <c r="B223" s="169" t="str">
        <f>B222</f>
        <v>Насос центробежный (8321P0001A)</v>
      </c>
      <c r="C223" s="171" t="s">
        <v>238</v>
      </c>
      <c r="D223" s="172" t="s">
        <v>59</v>
      </c>
      <c r="E223" s="185">
        <f>E222</f>
        <v>1.0000000000000001E-5</v>
      </c>
      <c r="F223" s="186">
        <f>F222</f>
        <v>1</v>
      </c>
      <c r="G223" s="169">
        <v>1.4249999999999999E-2</v>
      </c>
      <c r="H223" s="174">
        <f t="shared" si="238"/>
        <v>1.4250000000000001E-7</v>
      </c>
      <c r="I223" s="187">
        <f>I222</f>
        <v>0.75333333333333341</v>
      </c>
      <c r="J223" s="175">
        <f>I222</f>
        <v>0.75333333333333341</v>
      </c>
      <c r="K223" s="177" t="s">
        <v>176</v>
      </c>
      <c r="L223" s="178">
        <v>0</v>
      </c>
      <c r="M223" s="179" t="str">
        <f t="shared" si="239"/>
        <v>С2</v>
      </c>
      <c r="N223" s="179" t="str">
        <f t="shared" si="240"/>
        <v>Насос центробежный (8321P0001A)</v>
      </c>
      <c r="O223" s="179" t="str">
        <f t="shared" si="241"/>
        <v>Полное-пожар</v>
      </c>
      <c r="P223" s="179" t="s">
        <v>83</v>
      </c>
      <c r="Q223" s="179" t="s">
        <v>83</v>
      </c>
      <c r="R223" s="179" t="s">
        <v>83</v>
      </c>
      <c r="S223" s="179" t="s">
        <v>83</v>
      </c>
      <c r="T223" s="179" t="s">
        <v>83</v>
      </c>
      <c r="U223" s="179" t="s">
        <v>83</v>
      </c>
      <c r="V223" s="179" t="s">
        <v>83</v>
      </c>
      <c r="W223" s="179" t="s">
        <v>83</v>
      </c>
      <c r="X223" s="179" t="s">
        <v>83</v>
      </c>
      <c r="Y223" s="179" t="s">
        <v>83</v>
      </c>
      <c r="Z223" s="179" t="s">
        <v>83</v>
      </c>
      <c r="AA223" s="179" t="s">
        <v>83</v>
      </c>
      <c r="AB223" s="179" t="s">
        <v>83</v>
      </c>
      <c r="AC223" s="179" t="s">
        <v>83</v>
      </c>
      <c r="AD223" s="179" t="s">
        <v>83</v>
      </c>
      <c r="AE223" s="179" t="s">
        <v>83</v>
      </c>
      <c r="AF223" s="179" t="s">
        <v>83</v>
      </c>
      <c r="AG223" s="179" t="s">
        <v>83</v>
      </c>
      <c r="AH223" s="179" t="s">
        <v>83</v>
      </c>
      <c r="AI223" s="179" t="s">
        <v>83</v>
      </c>
      <c r="AJ223" s="180">
        <v>2</v>
      </c>
      <c r="AK223" s="180">
        <v>2</v>
      </c>
      <c r="AL223" s="179">
        <f>AL222</f>
        <v>0.75</v>
      </c>
      <c r="AM223" s="179">
        <f>AM222</f>
        <v>2.7E-2</v>
      </c>
      <c r="AN223" s="179">
        <f>AN222</f>
        <v>3</v>
      </c>
      <c r="AQ223" s="182">
        <f>AM223*I223+AL223</f>
        <v>0.77034000000000002</v>
      </c>
      <c r="AR223" s="182">
        <f t="shared" si="242"/>
        <v>7.7034000000000005E-2</v>
      </c>
      <c r="AS223" s="183">
        <f t="shared" si="243"/>
        <v>6.5</v>
      </c>
      <c r="AT223" s="183">
        <f t="shared" si="244"/>
        <v>1.8368435000000001</v>
      </c>
      <c r="AU223" s="182">
        <f>10068.2*J223*POWER(10,-6)*10</f>
        <v>7.5847106666666678E-2</v>
      </c>
      <c r="AV223" s="183">
        <f t="shared" si="245"/>
        <v>9.260064606666667</v>
      </c>
      <c r="AW223" s="184">
        <f t="shared" si="246"/>
        <v>2.8500000000000002E-7</v>
      </c>
      <c r="AX223" s="184">
        <f t="shared" si="247"/>
        <v>2.8500000000000002E-7</v>
      </c>
      <c r="AY223" s="184">
        <f t="shared" si="248"/>
        <v>1.3195592064500001E-6</v>
      </c>
    </row>
    <row r="224" spans="1:51" s="179" customFormat="1" x14ac:dyDescent="0.3">
      <c r="A224" s="169" t="s">
        <v>20</v>
      </c>
      <c r="B224" s="169" t="str">
        <f>B222</f>
        <v>Насос центробежный (8321P0001A)</v>
      </c>
      <c r="C224" s="171" t="s">
        <v>239</v>
      </c>
      <c r="D224" s="172" t="s">
        <v>60</v>
      </c>
      <c r="E224" s="185">
        <f>E222</f>
        <v>1.0000000000000001E-5</v>
      </c>
      <c r="F224" s="186">
        <f>F222</f>
        <v>1</v>
      </c>
      <c r="G224" s="169">
        <v>0.27074999999999999</v>
      </c>
      <c r="H224" s="174">
        <f t="shared" si="238"/>
        <v>2.7075000000000003E-6</v>
      </c>
      <c r="I224" s="187">
        <f>I222</f>
        <v>0.75333333333333341</v>
      </c>
      <c r="J224" s="169">
        <v>0</v>
      </c>
      <c r="K224" s="177" t="s">
        <v>177</v>
      </c>
      <c r="L224" s="178">
        <v>1</v>
      </c>
      <c r="M224" s="179" t="str">
        <f t="shared" si="239"/>
        <v>С3</v>
      </c>
      <c r="N224" s="179" t="str">
        <f t="shared" si="240"/>
        <v>Насос центробежный (8321P0001A)</v>
      </c>
      <c r="O224" s="179" t="str">
        <f t="shared" si="241"/>
        <v>Полное-ликвидация</v>
      </c>
      <c r="P224" s="179" t="s">
        <v>83</v>
      </c>
      <c r="Q224" s="179" t="s">
        <v>83</v>
      </c>
      <c r="R224" s="179" t="s">
        <v>83</v>
      </c>
      <c r="S224" s="179" t="s">
        <v>83</v>
      </c>
      <c r="T224" s="179" t="s">
        <v>83</v>
      </c>
      <c r="U224" s="179" t="s">
        <v>83</v>
      </c>
      <c r="V224" s="179" t="s">
        <v>83</v>
      </c>
      <c r="W224" s="179" t="s">
        <v>83</v>
      </c>
      <c r="X224" s="179" t="s">
        <v>83</v>
      </c>
      <c r="Y224" s="179" t="s">
        <v>83</v>
      </c>
      <c r="Z224" s="179" t="s">
        <v>83</v>
      </c>
      <c r="AA224" s="179" t="s">
        <v>83</v>
      </c>
      <c r="AB224" s="179" t="s">
        <v>83</v>
      </c>
      <c r="AC224" s="179" t="s">
        <v>83</v>
      </c>
      <c r="AD224" s="179" t="s">
        <v>83</v>
      </c>
      <c r="AE224" s="179" t="s">
        <v>83</v>
      </c>
      <c r="AF224" s="179" t="s">
        <v>83</v>
      </c>
      <c r="AG224" s="179" t="s">
        <v>83</v>
      </c>
      <c r="AH224" s="179" t="s">
        <v>83</v>
      </c>
      <c r="AI224" s="179" t="s">
        <v>83</v>
      </c>
      <c r="AJ224" s="179">
        <v>0</v>
      </c>
      <c r="AK224" s="179">
        <v>0</v>
      </c>
      <c r="AL224" s="179">
        <f>AL222</f>
        <v>0.75</v>
      </c>
      <c r="AM224" s="179">
        <f>AM222</f>
        <v>2.7E-2</v>
      </c>
      <c r="AN224" s="179">
        <f>AN222</f>
        <v>3</v>
      </c>
      <c r="AQ224" s="182">
        <f>AM224*I224*0.1+AL224</f>
        <v>0.75203399999999998</v>
      </c>
      <c r="AR224" s="182">
        <f t="shared" si="242"/>
        <v>7.5203400000000004E-2</v>
      </c>
      <c r="AS224" s="183">
        <f t="shared" si="243"/>
        <v>0</v>
      </c>
      <c r="AT224" s="183">
        <f t="shared" si="244"/>
        <v>0.20680935</v>
      </c>
      <c r="AU224" s="182">
        <f>1333*J223*POWER(10,-6)</f>
        <v>1.0041933333333334E-3</v>
      </c>
      <c r="AV224" s="183">
        <f t="shared" si="245"/>
        <v>1.0350509433333333</v>
      </c>
      <c r="AW224" s="184">
        <f t="shared" si="246"/>
        <v>0</v>
      </c>
      <c r="AX224" s="184">
        <f t="shared" si="247"/>
        <v>0</v>
      </c>
      <c r="AY224" s="184">
        <f t="shared" si="248"/>
        <v>2.8024004290749999E-6</v>
      </c>
    </row>
    <row r="225" spans="1:51" s="179" customFormat="1" x14ac:dyDescent="0.3">
      <c r="A225" s="169" t="s">
        <v>21</v>
      </c>
      <c r="B225" s="169" t="str">
        <f>B222</f>
        <v>Насос центробежный (8321P0001A)</v>
      </c>
      <c r="C225" s="171" t="s">
        <v>230</v>
      </c>
      <c r="D225" s="172" t="s">
        <v>84</v>
      </c>
      <c r="E225" s="185">
        <f>E223</f>
        <v>1.0000000000000001E-5</v>
      </c>
      <c r="F225" s="186">
        <f>F222</f>
        <v>1</v>
      </c>
      <c r="G225" s="169">
        <v>3.4999999999999996E-2</v>
      </c>
      <c r="H225" s="174">
        <f t="shared" si="238"/>
        <v>3.4999999999999998E-7</v>
      </c>
      <c r="I225" s="187">
        <f>0.15*I222</f>
        <v>0.113</v>
      </c>
      <c r="J225" s="187">
        <f>I225</f>
        <v>0.113</v>
      </c>
      <c r="K225" s="190" t="s">
        <v>179</v>
      </c>
      <c r="L225" s="191">
        <v>45390</v>
      </c>
      <c r="M225" s="179" t="str">
        <f t="shared" si="239"/>
        <v>С4</v>
      </c>
      <c r="N225" s="179" t="str">
        <f t="shared" si="240"/>
        <v>Насос центробежный (8321P0001A)</v>
      </c>
      <c r="O225" s="179" t="str">
        <f t="shared" si="241"/>
        <v>Частичное-пожар</v>
      </c>
      <c r="P225" s="179" t="s">
        <v>83</v>
      </c>
      <c r="Q225" s="179" t="s">
        <v>83</v>
      </c>
      <c r="R225" s="179" t="s">
        <v>83</v>
      </c>
      <c r="S225" s="179" t="s">
        <v>83</v>
      </c>
      <c r="T225" s="179" t="s">
        <v>83</v>
      </c>
      <c r="U225" s="179" t="s">
        <v>83</v>
      </c>
      <c r="V225" s="179" t="s">
        <v>83</v>
      </c>
      <c r="W225" s="179" t="s">
        <v>83</v>
      </c>
      <c r="X225" s="179" t="s">
        <v>83</v>
      </c>
      <c r="Y225" s="179" t="s">
        <v>83</v>
      </c>
      <c r="Z225" s="179" t="s">
        <v>83</v>
      </c>
      <c r="AA225" s="179" t="s">
        <v>83</v>
      </c>
      <c r="AB225" s="179" t="s">
        <v>83</v>
      </c>
      <c r="AC225" s="179" t="s">
        <v>83</v>
      </c>
      <c r="AD225" s="179" t="s">
        <v>83</v>
      </c>
      <c r="AE225" s="179" t="s">
        <v>83</v>
      </c>
      <c r="AF225" s="179" t="s">
        <v>83</v>
      </c>
      <c r="AG225" s="179" t="s">
        <v>83</v>
      </c>
      <c r="AH225" s="179" t="s">
        <v>83</v>
      </c>
      <c r="AI225" s="179" t="s">
        <v>83</v>
      </c>
      <c r="AJ225" s="179">
        <v>0</v>
      </c>
      <c r="AK225" s="179">
        <v>2</v>
      </c>
      <c r="AL225" s="179">
        <f>0.1*$AL$2</f>
        <v>7.5000000000000002E-4</v>
      </c>
      <c r="AM225" s="179">
        <f>AM222</f>
        <v>2.7E-2</v>
      </c>
      <c r="AN225" s="179">
        <f>ROUNDUP(AN222/3,0)</f>
        <v>1</v>
      </c>
      <c r="AQ225" s="182">
        <f>AM225*I225+AL225</f>
        <v>3.8009999999999997E-3</v>
      </c>
      <c r="AR225" s="182">
        <f t="shared" si="242"/>
        <v>3.8009999999999997E-4</v>
      </c>
      <c r="AS225" s="183">
        <f t="shared" si="243"/>
        <v>0.5</v>
      </c>
      <c r="AT225" s="183">
        <f t="shared" si="244"/>
        <v>0.12604527500000001</v>
      </c>
      <c r="AU225" s="182">
        <f>10068.2*J225*POWER(10,-6)</f>
        <v>1.1377066000000003E-3</v>
      </c>
      <c r="AV225" s="183">
        <f t="shared" si="245"/>
        <v>0.63136408160000013</v>
      </c>
      <c r="AW225" s="184">
        <f t="shared" si="246"/>
        <v>0</v>
      </c>
      <c r="AX225" s="184">
        <f t="shared" si="247"/>
        <v>6.9999999999999997E-7</v>
      </c>
      <c r="AY225" s="184">
        <f t="shared" si="248"/>
        <v>2.2097742856000003E-7</v>
      </c>
    </row>
    <row r="226" spans="1:51" s="179" customFormat="1" x14ac:dyDescent="0.3">
      <c r="A226" s="169" t="s">
        <v>22</v>
      </c>
      <c r="B226" s="169" t="str">
        <f>B222</f>
        <v>Насос центробежный (8321P0001A)</v>
      </c>
      <c r="C226" s="171" t="s">
        <v>232</v>
      </c>
      <c r="D226" s="172" t="s">
        <v>84</v>
      </c>
      <c r="E226" s="185">
        <f>E224</f>
        <v>1.0000000000000001E-5</v>
      </c>
      <c r="F226" s="186">
        <f>F222</f>
        <v>1</v>
      </c>
      <c r="G226" s="169">
        <v>3.3249999999999995E-2</v>
      </c>
      <c r="H226" s="174">
        <f t="shared" si="238"/>
        <v>3.3249999999999999E-7</v>
      </c>
      <c r="I226" s="187">
        <f>0.15*I222</f>
        <v>0.113</v>
      </c>
      <c r="J226" s="187">
        <f>I225</f>
        <v>0.113</v>
      </c>
      <c r="K226" s="190" t="s">
        <v>180</v>
      </c>
      <c r="L226" s="191">
        <v>3</v>
      </c>
      <c r="M226" s="179" t="str">
        <f t="shared" si="239"/>
        <v>С5</v>
      </c>
      <c r="N226" s="179" t="str">
        <f t="shared" si="240"/>
        <v>Насос центробежный (8321P0001A)</v>
      </c>
      <c r="O226" s="179" t="str">
        <f t="shared" si="241"/>
        <v>Частичное-пожар</v>
      </c>
      <c r="P226" s="179" t="s">
        <v>83</v>
      </c>
      <c r="Q226" s="179" t="s">
        <v>83</v>
      </c>
      <c r="R226" s="179" t="s">
        <v>83</v>
      </c>
      <c r="S226" s="179" t="s">
        <v>83</v>
      </c>
      <c r="T226" s="179" t="s">
        <v>83</v>
      </c>
      <c r="U226" s="179" t="s">
        <v>83</v>
      </c>
      <c r="V226" s="179" t="s">
        <v>83</v>
      </c>
      <c r="W226" s="179" t="s">
        <v>83</v>
      </c>
      <c r="X226" s="179" t="s">
        <v>83</v>
      </c>
      <c r="Y226" s="179" t="s">
        <v>83</v>
      </c>
      <c r="Z226" s="179" t="s">
        <v>83</v>
      </c>
      <c r="AA226" s="179" t="s">
        <v>83</v>
      </c>
      <c r="AB226" s="179" t="s">
        <v>83</v>
      </c>
      <c r="AC226" s="179" t="s">
        <v>83</v>
      </c>
      <c r="AD226" s="179" t="s">
        <v>83</v>
      </c>
      <c r="AE226" s="179" t="s">
        <v>83</v>
      </c>
      <c r="AF226" s="179" t="s">
        <v>83</v>
      </c>
      <c r="AG226" s="179" t="s">
        <v>83</v>
      </c>
      <c r="AH226" s="179" t="s">
        <v>83</v>
      </c>
      <c r="AI226" s="179" t="s">
        <v>83</v>
      </c>
      <c r="AJ226" s="179">
        <v>0</v>
      </c>
      <c r="AK226" s="179">
        <v>1</v>
      </c>
      <c r="AL226" s="179">
        <f>0.1*$AL$2</f>
        <v>7.5000000000000002E-4</v>
      </c>
      <c r="AM226" s="179">
        <f>AM222</f>
        <v>2.7E-2</v>
      </c>
      <c r="AN226" s="179">
        <f>ROUNDUP(AN222/3,0)</f>
        <v>1</v>
      </c>
      <c r="AQ226" s="182">
        <f>AM226*I226+AL226</f>
        <v>3.8009999999999997E-3</v>
      </c>
      <c r="AR226" s="182">
        <f t="shared" si="242"/>
        <v>3.8009999999999997E-4</v>
      </c>
      <c r="AS226" s="183">
        <f t="shared" si="243"/>
        <v>0.25</v>
      </c>
      <c r="AT226" s="183">
        <f t="shared" si="244"/>
        <v>6.3545274999999998E-2</v>
      </c>
      <c r="AU226" s="182">
        <f>10068.2*J226*POWER(10,-6)*10</f>
        <v>1.1377066000000002E-2</v>
      </c>
      <c r="AV226" s="183">
        <f t="shared" si="245"/>
        <v>0.329103441</v>
      </c>
      <c r="AW226" s="184">
        <f t="shared" si="246"/>
        <v>0</v>
      </c>
      <c r="AX226" s="184">
        <f t="shared" si="247"/>
        <v>3.3249999999999999E-7</v>
      </c>
      <c r="AY226" s="184">
        <f t="shared" si="248"/>
        <v>1.0942689413249999E-7</v>
      </c>
    </row>
    <row r="227" spans="1:51" s="179" customFormat="1" ht="15" thickBot="1" x14ac:dyDescent="0.35">
      <c r="A227" s="169" t="s">
        <v>23</v>
      </c>
      <c r="B227" s="169" t="str">
        <f>B222</f>
        <v>Насос центробежный (8321P0001A)</v>
      </c>
      <c r="C227" s="171" t="s">
        <v>231</v>
      </c>
      <c r="D227" s="172" t="s">
        <v>617</v>
      </c>
      <c r="E227" s="185">
        <f>E225</f>
        <v>1.0000000000000001E-5</v>
      </c>
      <c r="F227" s="186">
        <f>F222</f>
        <v>1</v>
      </c>
      <c r="G227" s="169">
        <v>0.63174999999999992</v>
      </c>
      <c r="H227" s="174">
        <f t="shared" si="238"/>
        <v>6.3175000000000001E-6</v>
      </c>
      <c r="I227" s="187">
        <f>0.15*I222</f>
        <v>0.113</v>
      </c>
      <c r="J227" s="169">
        <v>0</v>
      </c>
      <c r="K227" s="192" t="s">
        <v>191</v>
      </c>
      <c r="L227" s="192">
        <v>18</v>
      </c>
      <c r="M227" s="179" t="str">
        <f t="shared" si="239"/>
        <v>С6</v>
      </c>
      <c r="N227" s="179" t="str">
        <f t="shared" si="240"/>
        <v>Насос центробежный (8321P0001A)</v>
      </c>
      <c r="O227" s="179" t="str">
        <f t="shared" si="241"/>
        <v>Частичное-ликв</v>
      </c>
      <c r="P227" s="179" t="s">
        <v>83</v>
      </c>
      <c r="Q227" s="179" t="s">
        <v>83</v>
      </c>
      <c r="R227" s="179" t="s">
        <v>83</v>
      </c>
      <c r="S227" s="179" t="s">
        <v>83</v>
      </c>
      <c r="T227" s="179" t="s">
        <v>83</v>
      </c>
      <c r="U227" s="179" t="s">
        <v>83</v>
      </c>
      <c r="V227" s="179" t="s">
        <v>83</v>
      </c>
      <c r="W227" s="179" t="s">
        <v>83</v>
      </c>
      <c r="X227" s="179" t="s">
        <v>83</v>
      </c>
      <c r="Y227" s="179" t="s">
        <v>83</v>
      </c>
      <c r="Z227" s="179" t="s">
        <v>83</v>
      </c>
      <c r="AA227" s="179" t="s">
        <v>83</v>
      </c>
      <c r="AB227" s="179" t="s">
        <v>83</v>
      </c>
      <c r="AC227" s="179" t="s">
        <v>83</v>
      </c>
      <c r="AD227" s="179" t="s">
        <v>83</v>
      </c>
      <c r="AE227" s="179" t="s">
        <v>83</v>
      </c>
      <c r="AF227" s="179" t="s">
        <v>83</v>
      </c>
      <c r="AG227" s="179" t="s">
        <v>83</v>
      </c>
      <c r="AH227" s="179" t="s">
        <v>83</v>
      </c>
      <c r="AI227" s="179" t="s">
        <v>83</v>
      </c>
      <c r="AJ227" s="179">
        <v>0</v>
      </c>
      <c r="AK227" s="179">
        <v>0</v>
      </c>
      <c r="AL227" s="179">
        <f>0.1*$AL$2</f>
        <v>7.5000000000000002E-4</v>
      </c>
      <c r="AM227" s="179">
        <f>AM222</f>
        <v>2.7E-2</v>
      </c>
      <c r="AN227" s="179">
        <f>ROUNDUP(AN222/3,0)</f>
        <v>1</v>
      </c>
      <c r="AQ227" s="182">
        <f>AM227*I227*0.1+AL227</f>
        <v>1.0551E-3</v>
      </c>
      <c r="AR227" s="182">
        <f t="shared" si="242"/>
        <v>1.0551000000000001E-4</v>
      </c>
      <c r="AS227" s="183">
        <f t="shared" si="243"/>
        <v>0</v>
      </c>
      <c r="AT227" s="183">
        <f t="shared" si="244"/>
        <v>2.9015250000000002E-4</v>
      </c>
      <c r="AU227" s="182">
        <f>1333*J226*POWER(10,-6)</f>
        <v>1.50629E-4</v>
      </c>
      <c r="AV227" s="183">
        <f t="shared" si="245"/>
        <v>1.6013914999999999E-3</v>
      </c>
      <c r="AW227" s="184">
        <f t="shared" si="246"/>
        <v>0</v>
      </c>
      <c r="AX227" s="184">
        <f t="shared" si="247"/>
        <v>0</v>
      </c>
      <c r="AY227" s="184">
        <f t="shared" si="248"/>
        <v>1.0116790801249999E-8</v>
      </c>
    </row>
    <row r="228" spans="1:51" s="179" customFormat="1" x14ac:dyDescent="0.3">
      <c r="A228" s="180"/>
      <c r="B228" s="180"/>
      <c r="D228" s="271"/>
      <c r="E228" s="272"/>
      <c r="F228" s="273"/>
      <c r="G228" s="180"/>
      <c r="H228" s="184"/>
      <c r="I228" s="183"/>
      <c r="J228" s="180"/>
      <c r="K228" s="180"/>
      <c r="L228" s="180"/>
      <c r="AQ228" s="182"/>
      <c r="AR228" s="182"/>
      <c r="AS228" s="183"/>
      <c r="AT228" s="183"/>
      <c r="AU228" s="182"/>
      <c r="AV228" s="183"/>
      <c r="AW228" s="184"/>
      <c r="AX228" s="184"/>
      <c r="AY228" s="184"/>
    </row>
    <row r="229" spans="1:51" s="179" customFormat="1" x14ac:dyDescent="0.3">
      <c r="A229" s="180"/>
      <c r="B229" s="180"/>
      <c r="D229" s="271"/>
      <c r="E229" s="272"/>
      <c r="F229" s="273"/>
      <c r="G229" s="180"/>
      <c r="H229" s="184"/>
      <c r="I229" s="183"/>
      <c r="J229" s="180"/>
      <c r="K229" s="180"/>
      <c r="L229" s="180"/>
      <c r="AQ229" s="182"/>
      <c r="AR229" s="182"/>
      <c r="AS229" s="183"/>
      <c r="AT229" s="183"/>
      <c r="AU229" s="182"/>
      <c r="AV229" s="183"/>
      <c r="AW229" s="184"/>
      <c r="AX229" s="184"/>
      <c r="AY229" s="184"/>
    </row>
    <row r="230" spans="1:51" s="179" customFormat="1" x14ac:dyDescent="0.3">
      <c r="A230" s="180"/>
      <c r="B230" s="180"/>
      <c r="D230" s="271"/>
      <c r="E230" s="272"/>
      <c r="F230" s="273"/>
      <c r="G230" s="180"/>
      <c r="H230" s="184"/>
      <c r="I230" s="183"/>
      <c r="J230" s="180"/>
      <c r="K230" s="180"/>
      <c r="L230" s="180"/>
      <c r="AQ230" s="182"/>
      <c r="AR230" s="182"/>
      <c r="AS230" s="183"/>
      <c r="AT230" s="183"/>
      <c r="AU230" s="182"/>
      <c r="AV230" s="183"/>
      <c r="AW230" s="184"/>
      <c r="AX230" s="184"/>
      <c r="AY230" s="184"/>
    </row>
    <row r="231" spans="1:51" ht="15" thickBot="1" x14ac:dyDescent="0.35"/>
    <row r="232" spans="1:51" s="179" customFormat="1" ht="15" thickBot="1" x14ac:dyDescent="0.35">
      <c r="A232" s="169" t="s">
        <v>18</v>
      </c>
      <c r="B232" s="312" t="s">
        <v>613</v>
      </c>
      <c r="C232" s="171" t="s">
        <v>196</v>
      </c>
      <c r="D232" s="172" t="s">
        <v>59</v>
      </c>
      <c r="E232" s="173">
        <v>1.0000000000000001E-5</v>
      </c>
      <c r="F232" s="170">
        <v>1</v>
      </c>
      <c r="G232" s="169">
        <v>0.1</v>
      </c>
      <c r="H232" s="174">
        <f t="shared" ref="H232:H237" si="249">E232*F232*G232</f>
        <v>1.0000000000000002E-6</v>
      </c>
      <c r="I232" s="175">
        <v>40.82</v>
      </c>
      <c r="J232" s="187">
        <f>I232</f>
        <v>40.82</v>
      </c>
      <c r="K232" s="177" t="s">
        <v>175</v>
      </c>
      <c r="L232" s="178">
        <v>600</v>
      </c>
      <c r="M232" s="179" t="str">
        <f t="shared" ref="M232:M237" si="250">A232</f>
        <v>С1</v>
      </c>
      <c r="N232" s="179" t="str">
        <f t="shared" ref="N232:N237" si="251">B232</f>
        <v>Емкость (8712D0001)</v>
      </c>
      <c r="O232" s="179" t="str">
        <f t="shared" ref="O232:O237" si="252">D232</f>
        <v>Полное-пожар</v>
      </c>
      <c r="P232" s="179" t="s">
        <v>83</v>
      </c>
      <c r="Q232" s="179" t="s">
        <v>83</v>
      </c>
      <c r="R232" s="179" t="s">
        <v>83</v>
      </c>
      <c r="S232" s="179" t="s">
        <v>83</v>
      </c>
      <c r="T232" s="179" t="s">
        <v>83</v>
      </c>
      <c r="U232" s="179" t="s">
        <v>83</v>
      </c>
      <c r="V232" s="179" t="s">
        <v>83</v>
      </c>
      <c r="W232" s="179" t="s">
        <v>83</v>
      </c>
      <c r="X232" s="179" t="s">
        <v>83</v>
      </c>
      <c r="Y232" s="179" t="s">
        <v>83</v>
      </c>
      <c r="Z232" s="179" t="s">
        <v>83</v>
      </c>
      <c r="AA232" s="179" t="s">
        <v>83</v>
      </c>
      <c r="AB232" s="179" t="s">
        <v>83</v>
      </c>
      <c r="AC232" s="179" t="s">
        <v>83</v>
      </c>
      <c r="AD232" s="179" t="s">
        <v>83</v>
      </c>
      <c r="AE232" s="179" t="s">
        <v>83</v>
      </c>
      <c r="AF232" s="179" t="s">
        <v>83</v>
      </c>
      <c r="AG232" s="179" t="s">
        <v>83</v>
      </c>
      <c r="AH232" s="179" t="s">
        <v>83</v>
      </c>
      <c r="AI232" s="179" t="s">
        <v>83</v>
      </c>
      <c r="AJ232" s="180">
        <v>1</v>
      </c>
      <c r="AK232" s="180">
        <v>2</v>
      </c>
      <c r="AL232" s="181">
        <v>0.75</v>
      </c>
      <c r="AM232" s="181">
        <v>2.7E-2</v>
      </c>
      <c r="AN232" s="181">
        <v>3</v>
      </c>
      <c r="AQ232" s="182">
        <f>AM232*I232+AL232</f>
        <v>1.8521399999999999</v>
      </c>
      <c r="AR232" s="182">
        <f t="shared" ref="AR232:AR237" si="253">0.1*AQ232</f>
        <v>0.18521399999999999</v>
      </c>
      <c r="AS232" s="183">
        <f t="shared" ref="AS232:AS237" si="254">AJ232*3+0.25*AK232</f>
        <v>3.5</v>
      </c>
      <c r="AT232" s="183">
        <f t="shared" ref="AT232:AT237" si="255">SUM(AQ232:AS232)/4</f>
        <v>1.3843384999999999</v>
      </c>
      <c r="AU232" s="182">
        <f>10068.2*J232*POWER(10,-6)</f>
        <v>0.41098392400000006</v>
      </c>
      <c r="AV232" s="183">
        <f t="shared" ref="AV232:AV237" si="256">AU232+AT232+AS232+AR232+AQ232</f>
        <v>7.3326764240000006</v>
      </c>
      <c r="AW232" s="184">
        <f t="shared" ref="AW232:AW237" si="257">AJ232*H232</f>
        <v>1.0000000000000002E-6</v>
      </c>
      <c r="AX232" s="184">
        <f t="shared" ref="AX232:AX237" si="258">H232*AK232</f>
        <v>2.0000000000000003E-6</v>
      </c>
      <c r="AY232" s="184">
        <f t="shared" ref="AY232:AY237" si="259">H232*AV232</f>
        <v>7.3326764240000018E-6</v>
      </c>
    </row>
    <row r="233" spans="1:51" s="179" customFormat="1" ht="15" thickBot="1" x14ac:dyDescent="0.35">
      <c r="A233" s="169" t="s">
        <v>19</v>
      </c>
      <c r="B233" s="169" t="str">
        <f>B232</f>
        <v>Емкость (8712D0001)</v>
      </c>
      <c r="C233" s="171" t="s">
        <v>205</v>
      </c>
      <c r="D233" s="172" t="s">
        <v>59</v>
      </c>
      <c r="E233" s="185">
        <f>E232</f>
        <v>1.0000000000000001E-5</v>
      </c>
      <c r="F233" s="186">
        <f>F232</f>
        <v>1</v>
      </c>
      <c r="G233" s="169">
        <v>0.18000000000000002</v>
      </c>
      <c r="H233" s="174">
        <f t="shared" si="249"/>
        <v>1.8000000000000003E-6</v>
      </c>
      <c r="I233" s="187">
        <f>I232</f>
        <v>40.82</v>
      </c>
      <c r="J233" s="187">
        <f>I232</f>
        <v>40.82</v>
      </c>
      <c r="K233" s="177" t="s">
        <v>176</v>
      </c>
      <c r="L233" s="178">
        <v>0</v>
      </c>
      <c r="M233" s="179" t="str">
        <f t="shared" si="250"/>
        <v>С2</v>
      </c>
      <c r="N233" s="179" t="str">
        <f t="shared" si="251"/>
        <v>Емкость (8712D0001)</v>
      </c>
      <c r="O233" s="179" t="str">
        <f t="shared" si="252"/>
        <v>Полное-пожар</v>
      </c>
      <c r="P233" s="179" t="s">
        <v>83</v>
      </c>
      <c r="Q233" s="179" t="s">
        <v>83</v>
      </c>
      <c r="R233" s="179" t="s">
        <v>83</v>
      </c>
      <c r="S233" s="179" t="s">
        <v>83</v>
      </c>
      <c r="T233" s="179" t="s">
        <v>83</v>
      </c>
      <c r="U233" s="179" t="s">
        <v>83</v>
      </c>
      <c r="V233" s="179" t="s">
        <v>83</v>
      </c>
      <c r="W233" s="179" t="s">
        <v>83</v>
      </c>
      <c r="X233" s="179" t="s">
        <v>83</v>
      </c>
      <c r="Y233" s="179" t="s">
        <v>83</v>
      </c>
      <c r="Z233" s="179" t="s">
        <v>83</v>
      </c>
      <c r="AA233" s="179" t="s">
        <v>83</v>
      </c>
      <c r="AB233" s="179" t="s">
        <v>83</v>
      </c>
      <c r="AC233" s="179" t="s">
        <v>83</v>
      </c>
      <c r="AD233" s="179" t="s">
        <v>83</v>
      </c>
      <c r="AE233" s="179" t="s">
        <v>83</v>
      </c>
      <c r="AF233" s="179" t="s">
        <v>83</v>
      </c>
      <c r="AG233" s="179" t="s">
        <v>83</v>
      </c>
      <c r="AH233" s="179" t="s">
        <v>83</v>
      </c>
      <c r="AI233" s="179" t="s">
        <v>83</v>
      </c>
      <c r="AJ233" s="180">
        <v>2</v>
      </c>
      <c r="AK233" s="180">
        <v>2</v>
      </c>
      <c r="AL233" s="179">
        <f>AL232</f>
        <v>0.75</v>
      </c>
      <c r="AM233" s="179">
        <f>AM232</f>
        <v>2.7E-2</v>
      </c>
      <c r="AN233" s="179">
        <f>AN232</f>
        <v>3</v>
      </c>
      <c r="AQ233" s="182">
        <f>AM233*I233+AL233</f>
        <v>1.8521399999999999</v>
      </c>
      <c r="AR233" s="182">
        <f t="shared" si="253"/>
        <v>0.18521399999999999</v>
      </c>
      <c r="AS233" s="183">
        <f t="shared" si="254"/>
        <v>6.5</v>
      </c>
      <c r="AT233" s="183">
        <f t="shared" si="255"/>
        <v>2.1343385000000001</v>
      </c>
      <c r="AU233" s="182">
        <f>10068.2*J233*POWER(10,-6)*10</f>
        <v>4.1098392400000003</v>
      </c>
      <c r="AV233" s="183">
        <f t="shared" si="256"/>
        <v>14.781531740000002</v>
      </c>
      <c r="AW233" s="184">
        <f t="shared" si="257"/>
        <v>3.6000000000000007E-6</v>
      </c>
      <c r="AX233" s="184">
        <f t="shared" si="258"/>
        <v>3.6000000000000007E-6</v>
      </c>
      <c r="AY233" s="184">
        <f t="shared" si="259"/>
        <v>2.6606757132000008E-5</v>
      </c>
    </row>
    <row r="234" spans="1:51" s="179" customFormat="1" x14ac:dyDescent="0.3">
      <c r="A234" s="169" t="s">
        <v>20</v>
      </c>
      <c r="B234" s="169" t="str">
        <f>B232</f>
        <v>Емкость (8712D0001)</v>
      </c>
      <c r="C234" s="171" t="s">
        <v>198</v>
      </c>
      <c r="D234" s="172" t="s">
        <v>60</v>
      </c>
      <c r="E234" s="185">
        <f>E232</f>
        <v>1.0000000000000001E-5</v>
      </c>
      <c r="F234" s="186">
        <f>F232</f>
        <v>1</v>
      </c>
      <c r="G234" s="169">
        <v>0.72000000000000008</v>
      </c>
      <c r="H234" s="174">
        <f t="shared" si="249"/>
        <v>7.2000000000000014E-6</v>
      </c>
      <c r="I234" s="187">
        <f>I232</f>
        <v>40.82</v>
      </c>
      <c r="J234" s="169">
        <v>0</v>
      </c>
      <c r="K234" s="177" t="s">
        <v>177</v>
      </c>
      <c r="L234" s="178">
        <v>0</v>
      </c>
      <c r="M234" s="179" t="str">
        <f t="shared" si="250"/>
        <v>С3</v>
      </c>
      <c r="N234" s="179" t="str">
        <f t="shared" si="251"/>
        <v>Емкость (8712D0001)</v>
      </c>
      <c r="O234" s="179" t="str">
        <f t="shared" si="252"/>
        <v>Полное-ликвидация</v>
      </c>
      <c r="P234" s="179" t="s">
        <v>83</v>
      </c>
      <c r="Q234" s="179" t="s">
        <v>83</v>
      </c>
      <c r="R234" s="179" t="s">
        <v>83</v>
      </c>
      <c r="S234" s="179" t="s">
        <v>83</v>
      </c>
      <c r="T234" s="179" t="s">
        <v>83</v>
      </c>
      <c r="U234" s="179" t="s">
        <v>83</v>
      </c>
      <c r="V234" s="179" t="s">
        <v>83</v>
      </c>
      <c r="W234" s="179" t="s">
        <v>83</v>
      </c>
      <c r="X234" s="179" t="s">
        <v>83</v>
      </c>
      <c r="Y234" s="179" t="s">
        <v>83</v>
      </c>
      <c r="Z234" s="179" t="s">
        <v>83</v>
      </c>
      <c r="AA234" s="179" t="s">
        <v>83</v>
      </c>
      <c r="AB234" s="179" t="s">
        <v>83</v>
      </c>
      <c r="AC234" s="179" t="s">
        <v>83</v>
      </c>
      <c r="AD234" s="179" t="s">
        <v>83</v>
      </c>
      <c r="AE234" s="179" t="s">
        <v>83</v>
      </c>
      <c r="AF234" s="179" t="s">
        <v>83</v>
      </c>
      <c r="AG234" s="179" t="s">
        <v>83</v>
      </c>
      <c r="AH234" s="179" t="s">
        <v>83</v>
      </c>
      <c r="AI234" s="179" t="s">
        <v>83</v>
      </c>
      <c r="AJ234" s="179">
        <v>0</v>
      </c>
      <c r="AK234" s="179">
        <v>0</v>
      </c>
      <c r="AL234" s="179">
        <f>AL232</f>
        <v>0.75</v>
      </c>
      <c r="AM234" s="179">
        <f>AM232</f>
        <v>2.7E-2</v>
      </c>
      <c r="AN234" s="179">
        <f>AN232</f>
        <v>3</v>
      </c>
      <c r="AQ234" s="182">
        <f>AM234*I234*0.1+AL234</f>
        <v>0.86021400000000003</v>
      </c>
      <c r="AR234" s="182">
        <f t="shared" si="253"/>
        <v>8.6021400000000012E-2</v>
      </c>
      <c r="AS234" s="183">
        <f t="shared" si="254"/>
        <v>0</v>
      </c>
      <c r="AT234" s="183">
        <f t="shared" si="255"/>
        <v>0.23655885000000001</v>
      </c>
      <c r="AU234" s="182">
        <f>1333*J233*POWER(10,-6)</f>
        <v>5.4413059999999992E-2</v>
      </c>
      <c r="AV234" s="183">
        <f t="shared" si="256"/>
        <v>1.2372073100000001</v>
      </c>
      <c r="AW234" s="184">
        <f t="shared" si="257"/>
        <v>0</v>
      </c>
      <c r="AX234" s="184">
        <f t="shared" si="258"/>
        <v>0</v>
      </c>
      <c r="AY234" s="184">
        <f t="shared" si="259"/>
        <v>8.9078926320000028E-6</v>
      </c>
    </row>
    <row r="235" spans="1:51" s="179" customFormat="1" x14ac:dyDescent="0.3">
      <c r="A235" s="169" t="s">
        <v>21</v>
      </c>
      <c r="B235" s="169" t="str">
        <f>B232</f>
        <v>Емкость (8712D0001)</v>
      </c>
      <c r="C235" s="171" t="s">
        <v>199</v>
      </c>
      <c r="D235" s="172" t="s">
        <v>84</v>
      </c>
      <c r="E235" s="173">
        <v>1E-4</v>
      </c>
      <c r="F235" s="186">
        <f>F232</f>
        <v>1</v>
      </c>
      <c r="G235" s="169">
        <v>0.1</v>
      </c>
      <c r="H235" s="174">
        <f t="shared" si="249"/>
        <v>1.0000000000000001E-5</v>
      </c>
      <c r="I235" s="187">
        <f>0.15*I232</f>
        <v>6.1230000000000002</v>
      </c>
      <c r="J235" s="187">
        <f>I235</f>
        <v>6.1230000000000002</v>
      </c>
      <c r="K235" s="190" t="s">
        <v>179</v>
      </c>
      <c r="L235" s="191">
        <v>45390</v>
      </c>
      <c r="M235" s="179" t="str">
        <f t="shared" si="250"/>
        <v>С4</v>
      </c>
      <c r="N235" s="179" t="str">
        <f t="shared" si="251"/>
        <v>Емкость (8712D0001)</v>
      </c>
      <c r="O235" s="179" t="str">
        <f t="shared" si="252"/>
        <v>Частичное-пожар</v>
      </c>
      <c r="P235" s="179" t="s">
        <v>83</v>
      </c>
      <c r="Q235" s="179" t="s">
        <v>83</v>
      </c>
      <c r="R235" s="179" t="s">
        <v>83</v>
      </c>
      <c r="S235" s="179" t="s">
        <v>83</v>
      </c>
      <c r="T235" s="179" t="s">
        <v>83</v>
      </c>
      <c r="U235" s="179" t="s">
        <v>83</v>
      </c>
      <c r="V235" s="179" t="s">
        <v>83</v>
      </c>
      <c r="W235" s="179" t="s">
        <v>83</v>
      </c>
      <c r="X235" s="179" t="s">
        <v>83</v>
      </c>
      <c r="Y235" s="179" t="s">
        <v>83</v>
      </c>
      <c r="Z235" s="179" t="s">
        <v>83</v>
      </c>
      <c r="AA235" s="179" t="s">
        <v>83</v>
      </c>
      <c r="AB235" s="179" t="s">
        <v>83</v>
      </c>
      <c r="AC235" s="179" t="s">
        <v>83</v>
      </c>
      <c r="AD235" s="179" t="s">
        <v>83</v>
      </c>
      <c r="AE235" s="179" t="s">
        <v>83</v>
      </c>
      <c r="AF235" s="179" t="s">
        <v>83</v>
      </c>
      <c r="AG235" s="179" t="s">
        <v>83</v>
      </c>
      <c r="AH235" s="179" t="s">
        <v>83</v>
      </c>
      <c r="AI235" s="179" t="s">
        <v>83</v>
      </c>
      <c r="AJ235" s="179">
        <v>0</v>
      </c>
      <c r="AK235" s="179">
        <v>2</v>
      </c>
      <c r="AL235" s="179">
        <f>0.1*$AL$2</f>
        <v>7.5000000000000002E-4</v>
      </c>
      <c r="AM235" s="179">
        <f>AM232</f>
        <v>2.7E-2</v>
      </c>
      <c r="AN235" s="179">
        <f>ROUNDUP(AN232/3,0)</f>
        <v>1</v>
      </c>
      <c r="AQ235" s="182">
        <f>AM235*I235+AL235</f>
        <v>0.166071</v>
      </c>
      <c r="AR235" s="182">
        <f t="shared" si="253"/>
        <v>1.66071E-2</v>
      </c>
      <c r="AS235" s="183">
        <f t="shared" si="254"/>
        <v>0.5</v>
      </c>
      <c r="AT235" s="183">
        <f t="shared" si="255"/>
        <v>0.17066952499999999</v>
      </c>
      <c r="AU235" s="182">
        <f>10068.2*J235*POWER(10,-6)</f>
        <v>6.1647588600000004E-2</v>
      </c>
      <c r="AV235" s="183">
        <f t="shared" si="256"/>
        <v>0.91499521359999991</v>
      </c>
      <c r="AW235" s="184">
        <f t="shared" si="257"/>
        <v>0</v>
      </c>
      <c r="AX235" s="184">
        <f t="shared" si="258"/>
        <v>2.0000000000000002E-5</v>
      </c>
      <c r="AY235" s="184">
        <f t="shared" si="259"/>
        <v>9.1499521360000005E-6</v>
      </c>
    </row>
    <row r="236" spans="1:51" s="179" customFormat="1" x14ac:dyDescent="0.3">
      <c r="A236" s="169" t="s">
        <v>22</v>
      </c>
      <c r="B236" s="169" t="str">
        <f>B232</f>
        <v>Емкость (8712D0001)</v>
      </c>
      <c r="C236" s="171" t="s">
        <v>206</v>
      </c>
      <c r="D236" s="172" t="s">
        <v>84</v>
      </c>
      <c r="E236" s="185">
        <f>E235</f>
        <v>1E-4</v>
      </c>
      <c r="F236" s="186">
        <f>F232</f>
        <v>1</v>
      </c>
      <c r="G236" s="169">
        <v>4.5000000000000005E-2</v>
      </c>
      <c r="H236" s="174">
        <f t="shared" si="249"/>
        <v>4.500000000000001E-6</v>
      </c>
      <c r="I236" s="187">
        <f>0.15*I232</f>
        <v>6.1230000000000002</v>
      </c>
      <c r="J236" s="187">
        <f>I235</f>
        <v>6.1230000000000002</v>
      </c>
      <c r="K236" s="190" t="s">
        <v>180</v>
      </c>
      <c r="L236" s="191">
        <v>3</v>
      </c>
      <c r="M236" s="179" t="str">
        <f t="shared" si="250"/>
        <v>С5</v>
      </c>
      <c r="N236" s="179" t="str">
        <f t="shared" si="251"/>
        <v>Емкость (8712D0001)</v>
      </c>
      <c r="O236" s="179" t="str">
        <f t="shared" si="252"/>
        <v>Частичное-пожар</v>
      </c>
      <c r="P236" s="179" t="s">
        <v>83</v>
      </c>
      <c r="Q236" s="179" t="s">
        <v>83</v>
      </c>
      <c r="R236" s="179" t="s">
        <v>83</v>
      </c>
      <c r="S236" s="179" t="s">
        <v>83</v>
      </c>
      <c r="T236" s="179" t="s">
        <v>83</v>
      </c>
      <c r="U236" s="179" t="s">
        <v>83</v>
      </c>
      <c r="V236" s="179" t="s">
        <v>83</v>
      </c>
      <c r="W236" s="179" t="s">
        <v>83</v>
      </c>
      <c r="X236" s="179" t="s">
        <v>83</v>
      </c>
      <c r="Y236" s="179" t="s">
        <v>83</v>
      </c>
      <c r="Z236" s="179" t="s">
        <v>83</v>
      </c>
      <c r="AA236" s="179" t="s">
        <v>83</v>
      </c>
      <c r="AB236" s="179" t="s">
        <v>83</v>
      </c>
      <c r="AC236" s="179" t="s">
        <v>83</v>
      </c>
      <c r="AD236" s="179" t="s">
        <v>83</v>
      </c>
      <c r="AE236" s="179" t="s">
        <v>83</v>
      </c>
      <c r="AF236" s="179" t="s">
        <v>83</v>
      </c>
      <c r="AG236" s="179" t="s">
        <v>83</v>
      </c>
      <c r="AH236" s="179" t="s">
        <v>83</v>
      </c>
      <c r="AI236" s="179" t="s">
        <v>83</v>
      </c>
      <c r="AJ236" s="179">
        <v>0</v>
      </c>
      <c r="AK236" s="179">
        <v>1</v>
      </c>
      <c r="AL236" s="179">
        <f>0.1*$AL$2</f>
        <v>7.5000000000000002E-4</v>
      </c>
      <c r="AM236" s="179">
        <f>AM232</f>
        <v>2.7E-2</v>
      </c>
      <c r="AN236" s="179">
        <f>ROUNDUP(AN232/3,0)</f>
        <v>1</v>
      </c>
      <c r="AQ236" s="182">
        <f>AM236*I236+AL236</f>
        <v>0.166071</v>
      </c>
      <c r="AR236" s="182">
        <f t="shared" si="253"/>
        <v>1.66071E-2</v>
      </c>
      <c r="AS236" s="183">
        <f t="shared" si="254"/>
        <v>0.25</v>
      </c>
      <c r="AT236" s="183">
        <f t="shared" si="255"/>
        <v>0.108169525</v>
      </c>
      <c r="AU236" s="182">
        <f>10068.2*J236*POWER(10,-6)*10</f>
        <v>0.61647588600000003</v>
      </c>
      <c r="AV236" s="183">
        <f t="shared" si="256"/>
        <v>1.157323511</v>
      </c>
      <c r="AW236" s="184">
        <f t="shared" si="257"/>
        <v>0</v>
      </c>
      <c r="AX236" s="184">
        <f t="shared" si="258"/>
        <v>4.500000000000001E-6</v>
      </c>
      <c r="AY236" s="184">
        <f t="shared" si="259"/>
        <v>5.2079557995000012E-6</v>
      </c>
    </row>
    <row r="237" spans="1:51" s="179" customFormat="1" ht="15" thickBot="1" x14ac:dyDescent="0.35">
      <c r="A237" s="169" t="s">
        <v>23</v>
      </c>
      <c r="B237" s="169" t="str">
        <f>B232</f>
        <v>Емкость (8712D0001)</v>
      </c>
      <c r="C237" s="171" t="s">
        <v>201</v>
      </c>
      <c r="D237" s="172" t="s">
        <v>61</v>
      </c>
      <c r="E237" s="185">
        <f>E235</f>
        <v>1E-4</v>
      </c>
      <c r="F237" s="186">
        <f>F232</f>
        <v>1</v>
      </c>
      <c r="G237" s="169">
        <v>0.85499999999999998</v>
      </c>
      <c r="H237" s="174">
        <f t="shared" si="249"/>
        <v>8.5500000000000005E-5</v>
      </c>
      <c r="I237" s="187">
        <f>0.15*I232</f>
        <v>6.1230000000000002</v>
      </c>
      <c r="J237" s="169">
        <v>0</v>
      </c>
      <c r="K237" s="192" t="s">
        <v>191</v>
      </c>
      <c r="L237" s="192">
        <v>11</v>
      </c>
      <c r="M237" s="179" t="str">
        <f t="shared" si="250"/>
        <v>С6</v>
      </c>
      <c r="N237" s="179" t="str">
        <f t="shared" si="251"/>
        <v>Емкость (8712D0001)</v>
      </c>
      <c r="O237" s="179" t="str">
        <f t="shared" si="252"/>
        <v>Частичное-ликвидация</v>
      </c>
      <c r="P237" s="179" t="s">
        <v>83</v>
      </c>
      <c r="Q237" s="179" t="s">
        <v>83</v>
      </c>
      <c r="R237" s="179" t="s">
        <v>83</v>
      </c>
      <c r="S237" s="179" t="s">
        <v>83</v>
      </c>
      <c r="T237" s="179" t="s">
        <v>83</v>
      </c>
      <c r="U237" s="179" t="s">
        <v>83</v>
      </c>
      <c r="V237" s="179" t="s">
        <v>83</v>
      </c>
      <c r="W237" s="179" t="s">
        <v>83</v>
      </c>
      <c r="X237" s="179" t="s">
        <v>83</v>
      </c>
      <c r="Y237" s="179" t="s">
        <v>83</v>
      </c>
      <c r="Z237" s="179" t="s">
        <v>83</v>
      </c>
      <c r="AA237" s="179" t="s">
        <v>83</v>
      </c>
      <c r="AB237" s="179" t="s">
        <v>83</v>
      </c>
      <c r="AC237" s="179" t="s">
        <v>83</v>
      </c>
      <c r="AD237" s="179" t="s">
        <v>83</v>
      </c>
      <c r="AE237" s="179" t="s">
        <v>83</v>
      </c>
      <c r="AF237" s="179" t="s">
        <v>83</v>
      </c>
      <c r="AG237" s="179" t="s">
        <v>83</v>
      </c>
      <c r="AH237" s="179" t="s">
        <v>83</v>
      </c>
      <c r="AI237" s="179" t="s">
        <v>83</v>
      </c>
      <c r="AJ237" s="179">
        <v>0</v>
      </c>
      <c r="AK237" s="179">
        <v>0</v>
      </c>
      <c r="AL237" s="179">
        <f>0.1*$AL$2</f>
        <v>7.5000000000000002E-4</v>
      </c>
      <c r="AM237" s="179">
        <f>AM232</f>
        <v>2.7E-2</v>
      </c>
      <c r="AN237" s="179">
        <f>ROUNDUP(AN232/3,0)</f>
        <v>1</v>
      </c>
      <c r="AQ237" s="182">
        <f>AM237*I237*0.1+AL237</f>
        <v>1.7282100000000002E-2</v>
      </c>
      <c r="AR237" s="182">
        <f t="shared" si="253"/>
        <v>1.7282100000000002E-3</v>
      </c>
      <c r="AS237" s="183">
        <f t="shared" si="254"/>
        <v>0</v>
      </c>
      <c r="AT237" s="183">
        <f t="shared" si="255"/>
        <v>4.7525775000000006E-3</v>
      </c>
      <c r="AU237" s="182">
        <f>1333*J236*POWER(10,-6)</f>
        <v>8.1619589999999999E-3</v>
      </c>
      <c r="AV237" s="183">
        <f t="shared" si="256"/>
        <v>3.1924846500000006E-2</v>
      </c>
      <c r="AW237" s="184">
        <f t="shared" si="257"/>
        <v>0</v>
      </c>
      <c r="AX237" s="184">
        <f t="shared" si="258"/>
        <v>0</v>
      </c>
      <c r="AY237" s="184">
        <f t="shared" si="259"/>
        <v>2.7295743757500007E-6</v>
      </c>
    </row>
    <row r="238" spans="1:51" s="179" customFormat="1" x14ac:dyDescent="0.3">
      <c r="A238" s="180"/>
      <c r="B238" s="180"/>
      <c r="D238" s="271"/>
      <c r="E238" s="272"/>
      <c r="F238" s="273"/>
      <c r="G238" s="180"/>
      <c r="H238" s="184"/>
      <c r="I238" s="183"/>
      <c r="J238" s="180"/>
      <c r="K238" s="180"/>
      <c r="L238" s="180"/>
      <c r="AQ238" s="182"/>
      <c r="AR238" s="182"/>
      <c r="AS238" s="183"/>
      <c r="AT238" s="183"/>
      <c r="AU238" s="182"/>
      <c r="AV238" s="183"/>
      <c r="AW238" s="184"/>
      <c r="AX238" s="184"/>
      <c r="AY238" s="184"/>
    </row>
    <row r="239" spans="1:51" s="179" customFormat="1" x14ac:dyDescent="0.3">
      <c r="A239" s="180"/>
      <c r="B239" s="180"/>
      <c r="D239" s="271"/>
      <c r="E239" s="272"/>
      <c r="F239" s="273"/>
      <c r="G239" s="180"/>
      <c r="H239" s="184"/>
      <c r="I239" s="183"/>
      <c r="J239" s="180"/>
      <c r="K239" s="180"/>
      <c r="L239" s="180"/>
      <c r="AQ239" s="182"/>
      <c r="AR239" s="182"/>
      <c r="AS239" s="183"/>
      <c r="AT239" s="183"/>
      <c r="AU239" s="182"/>
      <c r="AV239" s="183"/>
      <c r="AW239" s="184"/>
      <c r="AX239" s="184"/>
      <c r="AY239" s="184"/>
    </row>
    <row r="240" spans="1:51" s="179" customFormat="1" x14ac:dyDescent="0.3">
      <c r="A240" s="180"/>
      <c r="B240" s="180"/>
      <c r="D240" s="271"/>
      <c r="E240" s="272"/>
      <c r="F240" s="273"/>
      <c r="G240" s="180"/>
      <c r="H240" s="184"/>
      <c r="I240" s="183"/>
      <c r="J240" s="180"/>
      <c r="K240" s="180"/>
      <c r="L240" s="180"/>
      <c r="AQ240" s="182"/>
      <c r="AR240" s="182"/>
      <c r="AS240" s="183"/>
      <c r="AT240" s="183"/>
      <c r="AU240" s="182"/>
      <c r="AV240" s="183"/>
      <c r="AW240" s="184"/>
      <c r="AX240" s="184"/>
      <c r="AY240" s="184"/>
    </row>
    <row r="241" spans="1:51" ht="15" thickBot="1" x14ac:dyDescent="0.35"/>
    <row r="242" spans="1:51" s="179" customFormat="1" ht="15" thickBot="1" x14ac:dyDescent="0.35">
      <c r="A242" s="169" t="s">
        <v>18</v>
      </c>
      <c r="B242" s="170" t="s">
        <v>614</v>
      </c>
      <c r="C242" s="171" t="s">
        <v>227</v>
      </c>
      <c r="D242" s="172" t="s">
        <v>183</v>
      </c>
      <c r="E242" s="173">
        <v>1.0000000000000001E-5</v>
      </c>
      <c r="F242" s="170">
        <v>1</v>
      </c>
      <c r="G242" s="169">
        <v>1.4999999999999999E-2</v>
      </c>
      <c r="H242" s="174">
        <f t="shared" ref="H242:H247" si="260">E242*F242*G242</f>
        <v>1.5000000000000002E-7</v>
      </c>
      <c r="I242" s="175">
        <f>(1200/3600)*12</f>
        <v>4</v>
      </c>
      <c r="J242" s="187">
        <f>I242</f>
        <v>4</v>
      </c>
      <c r="K242" s="177" t="s">
        <v>175</v>
      </c>
      <c r="L242" s="422">
        <f>J242*20</f>
        <v>80</v>
      </c>
      <c r="M242" s="179" t="str">
        <f t="shared" ref="M242:M247" si="261">A242</f>
        <v>С1</v>
      </c>
      <c r="N242" s="179" t="str">
        <f t="shared" ref="N242:N247" si="262">B242</f>
        <v>Насос центробежный (8712P0001A)</v>
      </c>
      <c r="O242" s="179" t="str">
        <f t="shared" ref="O242:O247" si="263">D242</f>
        <v>Полное-факел</v>
      </c>
      <c r="P242" s="179" t="s">
        <v>83</v>
      </c>
      <c r="Q242" s="179" t="s">
        <v>83</v>
      </c>
      <c r="R242" s="179" t="s">
        <v>83</v>
      </c>
      <c r="S242" s="179" t="s">
        <v>83</v>
      </c>
      <c r="T242" s="179" t="s">
        <v>83</v>
      </c>
      <c r="U242" s="179" t="s">
        <v>83</v>
      </c>
      <c r="V242" s="179" t="s">
        <v>83</v>
      </c>
      <c r="W242" s="179" t="s">
        <v>83</v>
      </c>
      <c r="X242" s="179" t="s">
        <v>83</v>
      </c>
      <c r="Y242" s="179" t="s">
        <v>83</v>
      </c>
      <c r="Z242" s="179" t="s">
        <v>83</v>
      </c>
      <c r="AA242" s="179" t="s">
        <v>83</v>
      </c>
      <c r="AB242" s="179" t="s">
        <v>83</v>
      </c>
      <c r="AC242" s="179" t="s">
        <v>83</v>
      </c>
      <c r="AD242" s="179" t="s">
        <v>83</v>
      </c>
      <c r="AE242" s="179" t="s">
        <v>83</v>
      </c>
      <c r="AF242" s="179" t="s">
        <v>83</v>
      </c>
      <c r="AG242" s="179" t="s">
        <v>83</v>
      </c>
      <c r="AH242" s="179" t="s">
        <v>83</v>
      </c>
      <c r="AI242" s="179" t="s">
        <v>83</v>
      </c>
      <c r="AJ242" s="180">
        <v>1</v>
      </c>
      <c r="AK242" s="180">
        <v>2</v>
      </c>
      <c r="AL242" s="181">
        <v>0.75</v>
      </c>
      <c r="AM242" s="181">
        <v>2.7E-2</v>
      </c>
      <c r="AN242" s="181">
        <v>3</v>
      </c>
      <c r="AQ242" s="182">
        <f>AM242*I242+AL242</f>
        <v>0.85799999999999998</v>
      </c>
      <c r="AR242" s="182">
        <f t="shared" ref="AR242:AR247" si="264">0.1*AQ242</f>
        <v>8.5800000000000001E-2</v>
      </c>
      <c r="AS242" s="183">
        <f t="shared" ref="AS242:AS247" si="265">AJ242*3+0.25*AK242</f>
        <v>3.5</v>
      </c>
      <c r="AT242" s="183">
        <f t="shared" ref="AT242:AT247" si="266">SUM(AQ242:AS242)/4</f>
        <v>1.1109499999999999</v>
      </c>
      <c r="AU242" s="182">
        <f>10068.2*J242*POWER(10,-6)</f>
        <v>4.0272800000000004E-2</v>
      </c>
      <c r="AV242" s="183">
        <f t="shared" ref="AV242:AV247" si="267">AU242+AT242+AS242+AR242+AQ242</f>
        <v>5.5950227999999997</v>
      </c>
      <c r="AW242" s="184">
        <f t="shared" ref="AW242:AW247" si="268">AJ242*H242</f>
        <v>1.5000000000000002E-7</v>
      </c>
      <c r="AX242" s="184">
        <f t="shared" ref="AX242:AX247" si="269">H242*AK242</f>
        <v>3.0000000000000004E-7</v>
      </c>
      <c r="AY242" s="184">
        <f t="shared" ref="AY242:AY247" si="270">H242*AV242</f>
        <v>8.3925342000000007E-7</v>
      </c>
    </row>
    <row r="243" spans="1:51" s="179" customFormat="1" ht="15" thickBot="1" x14ac:dyDescent="0.35">
      <c r="A243" s="169" t="s">
        <v>19</v>
      </c>
      <c r="B243" s="169" t="str">
        <f>B242</f>
        <v>Насос центробежный (8712P0001A)</v>
      </c>
      <c r="C243" s="171" t="s">
        <v>238</v>
      </c>
      <c r="D243" s="172" t="s">
        <v>59</v>
      </c>
      <c r="E243" s="185">
        <f>E242</f>
        <v>1.0000000000000001E-5</v>
      </c>
      <c r="F243" s="186">
        <f>F242</f>
        <v>1</v>
      </c>
      <c r="G243" s="169">
        <v>1.4249999999999999E-2</v>
      </c>
      <c r="H243" s="174">
        <f t="shared" si="260"/>
        <v>1.4250000000000001E-7</v>
      </c>
      <c r="I243" s="187">
        <f>I242</f>
        <v>4</v>
      </c>
      <c r="J243" s="175">
        <f>I242</f>
        <v>4</v>
      </c>
      <c r="K243" s="177" t="s">
        <v>176</v>
      </c>
      <c r="L243" s="178">
        <v>0</v>
      </c>
      <c r="M243" s="179" t="str">
        <f t="shared" si="261"/>
        <v>С2</v>
      </c>
      <c r="N243" s="179" t="str">
        <f t="shared" si="262"/>
        <v>Насос центробежный (8712P0001A)</v>
      </c>
      <c r="O243" s="179" t="str">
        <f t="shared" si="263"/>
        <v>Полное-пожар</v>
      </c>
      <c r="P243" s="179" t="s">
        <v>83</v>
      </c>
      <c r="Q243" s="179" t="s">
        <v>83</v>
      </c>
      <c r="R243" s="179" t="s">
        <v>83</v>
      </c>
      <c r="S243" s="179" t="s">
        <v>83</v>
      </c>
      <c r="T243" s="179" t="s">
        <v>83</v>
      </c>
      <c r="U243" s="179" t="s">
        <v>83</v>
      </c>
      <c r="V243" s="179" t="s">
        <v>83</v>
      </c>
      <c r="W243" s="179" t="s">
        <v>83</v>
      </c>
      <c r="X243" s="179" t="s">
        <v>83</v>
      </c>
      <c r="Y243" s="179" t="s">
        <v>83</v>
      </c>
      <c r="Z243" s="179" t="s">
        <v>83</v>
      </c>
      <c r="AA243" s="179" t="s">
        <v>83</v>
      </c>
      <c r="AB243" s="179" t="s">
        <v>83</v>
      </c>
      <c r="AC243" s="179" t="s">
        <v>83</v>
      </c>
      <c r="AD243" s="179" t="s">
        <v>83</v>
      </c>
      <c r="AE243" s="179" t="s">
        <v>83</v>
      </c>
      <c r="AF243" s="179" t="s">
        <v>83</v>
      </c>
      <c r="AG243" s="179" t="s">
        <v>83</v>
      </c>
      <c r="AH243" s="179" t="s">
        <v>83</v>
      </c>
      <c r="AI243" s="179" t="s">
        <v>83</v>
      </c>
      <c r="AJ243" s="180">
        <v>2</v>
      </c>
      <c r="AK243" s="180">
        <v>2</v>
      </c>
      <c r="AL243" s="179">
        <f>AL242</f>
        <v>0.75</v>
      </c>
      <c r="AM243" s="179">
        <f>AM242</f>
        <v>2.7E-2</v>
      </c>
      <c r="AN243" s="179">
        <f>AN242</f>
        <v>3</v>
      </c>
      <c r="AQ243" s="182">
        <f>AM243*I243+AL243</f>
        <v>0.85799999999999998</v>
      </c>
      <c r="AR243" s="182">
        <f t="shared" si="264"/>
        <v>8.5800000000000001E-2</v>
      </c>
      <c r="AS243" s="183">
        <f t="shared" si="265"/>
        <v>6.5</v>
      </c>
      <c r="AT243" s="183">
        <f t="shared" si="266"/>
        <v>1.8609499999999999</v>
      </c>
      <c r="AU243" s="182">
        <f>10068.2*J243*POWER(10,-6)*10</f>
        <v>0.40272800000000003</v>
      </c>
      <c r="AV243" s="183">
        <f t="shared" si="267"/>
        <v>9.7074780000000018</v>
      </c>
      <c r="AW243" s="184">
        <f t="shared" si="268"/>
        <v>2.8500000000000002E-7</v>
      </c>
      <c r="AX243" s="184">
        <f t="shared" si="269"/>
        <v>2.8500000000000002E-7</v>
      </c>
      <c r="AY243" s="184">
        <f t="shared" si="270"/>
        <v>1.3833156150000004E-6</v>
      </c>
    </row>
    <row r="244" spans="1:51" s="179" customFormat="1" x14ac:dyDescent="0.3">
      <c r="A244" s="169" t="s">
        <v>20</v>
      </c>
      <c r="B244" s="169" t="str">
        <f>B242</f>
        <v>Насос центробежный (8712P0001A)</v>
      </c>
      <c r="C244" s="171" t="s">
        <v>239</v>
      </c>
      <c r="D244" s="172" t="s">
        <v>60</v>
      </c>
      <c r="E244" s="185">
        <f>E242</f>
        <v>1.0000000000000001E-5</v>
      </c>
      <c r="F244" s="186">
        <f>F242</f>
        <v>1</v>
      </c>
      <c r="G244" s="169">
        <v>0.27074999999999999</v>
      </c>
      <c r="H244" s="174">
        <f t="shared" si="260"/>
        <v>2.7075000000000003E-6</v>
      </c>
      <c r="I244" s="187">
        <f>I242</f>
        <v>4</v>
      </c>
      <c r="J244" s="169">
        <v>0</v>
      </c>
      <c r="K244" s="177" t="s">
        <v>177</v>
      </c>
      <c r="L244" s="178">
        <v>1</v>
      </c>
      <c r="M244" s="179" t="str">
        <f t="shared" si="261"/>
        <v>С3</v>
      </c>
      <c r="N244" s="179" t="str">
        <f t="shared" si="262"/>
        <v>Насос центробежный (8712P0001A)</v>
      </c>
      <c r="O244" s="179" t="str">
        <f t="shared" si="263"/>
        <v>Полное-ликвидация</v>
      </c>
      <c r="P244" s="179" t="s">
        <v>83</v>
      </c>
      <c r="Q244" s="179" t="s">
        <v>83</v>
      </c>
      <c r="R244" s="179" t="s">
        <v>83</v>
      </c>
      <c r="S244" s="179" t="s">
        <v>83</v>
      </c>
      <c r="T244" s="179" t="s">
        <v>83</v>
      </c>
      <c r="U244" s="179" t="s">
        <v>83</v>
      </c>
      <c r="V244" s="179" t="s">
        <v>83</v>
      </c>
      <c r="W244" s="179" t="s">
        <v>83</v>
      </c>
      <c r="X244" s="179" t="s">
        <v>83</v>
      </c>
      <c r="Y244" s="179" t="s">
        <v>83</v>
      </c>
      <c r="Z244" s="179" t="s">
        <v>83</v>
      </c>
      <c r="AA244" s="179" t="s">
        <v>83</v>
      </c>
      <c r="AB244" s="179" t="s">
        <v>83</v>
      </c>
      <c r="AC244" s="179" t="s">
        <v>83</v>
      </c>
      <c r="AD244" s="179" t="s">
        <v>83</v>
      </c>
      <c r="AE244" s="179" t="s">
        <v>83</v>
      </c>
      <c r="AF244" s="179" t="s">
        <v>83</v>
      </c>
      <c r="AG244" s="179" t="s">
        <v>83</v>
      </c>
      <c r="AH244" s="179" t="s">
        <v>83</v>
      </c>
      <c r="AI244" s="179" t="s">
        <v>83</v>
      </c>
      <c r="AJ244" s="179">
        <v>0</v>
      </c>
      <c r="AK244" s="179">
        <v>0</v>
      </c>
      <c r="AL244" s="179">
        <f>AL242</f>
        <v>0.75</v>
      </c>
      <c r="AM244" s="179">
        <f>AM242</f>
        <v>2.7E-2</v>
      </c>
      <c r="AN244" s="179">
        <f>AN242</f>
        <v>3</v>
      </c>
      <c r="AQ244" s="182">
        <f>AM244*I244*0.1+AL244</f>
        <v>0.76080000000000003</v>
      </c>
      <c r="AR244" s="182">
        <f t="shared" si="264"/>
        <v>7.6080000000000009E-2</v>
      </c>
      <c r="AS244" s="183">
        <f t="shared" si="265"/>
        <v>0</v>
      </c>
      <c r="AT244" s="183">
        <f t="shared" si="266"/>
        <v>0.20922000000000002</v>
      </c>
      <c r="AU244" s="182">
        <f>1333*J243*POWER(10,-6)</f>
        <v>5.3319999999999999E-3</v>
      </c>
      <c r="AV244" s="183">
        <f t="shared" si="267"/>
        <v>1.0514320000000001</v>
      </c>
      <c r="AW244" s="184">
        <f t="shared" si="268"/>
        <v>0</v>
      </c>
      <c r="AX244" s="184">
        <f t="shared" si="269"/>
        <v>0</v>
      </c>
      <c r="AY244" s="184">
        <f t="shared" si="270"/>
        <v>2.8467521400000009E-6</v>
      </c>
    </row>
    <row r="245" spans="1:51" s="179" customFormat="1" x14ac:dyDescent="0.3">
      <c r="A245" s="169" t="s">
        <v>21</v>
      </c>
      <c r="B245" s="169" t="str">
        <f>B242</f>
        <v>Насос центробежный (8712P0001A)</v>
      </c>
      <c r="C245" s="171" t="s">
        <v>230</v>
      </c>
      <c r="D245" s="172" t="s">
        <v>84</v>
      </c>
      <c r="E245" s="185">
        <f>E243</f>
        <v>1.0000000000000001E-5</v>
      </c>
      <c r="F245" s="186">
        <f>F242</f>
        <v>1</v>
      </c>
      <c r="G245" s="169">
        <v>3.4999999999999996E-2</v>
      </c>
      <c r="H245" s="174">
        <f t="shared" si="260"/>
        <v>3.4999999999999998E-7</v>
      </c>
      <c r="I245" s="187">
        <f>0.15*I242</f>
        <v>0.6</v>
      </c>
      <c r="J245" s="187">
        <f>I245</f>
        <v>0.6</v>
      </c>
      <c r="K245" s="190" t="s">
        <v>179</v>
      </c>
      <c r="L245" s="191">
        <v>45390</v>
      </c>
      <c r="M245" s="179" t="str">
        <f t="shared" si="261"/>
        <v>С4</v>
      </c>
      <c r="N245" s="179" t="str">
        <f t="shared" si="262"/>
        <v>Насос центробежный (8712P0001A)</v>
      </c>
      <c r="O245" s="179" t="str">
        <f t="shared" si="263"/>
        <v>Частичное-пожар</v>
      </c>
      <c r="P245" s="179" t="s">
        <v>83</v>
      </c>
      <c r="Q245" s="179" t="s">
        <v>83</v>
      </c>
      <c r="R245" s="179" t="s">
        <v>83</v>
      </c>
      <c r="S245" s="179" t="s">
        <v>83</v>
      </c>
      <c r="T245" s="179" t="s">
        <v>83</v>
      </c>
      <c r="U245" s="179" t="s">
        <v>83</v>
      </c>
      <c r="V245" s="179" t="s">
        <v>83</v>
      </c>
      <c r="W245" s="179" t="s">
        <v>83</v>
      </c>
      <c r="X245" s="179" t="s">
        <v>83</v>
      </c>
      <c r="Y245" s="179" t="s">
        <v>83</v>
      </c>
      <c r="Z245" s="179" t="s">
        <v>83</v>
      </c>
      <c r="AA245" s="179" t="s">
        <v>83</v>
      </c>
      <c r="AB245" s="179" t="s">
        <v>83</v>
      </c>
      <c r="AC245" s="179" t="s">
        <v>83</v>
      </c>
      <c r="AD245" s="179" t="s">
        <v>83</v>
      </c>
      <c r="AE245" s="179" t="s">
        <v>83</v>
      </c>
      <c r="AF245" s="179" t="s">
        <v>83</v>
      </c>
      <c r="AG245" s="179" t="s">
        <v>83</v>
      </c>
      <c r="AH245" s="179" t="s">
        <v>83</v>
      </c>
      <c r="AI245" s="179" t="s">
        <v>83</v>
      </c>
      <c r="AJ245" s="179">
        <v>0</v>
      </c>
      <c r="AK245" s="179">
        <v>2</v>
      </c>
      <c r="AL245" s="179">
        <f>0.1*$AL$2</f>
        <v>7.5000000000000002E-4</v>
      </c>
      <c r="AM245" s="179">
        <f>AM242</f>
        <v>2.7E-2</v>
      </c>
      <c r="AN245" s="179">
        <f>ROUNDUP(AN242/3,0)</f>
        <v>1</v>
      </c>
      <c r="AQ245" s="182">
        <f>AM245*I245+AL245</f>
        <v>1.695E-2</v>
      </c>
      <c r="AR245" s="182">
        <f t="shared" si="264"/>
        <v>1.6950000000000001E-3</v>
      </c>
      <c r="AS245" s="183">
        <f t="shared" si="265"/>
        <v>0.5</v>
      </c>
      <c r="AT245" s="183">
        <f t="shared" si="266"/>
        <v>0.12966125000000001</v>
      </c>
      <c r="AU245" s="182">
        <f>10068.2*J245*POWER(10,-6)</f>
        <v>6.04092E-3</v>
      </c>
      <c r="AV245" s="183">
        <f t="shared" si="267"/>
        <v>0.65434717000000009</v>
      </c>
      <c r="AW245" s="184">
        <f t="shared" si="268"/>
        <v>0</v>
      </c>
      <c r="AX245" s="184">
        <f t="shared" si="269"/>
        <v>6.9999999999999997E-7</v>
      </c>
      <c r="AY245" s="184">
        <f t="shared" si="270"/>
        <v>2.2902150950000002E-7</v>
      </c>
    </row>
    <row r="246" spans="1:51" s="179" customFormat="1" x14ac:dyDescent="0.3">
      <c r="A246" s="169" t="s">
        <v>22</v>
      </c>
      <c r="B246" s="169" t="str">
        <f>B242</f>
        <v>Насос центробежный (8712P0001A)</v>
      </c>
      <c r="C246" s="171" t="s">
        <v>232</v>
      </c>
      <c r="D246" s="172" t="s">
        <v>84</v>
      </c>
      <c r="E246" s="185">
        <f>E244</f>
        <v>1.0000000000000001E-5</v>
      </c>
      <c r="F246" s="186">
        <f>F242</f>
        <v>1</v>
      </c>
      <c r="G246" s="169">
        <v>3.3249999999999995E-2</v>
      </c>
      <c r="H246" s="174">
        <f t="shared" si="260"/>
        <v>3.3249999999999999E-7</v>
      </c>
      <c r="I246" s="187">
        <f>0.15*I242</f>
        <v>0.6</v>
      </c>
      <c r="J246" s="187">
        <f>I245</f>
        <v>0.6</v>
      </c>
      <c r="K246" s="190" t="s">
        <v>180</v>
      </c>
      <c r="L246" s="191">
        <v>3</v>
      </c>
      <c r="M246" s="179" t="str">
        <f t="shared" si="261"/>
        <v>С5</v>
      </c>
      <c r="N246" s="179" t="str">
        <f t="shared" si="262"/>
        <v>Насос центробежный (8712P0001A)</v>
      </c>
      <c r="O246" s="179" t="str">
        <f t="shared" si="263"/>
        <v>Частичное-пожар</v>
      </c>
      <c r="P246" s="179" t="s">
        <v>83</v>
      </c>
      <c r="Q246" s="179" t="s">
        <v>83</v>
      </c>
      <c r="R246" s="179" t="s">
        <v>83</v>
      </c>
      <c r="S246" s="179" t="s">
        <v>83</v>
      </c>
      <c r="T246" s="179" t="s">
        <v>83</v>
      </c>
      <c r="U246" s="179" t="s">
        <v>83</v>
      </c>
      <c r="V246" s="179" t="s">
        <v>83</v>
      </c>
      <c r="W246" s="179" t="s">
        <v>83</v>
      </c>
      <c r="X246" s="179" t="s">
        <v>83</v>
      </c>
      <c r="Y246" s="179" t="s">
        <v>83</v>
      </c>
      <c r="Z246" s="179" t="s">
        <v>83</v>
      </c>
      <c r="AA246" s="179" t="s">
        <v>83</v>
      </c>
      <c r="AB246" s="179" t="s">
        <v>83</v>
      </c>
      <c r="AC246" s="179" t="s">
        <v>83</v>
      </c>
      <c r="AD246" s="179" t="s">
        <v>83</v>
      </c>
      <c r="AE246" s="179" t="s">
        <v>83</v>
      </c>
      <c r="AF246" s="179" t="s">
        <v>83</v>
      </c>
      <c r="AG246" s="179" t="s">
        <v>83</v>
      </c>
      <c r="AH246" s="179" t="s">
        <v>83</v>
      </c>
      <c r="AI246" s="179" t="s">
        <v>83</v>
      </c>
      <c r="AJ246" s="179">
        <v>0</v>
      </c>
      <c r="AK246" s="179">
        <v>1</v>
      </c>
      <c r="AL246" s="179">
        <f>0.1*$AL$2</f>
        <v>7.5000000000000002E-4</v>
      </c>
      <c r="AM246" s="179">
        <f>AM242</f>
        <v>2.7E-2</v>
      </c>
      <c r="AN246" s="179">
        <f>ROUNDUP(AN242/3,0)</f>
        <v>1</v>
      </c>
      <c r="AQ246" s="182">
        <f>AM246*I246+AL246</f>
        <v>1.695E-2</v>
      </c>
      <c r="AR246" s="182">
        <f t="shared" si="264"/>
        <v>1.6950000000000001E-3</v>
      </c>
      <c r="AS246" s="183">
        <f t="shared" si="265"/>
        <v>0.25</v>
      </c>
      <c r="AT246" s="183">
        <f t="shared" si="266"/>
        <v>6.7161250000000006E-2</v>
      </c>
      <c r="AU246" s="182">
        <f>10068.2*J246*POWER(10,-6)*10</f>
        <v>6.0409199999999996E-2</v>
      </c>
      <c r="AV246" s="183">
        <f t="shared" si="267"/>
        <v>0.39621545000000002</v>
      </c>
      <c r="AW246" s="184">
        <f t="shared" si="268"/>
        <v>0</v>
      </c>
      <c r="AX246" s="184">
        <f t="shared" si="269"/>
        <v>3.3249999999999999E-7</v>
      </c>
      <c r="AY246" s="184">
        <f t="shared" si="270"/>
        <v>1.3174163712500001E-7</v>
      </c>
    </row>
    <row r="247" spans="1:51" s="179" customFormat="1" ht="15" thickBot="1" x14ac:dyDescent="0.35">
      <c r="A247" s="169" t="s">
        <v>23</v>
      </c>
      <c r="B247" s="169" t="str">
        <f>B242</f>
        <v>Насос центробежный (8712P0001A)</v>
      </c>
      <c r="C247" s="171" t="s">
        <v>231</v>
      </c>
      <c r="D247" s="172" t="s">
        <v>617</v>
      </c>
      <c r="E247" s="185">
        <f>E245</f>
        <v>1.0000000000000001E-5</v>
      </c>
      <c r="F247" s="186">
        <f>F242</f>
        <v>1</v>
      </c>
      <c r="G247" s="169">
        <v>0.63174999999999992</v>
      </c>
      <c r="H247" s="174">
        <f t="shared" si="260"/>
        <v>6.3175000000000001E-6</v>
      </c>
      <c r="I247" s="187">
        <f>0.15*I242</f>
        <v>0.6</v>
      </c>
      <c r="J247" s="169">
        <v>0</v>
      </c>
      <c r="K247" s="192" t="s">
        <v>191</v>
      </c>
      <c r="L247" s="192">
        <v>18</v>
      </c>
      <c r="M247" s="179" t="str">
        <f t="shared" si="261"/>
        <v>С6</v>
      </c>
      <c r="N247" s="179" t="str">
        <f t="shared" si="262"/>
        <v>Насос центробежный (8712P0001A)</v>
      </c>
      <c r="O247" s="179" t="str">
        <f t="shared" si="263"/>
        <v>Частичное-ликв</v>
      </c>
      <c r="P247" s="179" t="s">
        <v>83</v>
      </c>
      <c r="Q247" s="179" t="s">
        <v>83</v>
      </c>
      <c r="R247" s="179" t="s">
        <v>83</v>
      </c>
      <c r="S247" s="179" t="s">
        <v>83</v>
      </c>
      <c r="T247" s="179" t="s">
        <v>83</v>
      </c>
      <c r="U247" s="179" t="s">
        <v>83</v>
      </c>
      <c r="V247" s="179" t="s">
        <v>83</v>
      </c>
      <c r="W247" s="179" t="s">
        <v>83</v>
      </c>
      <c r="X247" s="179" t="s">
        <v>83</v>
      </c>
      <c r="Y247" s="179" t="s">
        <v>83</v>
      </c>
      <c r="Z247" s="179" t="s">
        <v>83</v>
      </c>
      <c r="AA247" s="179" t="s">
        <v>83</v>
      </c>
      <c r="AB247" s="179" t="s">
        <v>83</v>
      </c>
      <c r="AC247" s="179" t="s">
        <v>83</v>
      </c>
      <c r="AD247" s="179" t="s">
        <v>83</v>
      </c>
      <c r="AE247" s="179" t="s">
        <v>83</v>
      </c>
      <c r="AF247" s="179" t="s">
        <v>83</v>
      </c>
      <c r="AG247" s="179" t="s">
        <v>83</v>
      </c>
      <c r="AH247" s="179" t="s">
        <v>83</v>
      </c>
      <c r="AI247" s="179" t="s">
        <v>83</v>
      </c>
      <c r="AJ247" s="179">
        <v>0</v>
      </c>
      <c r="AK247" s="179">
        <v>0</v>
      </c>
      <c r="AL247" s="179">
        <f>0.1*$AL$2</f>
        <v>7.5000000000000002E-4</v>
      </c>
      <c r="AM247" s="179">
        <f>AM242</f>
        <v>2.7E-2</v>
      </c>
      <c r="AN247" s="179">
        <f>ROUNDUP(AN242/3,0)</f>
        <v>1</v>
      </c>
      <c r="AQ247" s="182">
        <f>AM247*I247*0.1+AL247</f>
        <v>2.3699999999999997E-3</v>
      </c>
      <c r="AR247" s="182">
        <f t="shared" si="264"/>
        <v>2.3699999999999999E-4</v>
      </c>
      <c r="AS247" s="183">
        <f t="shared" si="265"/>
        <v>0</v>
      </c>
      <c r="AT247" s="183">
        <f t="shared" si="266"/>
        <v>6.5174999999999988E-4</v>
      </c>
      <c r="AU247" s="182">
        <f>1333*J246*POWER(10,-6)</f>
        <v>7.9979999999999993E-4</v>
      </c>
      <c r="AV247" s="183">
        <f t="shared" si="267"/>
        <v>4.0585499999999993E-3</v>
      </c>
      <c r="AW247" s="184">
        <f t="shared" si="268"/>
        <v>0</v>
      </c>
      <c r="AX247" s="184">
        <f t="shared" si="269"/>
        <v>0</v>
      </c>
      <c r="AY247" s="184">
        <f t="shared" si="270"/>
        <v>2.5639889624999997E-8</v>
      </c>
    </row>
    <row r="248" spans="1:51" s="179" customFormat="1" x14ac:dyDescent="0.3">
      <c r="A248" s="180"/>
      <c r="B248" s="180"/>
      <c r="D248" s="271"/>
      <c r="E248" s="272"/>
      <c r="F248" s="273"/>
      <c r="G248" s="180"/>
      <c r="H248" s="184"/>
      <c r="I248" s="183"/>
      <c r="J248" s="180"/>
      <c r="K248" s="180"/>
      <c r="L248" s="180"/>
      <c r="AQ248" s="182"/>
      <c r="AR248" s="182"/>
      <c r="AS248" s="183"/>
      <c r="AT248" s="183"/>
      <c r="AU248" s="182"/>
      <c r="AV248" s="183"/>
      <c r="AW248" s="184"/>
      <c r="AX248" s="184"/>
      <c r="AY248" s="184"/>
    </row>
    <row r="249" spans="1:51" s="179" customFormat="1" x14ac:dyDescent="0.3">
      <c r="A249" s="180"/>
      <c r="B249" s="180"/>
      <c r="D249" s="271"/>
      <c r="E249" s="272"/>
      <c r="F249" s="273"/>
      <c r="G249" s="180"/>
      <c r="H249" s="184"/>
      <c r="I249" s="183"/>
      <c r="J249" s="180"/>
      <c r="K249" s="180"/>
      <c r="L249" s="180"/>
      <c r="AQ249" s="182"/>
      <c r="AR249" s="182"/>
      <c r="AS249" s="183"/>
      <c r="AT249" s="183"/>
      <c r="AU249" s="182"/>
      <c r="AV249" s="183"/>
      <c r="AW249" s="184"/>
      <c r="AX249" s="184"/>
      <c r="AY249" s="184"/>
    </row>
    <row r="250" spans="1:51" s="179" customFormat="1" x14ac:dyDescent="0.3">
      <c r="A250" s="180"/>
      <c r="B250" s="180"/>
      <c r="D250" s="271"/>
      <c r="E250" s="272"/>
      <c r="F250" s="273"/>
      <c r="G250" s="180"/>
      <c r="H250" s="184"/>
      <c r="I250" s="183"/>
      <c r="J250" s="180"/>
      <c r="K250" s="180"/>
      <c r="L250" s="180"/>
      <c r="AQ250" s="182"/>
      <c r="AR250" s="182"/>
      <c r="AS250" s="183"/>
      <c r="AT250" s="183"/>
      <c r="AU250" s="182"/>
      <c r="AV250" s="183"/>
      <c r="AW250" s="184"/>
      <c r="AX250" s="184"/>
      <c r="AY250" s="184"/>
    </row>
    <row r="251" spans="1:51" s="446" customFormat="1" ht="15" thickBot="1" x14ac:dyDescent="0.35">
      <c r="A251" s="445"/>
      <c r="B251" s="445"/>
      <c r="D251" s="447"/>
      <c r="E251" s="445"/>
      <c r="F251" s="445"/>
      <c r="G251" s="445"/>
      <c r="H251" s="445"/>
      <c r="I251" s="445"/>
      <c r="J251" s="445"/>
      <c r="K251" s="445"/>
    </row>
    <row r="252" spans="1:51" s="179" customFormat="1" ht="15" thickBot="1" x14ac:dyDescent="0.35">
      <c r="A252" s="169" t="s">
        <v>18</v>
      </c>
      <c r="B252" s="312" t="s">
        <v>615</v>
      </c>
      <c r="C252" s="171" t="s">
        <v>196</v>
      </c>
      <c r="D252" s="172" t="s">
        <v>59</v>
      </c>
      <c r="E252" s="173">
        <v>1.0000000000000001E-5</v>
      </c>
      <c r="F252" s="170">
        <v>1</v>
      </c>
      <c r="G252" s="169">
        <v>0.1</v>
      </c>
      <c r="H252" s="174">
        <f t="shared" ref="H252:H257" si="271">E252*F252*G252</f>
        <v>1.0000000000000002E-6</v>
      </c>
      <c r="I252" s="175">
        <v>1360</v>
      </c>
      <c r="J252" s="187">
        <f>I252</f>
        <v>1360</v>
      </c>
      <c r="K252" s="177" t="s">
        <v>175</v>
      </c>
      <c r="L252" s="178">
        <v>3000</v>
      </c>
      <c r="M252" s="179" t="str">
        <f t="shared" ref="M252:M257" si="272">A252</f>
        <v>С1</v>
      </c>
      <c r="N252" s="179" t="str">
        <f t="shared" ref="N252:N257" si="273">B252</f>
        <v>Резервуар РВС (8253Т0001)</v>
      </c>
      <c r="O252" s="179" t="str">
        <f t="shared" ref="O252:O257" si="274">D252</f>
        <v>Полное-пожар</v>
      </c>
      <c r="P252" s="179" t="s">
        <v>83</v>
      </c>
      <c r="Q252" s="179" t="s">
        <v>83</v>
      </c>
      <c r="R252" s="179" t="s">
        <v>83</v>
      </c>
      <c r="S252" s="179" t="s">
        <v>83</v>
      </c>
      <c r="T252" s="179" t="s">
        <v>83</v>
      </c>
      <c r="U252" s="179" t="s">
        <v>83</v>
      </c>
      <c r="V252" s="179" t="s">
        <v>83</v>
      </c>
      <c r="W252" s="179" t="s">
        <v>83</v>
      </c>
      <c r="X252" s="179" t="s">
        <v>83</v>
      </c>
      <c r="Y252" s="179" t="s">
        <v>83</v>
      </c>
      <c r="Z252" s="179" t="s">
        <v>83</v>
      </c>
      <c r="AA252" s="179" t="s">
        <v>83</v>
      </c>
      <c r="AB252" s="179" t="s">
        <v>83</v>
      </c>
      <c r="AC252" s="179" t="s">
        <v>83</v>
      </c>
      <c r="AD252" s="179" t="s">
        <v>83</v>
      </c>
      <c r="AE252" s="179" t="s">
        <v>83</v>
      </c>
      <c r="AF252" s="179" t="s">
        <v>83</v>
      </c>
      <c r="AG252" s="179" t="s">
        <v>83</v>
      </c>
      <c r="AH252" s="179" t="s">
        <v>83</v>
      </c>
      <c r="AI252" s="179" t="s">
        <v>83</v>
      </c>
      <c r="AJ252" s="180">
        <v>1</v>
      </c>
      <c r="AK252" s="180">
        <v>2</v>
      </c>
      <c r="AL252" s="181">
        <v>0.75</v>
      </c>
      <c r="AM252" s="181">
        <v>2.7E-2</v>
      </c>
      <c r="AN252" s="181">
        <v>3</v>
      </c>
      <c r="AQ252" s="182">
        <f>AM252*I252+AL252</f>
        <v>37.47</v>
      </c>
      <c r="AR252" s="182">
        <f t="shared" ref="AR252:AR257" si="275">0.1*AQ252</f>
        <v>3.7469999999999999</v>
      </c>
      <c r="AS252" s="183">
        <f t="shared" ref="AS252:AS257" si="276">AJ252*3+0.25*AK252</f>
        <v>3.5</v>
      </c>
      <c r="AT252" s="183">
        <f t="shared" ref="AT252:AT257" si="277">SUM(AQ252:AS252)/4</f>
        <v>11.17925</v>
      </c>
      <c r="AU252" s="182">
        <f>10068.2*J252*POWER(10,-6)</f>
        <v>13.692752</v>
      </c>
      <c r="AV252" s="183">
        <f t="shared" ref="AV252:AV257" si="278">AU252+AT252+AS252+AR252+AQ252</f>
        <v>69.589001999999994</v>
      </c>
      <c r="AW252" s="184">
        <f t="shared" ref="AW252:AW257" si="279">AJ252*H252</f>
        <v>1.0000000000000002E-6</v>
      </c>
      <c r="AX252" s="184">
        <f t="shared" ref="AX252:AX257" si="280">H252*AK252</f>
        <v>2.0000000000000003E-6</v>
      </c>
      <c r="AY252" s="184">
        <f t="shared" ref="AY252:AY257" si="281">H252*AV252</f>
        <v>6.9589002000000006E-5</v>
      </c>
    </row>
    <row r="253" spans="1:51" s="179" customFormat="1" ht="15" thickBot="1" x14ac:dyDescent="0.35">
      <c r="A253" s="169" t="s">
        <v>19</v>
      </c>
      <c r="B253" s="169" t="str">
        <f>B252</f>
        <v>Резервуар РВС (8253Т0001)</v>
      </c>
      <c r="C253" s="171" t="s">
        <v>205</v>
      </c>
      <c r="D253" s="172" t="s">
        <v>59</v>
      </c>
      <c r="E253" s="185">
        <f>E252</f>
        <v>1.0000000000000001E-5</v>
      </c>
      <c r="F253" s="186">
        <f>F252</f>
        <v>1</v>
      </c>
      <c r="G253" s="169">
        <v>0.18000000000000002</v>
      </c>
      <c r="H253" s="174">
        <f t="shared" si="271"/>
        <v>1.8000000000000003E-6</v>
      </c>
      <c r="I253" s="187">
        <f>I252</f>
        <v>1360</v>
      </c>
      <c r="J253" s="187">
        <f>I252</f>
        <v>1360</v>
      </c>
      <c r="K253" s="177" t="s">
        <v>176</v>
      </c>
      <c r="L253" s="178">
        <v>0</v>
      </c>
      <c r="M253" s="179" t="str">
        <f t="shared" si="272"/>
        <v>С2</v>
      </c>
      <c r="N253" s="179" t="str">
        <f t="shared" si="273"/>
        <v>Резервуар РВС (8253Т0001)</v>
      </c>
      <c r="O253" s="179" t="str">
        <f t="shared" si="274"/>
        <v>Полное-пожар</v>
      </c>
      <c r="P253" s="179" t="s">
        <v>83</v>
      </c>
      <c r="Q253" s="179" t="s">
        <v>83</v>
      </c>
      <c r="R253" s="179" t="s">
        <v>83</v>
      </c>
      <c r="S253" s="179" t="s">
        <v>83</v>
      </c>
      <c r="T253" s="179" t="s">
        <v>83</v>
      </c>
      <c r="U253" s="179" t="s">
        <v>83</v>
      </c>
      <c r="V253" s="179" t="s">
        <v>83</v>
      </c>
      <c r="W253" s="179" t="s">
        <v>83</v>
      </c>
      <c r="X253" s="179" t="s">
        <v>83</v>
      </c>
      <c r="Y253" s="179" t="s">
        <v>83</v>
      </c>
      <c r="Z253" s="179" t="s">
        <v>83</v>
      </c>
      <c r="AA253" s="179" t="s">
        <v>83</v>
      </c>
      <c r="AB253" s="179" t="s">
        <v>83</v>
      </c>
      <c r="AC253" s="179" t="s">
        <v>83</v>
      </c>
      <c r="AD253" s="179" t="s">
        <v>83</v>
      </c>
      <c r="AE253" s="179" t="s">
        <v>83</v>
      </c>
      <c r="AF253" s="179" t="s">
        <v>83</v>
      </c>
      <c r="AG253" s="179" t="s">
        <v>83</v>
      </c>
      <c r="AH253" s="179" t="s">
        <v>83</v>
      </c>
      <c r="AI253" s="179" t="s">
        <v>83</v>
      </c>
      <c r="AJ253" s="180">
        <v>2</v>
      </c>
      <c r="AK253" s="180">
        <v>2</v>
      </c>
      <c r="AL253" s="179">
        <f>AL252</f>
        <v>0.75</v>
      </c>
      <c r="AM253" s="179">
        <f>AM252</f>
        <v>2.7E-2</v>
      </c>
      <c r="AN253" s="179">
        <f>AN252</f>
        <v>3</v>
      </c>
      <c r="AQ253" s="182">
        <f>AM253*I253+AL253</f>
        <v>37.47</v>
      </c>
      <c r="AR253" s="182">
        <f t="shared" si="275"/>
        <v>3.7469999999999999</v>
      </c>
      <c r="AS253" s="183">
        <f t="shared" si="276"/>
        <v>6.5</v>
      </c>
      <c r="AT253" s="183">
        <f t="shared" si="277"/>
        <v>11.92925</v>
      </c>
      <c r="AU253" s="182">
        <f>10068.2*J253*POWER(10,-6)*10</f>
        <v>136.92752000000002</v>
      </c>
      <c r="AV253" s="183">
        <f t="shared" si="278"/>
        <v>196.57377</v>
      </c>
      <c r="AW253" s="184">
        <f t="shared" si="279"/>
        <v>3.6000000000000007E-6</v>
      </c>
      <c r="AX253" s="184">
        <f t="shared" si="280"/>
        <v>3.6000000000000007E-6</v>
      </c>
      <c r="AY253" s="184">
        <f t="shared" si="281"/>
        <v>3.5383278600000005E-4</v>
      </c>
    </row>
    <row r="254" spans="1:51" s="179" customFormat="1" x14ac:dyDescent="0.3">
      <c r="A254" s="169" t="s">
        <v>20</v>
      </c>
      <c r="B254" s="169" t="str">
        <f>B252</f>
        <v>Резервуар РВС (8253Т0001)</v>
      </c>
      <c r="C254" s="171" t="s">
        <v>198</v>
      </c>
      <c r="D254" s="172" t="s">
        <v>60</v>
      </c>
      <c r="E254" s="185">
        <f>E252</f>
        <v>1.0000000000000001E-5</v>
      </c>
      <c r="F254" s="186">
        <f>F252</f>
        <v>1</v>
      </c>
      <c r="G254" s="169">
        <v>0.72000000000000008</v>
      </c>
      <c r="H254" s="174">
        <f t="shared" si="271"/>
        <v>7.2000000000000014E-6</v>
      </c>
      <c r="I254" s="187">
        <f>I252</f>
        <v>1360</v>
      </c>
      <c r="J254" s="169">
        <v>0</v>
      </c>
      <c r="K254" s="177" t="s">
        <v>177</v>
      </c>
      <c r="L254" s="178">
        <v>0</v>
      </c>
      <c r="M254" s="179" t="str">
        <f t="shared" si="272"/>
        <v>С3</v>
      </c>
      <c r="N254" s="179" t="str">
        <f t="shared" si="273"/>
        <v>Резервуар РВС (8253Т0001)</v>
      </c>
      <c r="O254" s="179" t="str">
        <f t="shared" si="274"/>
        <v>Полное-ликвидация</v>
      </c>
      <c r="P254" s="179" t="s">
        <v>83</v>
      </c>
      <c r="Q254" s="179" t="s">
        <v>83</v>
      </c>
      <c r="R254" s="179" t="s">
        <v>83</v>
      </c>
      <c r="S254" s="179" t="s">
        <v>83</v>
      </c>
      <c r="T254" s="179" t="s">
        <v>83</v>
      </c>
      <c r="U254" s="179" t="s">
        <v>83</v>
      </c>
      <c r="V254" s="179" t="s">
        <v>83</v>
      </c>
      <c r="W254" s="179" t="s">
        <v>83</v>
      </c>
      <c r="X254" s="179" t="s">
        <v>83</v>
      </c>
      <c r="Y254" s="179" t="s">
        <v>83</v>
      </c>
      <c r="Z254" s="179" t="s">
        <v>83</v>
      </c>
      <c r="AA254" s="179" t="s">
        <v>83</v>
      </c>
      <c r="AB254" s="179" t="s">
        <v>83</v>
      </c>
      <c r="AC254" s="179" t="s">
        <v>83</v>
      </c>
      <c r="AD254" s="179" t="s">
        <v>83</v>
      </c>
      <c r="AE254" s="179" t="s">
        <v>83</v>
      </c>
      <c r="AF254" s="179" t="s">
        <v>83</v>
      </c>
      <c r="AG254" s="179" t="s">
        <v>83</v>
      </c>
      <c r="AH254" s="179" t="s">
        <v>83</v>
      </c>
      <c r="AI254" s="179" t="s">
        <v>83</v>
      </c>
      <c r="AJ254" s="179">
        <v>0</v>
      </c>
      <c r="AK254" s="179">
        <v>0</v>
      </c>
      <c r="AL254" s="179">
        <f>AL252</f>
        <v>0.75</v>
      </c>
      <c r="AM254" s="179">
        <f>AM252</f>
        <v>2.7E-2</v>
      </c>
      <c r="AN254" s="179">
        <f>AN252</f>
        <v>3</v>
      </c>
      <c r="AQ254" s="182">
        <f>AM254*I254*0.1+AL254</f>
        <v>4.4220000000000006</v>
      </c>
      <c r="AR254" s="182">
        <f t="shared" si="275"/>
        <v>0.44220000000000009</v>
      </c>
      <c r="AS254" s="183">
        <f t="shared" si="276"/>
        <v>0</v>
      </c>
      <c r="AT254" s="183">
        <f t="shared" si="277"/>
        <v>1.2160500000000001</v>
      </c>
      <c r="AU254" s="182">
        <f>1333*J253*POWER(10,-6)</f>
        <v>1.8128799999999998</v>
      </c>
      <c r="AV254" s="183">
        <f t="shared" si="278"/>
        <v>7.8931300000000011</v>
      </c>
      <c r="AW254" s="184">
        <f t="shared" si="279"/>
        <v>0</v>
      </c>
      <c r="AX254" s="184">
        <f t="shared" si="280"/>
        <v>0</v>
      </c>
      <c r="AY254" s="184">
        <f t="shared" si="281"/>
        <v>5.6830536000000016E-5</v>
      </c>
    </row>
    <row r="255" spans="1:51" s="179" customFormat="1" x14ac:dyDescent="0.3">
      <c r="A255" s="169" t="s">
        <v>21</v>
      </c>
      <c r="B255" s="169" t="str">
        <f>B252</f>
        <v>Резервуар РВС (8253Т0001)</v>
      </c>
      <c r="C255" s="171" t="s">
        <v>199</v>
      </c>
      <c r="D255" s="172" t="s">
        <v>84</v>
      </c>
      <c r="E255" s="173">
        <v>1E-4</v>
      </c>
      <c r="F255" s="186">
        <f>F252</f>
        <v>1</v>
      </c>
      <c r="G255" s="169">
        <v>0.1</v>
      </c>
      <c r="H255" s="174">
        <f t="shared" si="271"/>
        <v>1.0000000000000001E-5</v>
      </c>
      <c r="I255" s="187">
        <f>0.15*I252</f>
        <v>204</v>
      </c>
      <c r="J255" s="187">
        <f>I255</f>
        <v>204</v>
      </c>
      <c r="K255" s="190" t="s">
        <v>179</v>
      </c>
      <c r="L255" s="191">
        <v>45390</v>
      </c>
      <c r="M255" s="179" t="str">
        <f t="shared" si="272"/>
        <v>С4</v>
      </c>
      <c r="N255" s="179" t="str">
        <f t="shared" si="273"/>
        <v>Резервуар РВС (8253Т0001)</v>
      </c>
      <c r="O255" s="179" t="str">
        <f t="shared" si="274"/>
        <v>Частичное-пожар</v>
      </c>
      <c r="P255" s="179" t="s">
        <v>83</v>
      </c>
      <c r="Q255" s="179" t="s">
        <v>83</v>
      </c>
      <c r="R255" s="179" t="s">
        <v>83</v>
      </c>
      <c r="S255" s="179" t="s">
        <v>83</v>
      </c>
      <c r="T255" s="179" t="s">
        <v>83</v>
      </c>
      <c r="U255" s="179" t="s">
        <v>83</v>
      </c>
      <c r="V255" s="179" t="s">
        <v>83</v>
      </c>
      <c r="W255" s="179" t="s">
        <v>83</v>
      </c>
      <c r="X255" s="179" t="s">
        <v>83</v>
      </c>
      <c r="Y255" s="179" t="s">
        <v>83</v>
      </c>
      <c r="Z255" s="179" t="s">
        <v>83</v>
      </c>
      <c r="AA255" s="179" t="s">
        <v>83</v>
      </c>
      <c r="AB255" s="179" t="s">
        <v>83</v>
      </c>
      <c r="AC255" s="179" t="s">
        <v>83</v>
      </c>
      <c r="AD255" s="179" t="s">
        <v>83</v>
      </c>
      <c r="AE255" s="179" t="s">
        <v>83</v>
      </c>
      <c r="AF255" s="179" t="s">
        <v>83</v>
      </c>
      <c r="AG255" s="179" t="s">
        <v>83</v>
      </c>
      <c r="AH255" s="179" t="s">
        <v>83</v>
      </c>
      <c r="AI255" s="179" t="s">
        <v>83</v>
      </c>
      <c r="AJ255" s="179">
        <v>0</v>
      </c>
      <c r="AK255" s="179">
        <v>2</v>
      </c>
      <c r="AL255" s="179">
        <f>0.1*$AL$2</f>
        <v>7.5000000000000002E-4</v>
      </c>
      <c r="AM255" s="179">
        <f>AM252</f>
        <v>2.7E-2</v>
      </c>
      <c r="AN255" s="179">
        <f>ROUNDUP(AN252/3,0)</f>
        <v>1</v>
      </c>
      <c r="AQ255" s="182">
        <f>AM255*I255+AL255</f>
        <v>5.50875</v>
      </c>
      <c r="AR255" s="182">
        <f t="shared" si="275"/>
        <v>0.550875</v>
      </c>
      <c r="AS255" s="183">
        <f t="shared" si="276"/>
        <v>0.5</v>
      </c>
      <c r="AT255" s="183">
        <f t="shared" si="277"/>
        <v>1.6399062500000001</v>
      </c>
      <c r="AU255" s="182">
        <f>10068.2*J255*POWER(10,-6)</f>
        <v>2.0539128</v>
      </c>
      <c r="AV255" s="183">
        <f t="shared" si="278"/>
        <v>10.253444049999999</v>
      </c>
      <c r="AW255" s="184">
        <f t="shared" si="279"/>
        <v>0</v>
      </c>
      <c r="AX255" s="184">
        <f t="shared" si="280"/>
        <v>2.0000000000000002E-5</v>
      </c>
      <c r="AY255" s="184">
        <f t="shared" si="281"/>
        <v>1.0253444049999999E-4</v>
      </c>
    </row>
    <row r="256" spans="1:51" s="179" customFormat="1" x14ac:dyDescent="0.3">
      <c r="A256" s="169" t="s">
        <v>22</v>
      </c>
      <c r="B256" s="169" t="str">
        <f>B252</f>
        <v>Резервуар РВС (8253Т0001)</v>
      </c>
      <c r="C256" s="171" t="s">
        <v>206</v>
      </c>
      <c r="D256" s="172" t="s">
        <v>84</v>
      </c>
      <c r="E256" s="185">
        <f>E255</f>
        <v>1E-4</v>
      </c>
      <c r="F256" s="186">
        <f>F252</f>
        <v>1</v>
      </c>
      <c r="G256" s="169">
        <v>4.5000000000000005E-2</v>
      </c>
      <c r="H256" s="174">
        <f t="shared" si="271"/>
        <v>4.500000000000001E-6</v>
      </c>
      <c r="I256" s="187">
        <f>0.15*I252</f>
        <v>204</v>
      </c>
      <c r="J256" s="187">
        <f>I255</f>
        <v>204</v>
      </c>
      <c r="K256" s="190" t="s">
        <v>180</v>
      </c>
      <c r="L256" s="191">
        <v>3</v>
      </c>
      <c r="M256" s="179" t="str">
        <f t="shared" si="272"/>
        <v>С5</v>
      </c>
      <c r="N256" s="179" t="str">
        <f t="shared" si="273"/>
        <v>Резервуар РВС (8253Т0001)</v>
      </c>
      <c r="O256" s="179" t="str">
        <f t="shared" si="274"/>
        <v>Частичное-пожар</v>
      </c>
      <c r="P256" s="179" t="s">
        <v>83</v>
      </c>
      <c r="Q256" s="179" t="s">
        <v>83</v>
      </c>
      <c r="R256" s="179" t="s">
        <v>83</v>
      </c>
      <c r="S256" s="179" t="s">
        <v>83</v>
      </c>
      <c r="T256" s="179" t="s">
        <v>83</v>
      </c>
      <c r="U256" s="179" t="s">
        <v>83</v>
      </c>
      <c r="V256" s="179" t="s">
        <v>83</v>
      </c>
      <c r="W256" s="179" t="s">
        <v>83</v>
      </c>
      <c r="X256" s="179" t="s">
        <v>83</v>
      </c>
      <c r="Y256" s="179" t="s">
        <v>83</v>
      </c>
      <c r="Z256" s="179" t="s">
        <v>83</v>
      </c>
      <c r="AA256" s="179" t="s">
        <v>83</v>
      </c>
      <c r="AB256" s="179" t="s">
        <v>83</v>
      </c>
      <c r="AC256" s="179" t="s">
        <v>83</v>
      </c>
      <c r="AD256" s="179" t="s">
        <v>83</v>
      </c>
      <c r="AE256" s="179" t="s">
        <v>83</v>
      </c>
      <c r="AF256" s="179" t="s">
        <v>83</v>
      </c>
      <c r="AG256" s="179" t="s">
        <v>83</v>
      </c>
      <c r="AH256" s="179" t="s">
        <v>83</v>
      </c>
      <c r="AI256" s="179" t="s">
        <v>83</v>
      </c>
      <c r="AJ256" s="179">
        <v>0</v>
      </c>
      <c r="AK256" s="179">
        <v>1</v>
      </c>
      <c r="AL256" s="179">
        <f>0.1*$AL$2</f>
        <v>7.5000000000000002E-4</v>
      </c>
      <c r="AM256" s="179">
        <f>AM252</f>
        <v>2.7E-2</v>
      </c>
      <c r="AN256" s="179">
        <f>ROUNDUP(AN252/3,0)</f>
        <v>1</v>
      </c>
      <c r="AQ256" s="182">
        <f>AM256*I256+AL256</f>
        <v>5.50875</v>
      </c>
      <c r="AR256" s="182">
        <f t="shared" si="275"/>
        <v>0.550875</v>
      </c>
      <c r="AS256" s="183">
        <f t="shared" si="276"/>
        <v>0.25</v>
      </c>
      <c r="AT256" s="183">
        <f t="shared" si="277"/>
        <v>1.5774062500000001</v>
      </c>
      <c r="AU256" s="182">
        <f>10068.2*J256*POWER(10,-6)*10</f>
        <v>20.539127999999998</v>
      </c>
      <c r="AV256" s="183">
        <f t="shared" si="278"/>
        <v>28.426159249999998</v>
      </c>
      <c r="AW256" s="184">
        <f t="shared" si="279"/>
        <v>0</v>
      </c>
      <c r="AX256" s="184">
        <f t="shared" si="280"/>
        <v>4.500000000000001E-6</v>
      </c>
      <c r="AY256" s="184">
        <f t="shared" si="281"/>
        <v>1.2791771662500003E-4</v>
      </c>
    </row>
    <row r="257" spans="1:51" s="179" customFormat="1" ht="15" thickBot="1" x14ac:dyDescent="0.35">
      <c r="A257" s="169" t="s">
        <v>23</v>
      </c>
      <c r="B257" s="169" t="str">
        <f>B252</f>
        <v>Резервуар РВС (8253Т0001)</v>
      </c>
      <c r="C257" s="171" t="s">
        <v>201</v>
      </c>
      <c r="D257" s="172" t="s">
        <v>61</v>
      </c>
      <c r="E257" s="185">
        <f>E255</f>
        <v>1E-4</v>
      </c>
      <c r="F257" s="186">
        <f>F252</f>
        <v>1</v>
      </c>
      <c r="G257" s="169">
        <v>0.85499999999999998</v>
      </c>
      <c r="H257" s="174">
        <f t="shared" si="271"/>
        <v>8.5500000000000005E-5</v>
      </c>
      <c r="I257" s="187">
        <f>0.15*I252</f>
        <v>204</v>
      </c>
      <c r="J257" s="169">
        <v>0</v>
      </c>
      <c r="K257" s="192" t="s">
        <v>191</v>
      </c>
      <c r="L257" s="192">
        <v>11</v>
      </c>
      <c r="M257" s="179" t="str">
        <f t="shared" si="272"/>
        <v>С6</v>
      </c>
      <c r="N257" s="179" t="str">
        <f t="shared" si="273"/>
        <v>Резервуар РВС (8253Т0001)</v>
      </c>
      <c r="O257" s="179" t="str">
        <f t="shared" si="274"/>
        <v>Частичное-ликвидация</v>
      </c>
      <c r="P257" s="179" t="s">
        <v>83</v>
      </c>
      <c r="Q257" s="179" t="s">
        <v>83</v>
      </c>
      <c r="R257" s="179" t="s">
        <v>83</v>
      </c>
      <c r="S257" s="179" t="s">
        <v>83</v>
      </c>
      <c r="T257" s="179" t="s">
        <v>83</v>
      </c>
      <c r="U257" s="179" t="s">
        <v>83</v>
      </c>
      <c r="V257" s="179" t="s">
        <v>83</v>
      </c>
      <c r="W257" s="179" t="s">
        <v>83</v>
      </c>
      <c r="X257" s="179" t="s">
        <v>83</v>
      </c>
      <c r="Y257" s="179" t="s">
        <v>83</v>
      </c>
      <c r="Z257" s="179" t="s">
        <v>83</v>
      </c>
      <c r="AA257" s="179" t="s">
        <v>83</v>
      </c>
      <c r="AB257" s="179" t="s">
        <v>83</v>
      </c>
      <c r="AC257" s="179" t="s">
        <v>83</v>
      </c>
      <c r="AD257" s="179" t="s">
        <v>83</v>
      </c>
      <c r="AE257" s="179" t="s">
        <v>83</v>
      </c>
      <c r="AF257" s="179" t="s">
        <v>83</v>
      </c>
      <c r="AG257" s="179" t="s">
        <v>83</v>
      </c>
      <c r="AH257" s="179" t="s">
        <v>83</v>
      </c>
      <c r="AI257" s="179" t="s">
        <v>83</v>
      </c>
      <c r="AJ257" s="179">
        <v>0</v>
      </c>
      <c r="AK257" s="179">
        <v>0</v>
      </c>
      <c r="AL257" s="179">
        <f>0.1*$AL$2</f>
        <v>7.5000000000000002E-4</v>
      </c>
      <c r="AM257" s="179">
        <f>AM252</f>
        <v>2.7E-2</v>
      </c>
      <c r="AN257" s="179">
        <f>ROUNDUP(AN252/3,0)</f>
        <v>1</v>
      </c>
      <c r="AQ257" s="182">
        <f>AM257*I257*0.1+AL257</f>
        <v>0.5515500000000001</v>
      </c>
      <c r="AR257" s="182">
        <f t="shared" si="275"/>
        <v>5.515500000000001E-2</v>
      </c>
      <c r="AS257" s="183">
        <f t="shared" si="276"/>
        <v>0</v>
      </c>
      <c r="AT257" s="183">
        <f t="shared" si="277"/>
        <v>0.15167625000000001</v>
      </c>
      <c r="AU257" s="182">
        <f>1333*J256*POWER(10,-6)</f>
        <v>0.27193200000000001</v>
      </c>
      <c r="AV257" s="183">
        <f t="shared" si="278"/>
        <v>1.0303132500000001</v>
      </c>
      <c r="AW257" s="184">
        <f t="shared" si="279"/>
        <v>0</v>
      </c>
      <c r="AX257" s="184">
        <f t="shared" si="280"/>
        <v>0</v>
      </c>
      <c r="AY257" s="184">
        <f t="shared" si="281"/>
        <v>8.809178287500001E-5</v>
      </c>
    </row>
    <row r="258" spans="1:51" s="179" customFormat="1" x14ac:dyDescent="0.3">
      <c r="A258" s="180"/>
      <c r="B258" s="180"/>
      <c r="D258" s="271"/>
      <c r="E258" s="272"/>
      <c r="F258" s="273"/>
      <c r="G258" s="180"/>
      <c r="H258" s="184"/>
      <c r="I258" s="183"/>
      <c r="J258" s="180"/>
      <c r="K258" s="180"/>
      <c r="L258" s="180"/>
      <c r="AQ258" s="182"/>
      <c r="AR258" s="182"/>
      <c r="AS258" s="183"/>
      <c r="AT258" s="183"/>
      <c r="AU258" s="182"/>
      <c r="AV258" s="183"/>
      <c r="AW258" s="184"/>
      <c r="AX258" s="184"/>
      <c r="AY258" s="184"/>
    </row>
    <row r="259" spans="1:51" s="179" customFormat="1" x14ac:dyDescent="0.3">
      <c r="A259" s="180"/>
      <c r="B259" s="180"/>
      <c r="D259" s="271"/>
      <c r="E259" s="272"/>
      <c r="F259" s="273"/>
      <c r="G259" s="180"/>
      <c r="H259" s="184"/>
      <c r="I259" s="183"/>
      <c r="J259" s="180"/>
      <c r="K259" s="180"/>
      <c r="L259" s="180"/>
      <c r="AQ259" s="182"/>
      <c r="AR259" s="182"/>
      <c r="AS259" s="183"/>
      <c r="AT259" s="183"/>
      <c r="AU259" s="182"/>
      <c r="AV259" s="183"/>
      <c r="AW259" s="184"/>
      <c r="AX259" s="184"/>
      <c r="AY259" s="184"/>
    </row>
    <row r="260" spans="1:51" s="179" customFormat="1" x14ac:dyDescent="0.3">
      <c r="A260" s="180"/>
      <c r="B260" s="180"/>
      <c r="D260" s="271"/>
      <c r="E260" s="272"/>
      <c r="F260" s="273"/>
      <c r="G260" s="180"/>
      <c r="H260" s="184"/>
      <c r="I260" s="183"/>
      <c r="J260" s="180"/>
      <c r="K260" s="180"/>
      <c r="L260" s="180"/>
      <c r="AQ260" s="182"/>
      <c r="AR260" s="182"/>
      <c r="AS260" s="183"/>
      <c r="AT260" s="183"/>
      <c r="AU260" s="182"/>
      <c r="AV260" s="183"/>
      <c r="AW260" s="184"/>
      <c r="AX260" s="184"/>
      <c r="AY260" s="184"/>
    </row>
    <row r="261" spans="1:51" ht="15" thickBot="1" x14ac:dyDescent="0.35"/>
    <row r="262" spans="1:51" s="179" customFormat="1" ht="15" thickBot="1" x14ac:dyDescent="0.35">
      <c r="A262" s="169" t="s">
        <v>18</v>
      </c>
      <c r="B262" s="170" t="s">
        <v>616</v>
      </c>
      <c r="C262" s="171" t="s">
        <v>227</v>
      </c>
      <c r="D262" s="172" t="s">
        <v>183</v>
      </c>
      <c r="E262" s="173">
        <v>1.0000000000000001E-5</v>
      </c>
      <c r="F262" s="170">
        <v>1</v>
      </c>
      <c r="G262" s="169">
        <v>1.4999999999999999E-2</v>
      </c>
      <c r="H262" s="174">
        <f t="shared" ref="H262:H267" si="282">E262*F262*G262</f>
        <v>1.5000000000000002E-7</v>
      </c>
      <c r="I262" s="175">
        <f>(256/3600)*12</f>
        <v>0.85333333333333328</v>
      </c>
      <c r="J262" s="187">
        <f>I262</f>
        <v>0.85333333333333328</v>
      </c>
      <c r="K262" s="177" t="s">
        <v>175</v>
      </c>
      <c r="L262" s="422">
        <f>J262*20</f>
        <v>17.066666666666666</v>
      </c>
      <c r="M262" s="179" t="str">
        <f t="shared" ref="M262:M267" si="283">A262</f>
        <v>С1</v>
      </c>
      <c r="N262" s="179" t="str">
        <f t="shared" ref="N262:N267" si="284">B262</f>
        <v>Насос центробежный (8752P0001A)</v>
      </c>
      <c r="O262" s="179" t="str">
        <f t="shared" ref="O262:O267" si="285">D262</f>
        <v>Полное-факел</v>
      </c>
      <c r="P262" s="179" t="s">
        <v>83</v>
      </c>
      <c r="Q262" s="179" t="s">
        <v>83</v>
      </c>
      <c r="R262" s="179" t="s">
        <v>83</v>
      </c>
      <c r="S262" s="179" t="s">
        <v>83</v>
      </c>
      <c r="T262" s="179" t="s">
        <v>83</v>
      </c>
      <c r="U262" s="179" t="s">
        <v>83</v>
      </c>
      <c r="V262" s="179" t="s">
        <v>83</v>
      </c>
      <c r="W262" s="179" t="s">
        <v>83</v>
      </c>
      <c r="X262" s="179" t="s">
        <v>83</v>
      </c>
      <c r="Y262" s="179" t="s">
        <v>83</v>
      </c>
      <c r="Z262" s="179" t="s">
        <v>83</v>
      </c>
      <c r="AA262" s="179" t="s">
        <v>83</v>
      </c>
      <c r="AB262" s="179" t="s">
        <v>83</v>
      </c>
      <c r="AC262" s="179" t="s">
        <v>83</v>
      </c>
      <c r="AD262" s="179" t="s">
        <v>83</v>
      </c>
      <c r="AE262" s="179" t="s">
        <v>83</v>
      </c>
      <c r="AF262" s="179" t="s">
        <v>83</v>
      </c>
      <c r="AG262" s="179" t="s">
        <v>83</v>
      </c>
      <c r="AH262" s="179" t="s">
        <v>83</v>
      </c>
      <c r="AI262" s="179" t="s">
        <v>83</v>
      </c>
      <c r="AJ262" s="180">
        <v>1</v>
      </c>
      <c r="AK262" s="180">
        <v>2</v>
      </c>
      <c r="AL262" s="181">
        <v>0.75</v>
      </c>
      <c r="AM262" s="181">
        <v>2.7E-2</v>
      </c>
      <c r="AN262" s="181">
        <v>3</v>
      </c>
      <c r="AQ262" s="182">
        <f>AM262*I262+AL262</f>
        <v>0.77303999999999995</v>
      </c>
      <c r="AR262" s="182">
        <f t="shared" ref="AR262:AR267" si="286">0.1*AQ262</f>
        <v>7.7303999999999998E-2</v>
      </c>
      <c r="AS262" s="183">
        <f t="shared" ref="AS262:AS267" si="287">AJ262*3+0.25*AK262</f>
        <v>3.5</v>
      </c>
      <c r="AT262" s="183">
        <f t="shared" ref="AT262:AT267" si="288">SUM(AQ262:AS262)/4</f>
        <v>1.0875859999999999</v>
      </c>
      <c r="AU262" s="182">
        <f>10068.2*J262*POWER(10,-6)</f>
        <v>8.5915306666666663E-3</v>
      </c>
      <c r="AV262" s="183">
        <f t="shared" ref="AV262:AV267" si="289">AU262+AT262+AS262+AR262+AQ262</f>
        <v>5.4465215306666668</v>
      </c>
      <c r="AW262" s="184">
        <f t="shared" ref="AW262:AW267" si="290">AJ262*H262</f>
        <v>1.5000000000000002E-7</v>
      </c>
      <c r="AX262" s="184">
        <f t="shared" ref="AX262:AX267" si="291">H262*AK262</f>
        <v>3.0000000000000004E-7</v>
      </c>
      <c r="AY262" s="184">
        <f t="shared" ref="AY262:AY267" si="292">H262*AV262</f>
        <v>8.1697822960000011E-7</v>
      </c>
    </row>
    <row r="263" spans="1:51" s="179" customFormat="1" ht="15" thickBot="1" x14ac:dyDescent="0.35">
      <c r="A263" s="169" t="s">
        <v>19</v>
      </c>
      <c r="B263" s="169" t="str">
        <f>B262</f>
        <v>Насос центробежный (8752P0001A)</v>
      </c>
      <c r="C263" s="171" t="s">
        <v>238</v>
      </c>
      <c r="D263" s="172" t="s">
        <v>59</v>
      </c>
      <c r="E263" s="185">
        <f>E262</f>
        <v>1.0000000000000001E-5</v>
      </c>
      <c r="F263" s="186">
        <f>F262</f>
        <v>1</v>
      </c>
      <c r="G263" s="169">
        <v>1.4249999999999999E-2</v>
      </c>
      <c r="H263" s="174">
        <f t="shared" si="282"/>
        <v>1.4250000000000001E-7</v>
      </c>
      <c r="I263" s="187">
        <f>I262</f>
        <v>0.85333333333333328</v>
      </c>
      <c r="J263" s="175">
        <f>I262</f>
        <v>0.85333333333333328</v>
      </c>
      <c r="K263" s="177" t="s">
        <v>176</v>
      </c>
      <c r="L263" s="178">
        <v>0</v>
      </c>
      <c r="M263" s="179" t="str">
        <f t="shared" si="283"/>
        <v>С2</v>
      </c>
      <c r="N263" s="179" t="str">
        <f t="shared" si="284"/>
        <v>Насос центробежный (8752P0001A)</v>
      </c>
      <c r="O263" s="179" t="str">
        <f t="shared" si="285"/>
        <v>Полное-пожар</v>
      </c>
      <c r="P263" s="179" t="s">
        <v>83</v>
      </c>
      <c r="Q263" s="179" t="s">
        <v>83</v>
      </c>
      <c r="R263" s="179" t="s">
        <v>83</v>
      </c>
      <c r="S263" s="179" t="s">
        <v>83</v>
      </c>
      <c r="T263" s="179" t="s">
        <v>83</v>
      </c>
      <c r="U263" s="179" t="s">
        <v>83</v>
      </c>
      <c r="V263" s="179" t="s">
        <v>83</v>
      </c>
      <c r="W263" s="179" t="s">
        <v>83</v>
      </c>
      <c r="X263" s="179" t="s">
        <v>83</v>
      </c>
      <c r="Y263" s="179" t="s">
        <v>83</v>
      </c>
      <c r="Z263" s="179" t="s">
        <v>83</v>
      </c>
      <c r="AA263" s="179" t="s">
        <v>83</v>
      </c>
      <c r="AB263" s="179" t="s">
        <v>83</v>
      </c>
      <c r="AC263" s="179" t="s">
        <v>83</v>
      </c>
      <c r="AD263" s="179" t="s">
        <v>83</v>
      </c>
      <c r="AE263" s="179" t="s">
        <v>83</v>
      </c>
      <c r="AF263" s="179" t="s">
        <v>83</v>
      </c>
      <c r="AG263" s="179" t="s">
        <v>83</v>
      </c>
      <c r="AH263" s="179" t="s">
        <v>83</v>
      </c>
      <c r="AI263" s="179" t="s">
        <v>83</v>
      </c>
      <c r="AJ263" s="180">
        <v>2</v>
      </c>
      <c r="AK263" s="180">
        <v>2</v>
      </c>
      <c r="AL263" s="179">
        <f>AL262</f>
        <v>0.75</v>
      </c>
      <c r="AM263" s="179">
        <f>AM262</f>
        <v>2.7E-2</v>
      </c>
      <c r="AN263" s="179">
        <f>AN262</f>
        <v>3</v>
      </c>
      <c r="AQ263" s="182">
        <f>AM263*I263+AL263</f>
        <v>0.77303999999999995</v>
      </c>
      <c r="AR263" s="182">
        <f t="shared" si="286"/>
        <v>7.7303999999999998E-2</v>
      </c>
      <c r="AS263" s="183">
        <f t="shared" si="287"/>
        <v>6.5</v>
      </c>
      <c r="AT263" s="183">
        <f t="shared" si="288"/>
        <v>1.8375859999999999</v>
      </c>
      <c r="AU263" s="182">
        <f>10068.2*J263*POWER(10,-6)*10</f>
        <v>8.5915306666666663E-2</v>
      </c>
      <c r="AV263" s="183">
        <f t="shared" si="289"/>
        <v>9.2738453066666668</v>
      </c>
      <c r="AW263" s="184">
        <f t="shared" si="290"/>
        <v>2.8500000000000002E-7</v>
      </c>
      <c r="AX263" s="184">
        <f t="shared" si="291"/>
        <v>2.8500000000000002E-7</v>
      </c>
      <c r="AY263" s="184">
        <f t="shared" si="292"/>
        <v>1.3215229562000002E-6</v>
      </c>
    </row>
    <row r="264" spans="1:51" s="179" customFormat="1" x14ac:dyDescent="0.3">
      <c r="A264" s="169" t="s">
        <v>20</v>
      </c>
      <c r="B264" s="169" t="str">
        <f>B262</f>
        <v>Насос центробежный (8752P0001A)</v>
      </c>
      <c r="C264" s="171" t="s">
        <v>239</v>
      </c>
      <c r="D264" s="172" t="s">
        <v>60</v>
      </c>
      <c r="E264" s="185">
        <f>E262</f>
        <v>1.0000000000000001E-5</v>
      </c>
      <c r="F264" s="186">
        <f>F262</f>
        <v>1</v>
      </c>
      <c r="G264" s="169">
        <v>0.27074999999999999</v>
      </c>
      <c r="H264" s="174">
        <f t="shared" si="282"/>
        <v>2.7075000000000003E-6</v>
      </c>
      <c r="I264" s="187">
        <f>I262</f>
        <v>0.85333333333333328</v>
      </c>
      <c r="J264" s="169">
        <v>0</v>
      </c>
      <c r="K264" s="177" t="s">
        <v>177</v>
      </c>
      <c r="L264" s="178">
        <v>1</v>
      </c>
      <c r="M264" s="179" t="str">
        <f t="shared" si="283"/>
        <v>С3</v>
      </c>
      <c r="N264" s="179" t="str">
        <f t="shared" si="284"/>
        <v>Насос центробежный (8752P0001A)</v>
      </c>
      <c r="O264" s="179" t="str">
        <f t="shared" si="285"/>
        <v>Полное-ликвидация</v>
      </c>
      <c r="P264" s="179" t="s">
        <v>83</v>
      </c>
      <c r="Q264" s="179" t="s">
        <v>83</v>
      </c>
      <c r="R264" s="179" t="s">
        <v>83</v>
      </c>
      <c r="S264" s="179" t="s">
        <v>83</v>
      </c>
      <c r="T264" s="179" t="s">
        <v>83</v>
      </c>
      <c r="U264" s="179" t="s">
        <v>83</v>
      </c>
      <c r="V264" s="179" t="s">
        <v>83</v>
      </c>
      <c r="W264" s="179" t="s">
        <v>83</v>
      </c>
      <c r="X264" s="179" t="s">
        <v>83</v>
      </c>
      <c r="Y264" s="179" t="s">
        <v>83</v>
      </c>
      <c r="Z264" s="179" t="s">
        <v>83</v>
      </c>
      <c r="AA264" s="179" t="s">
        <v>83</v>
      </c>
      <c r="AB264" s="179" t="s">
        <v>83</v>
      </c>
      <c r="AC264" s="179" t="s">
        <v>83</v>
      </c>
      <c r="AD264" s="179" t="s">
        <v>83</v>
      </c>
      <c r="AE264" s="179" t="s">
        <v>83</v>
      </c>
      <c r="AF264" s="179" t="s">
        <v>83</v>
      </c>
      <c r="AG264" s="179" t="s">
        <v>83</v>
      </c>
      <c r="AH264" s="179" t="s">
        <v>83</v>
      </c>
      <c r="AI264" s="179" t="s">
        <v>83</v>
      </c>
      <c r="AJ264" s="179">
        <v>0</v>
      </c>
      <c r="AK264" s="179">
        <v>0</v>
      </c>
      <c r="AL264" s="179">
        <f>AL262</f>
        <v>0.75</v>
      </c>
      <c r="AM264" s="179">
        <f>AM262</f>
        <v>2.7E-2</v>
      </c>
      <c r="AN264" s="179">
        <f>AN262</f>
        <v>3</v>
      </c>
      <c r="AQ264" s="182">
        <f>AM264*I264*0.1+AL264</f>
        <v>0.75230399999999997</v>
      </c>
      <c r="AR264" s="182">
        <f t="shared" si="286"/>
        <v>7.5230400000000003E-2</v>
      </c>
      <c r="AS264" s="183">
        <f t="shared" si="287"/>
        <v>0</v>
      </c>
      <c r="AT264" s="183">
        <f t="shared" si="288"/>
        <v>0.2068836</v>
      </c>
      <c r="AU264" s="182">
        <f>1333*J263*POWER(10,-6)</f>
        <v>1.1374933333333332E-3</v>
      </c>
      <c r="AV264" s="183">
        <f t="shared" si="289"/>
        <v>1.0355554933333333</v>
      </c>
      <c r="AW264" s="184">
        <f t="shared" si="290"/>
        <v>0</v>
      </c>
      <c r="AX264" s="184">
        <f t="shared" si="291"/>
        <v>0</v>
      </c>
      <c r="AY264" s="184">
        <f t="shared" si="292"/>
        <v>2.8037664982000001E-6</v>
      </c>
    </row>
    <row r="265" spans="1:51" s="179" customFormat="1" x14ac:dyDescent="0.3">
      <c r="A265" s="169" t="s">
        <v>21</v>
      </c>
      <c r="B265" s="169" t="str">
        <f>B262</f>
        <v>Насос центробежный (8752P0001A)</v>
      </c>
      <c r="C265" s="171" t="s">
        <v>230</v>
      </c>
      <c r="D265" s="172" t="s">
        <v>84</v>
      </c>
      <c r="E265" s="185">
        <f>E263</f>
        <v>1.0000000000000001E-5</v>
      </c>
      <c r="F265" s="186">
        <f>F262</f>
        <v>1</v>
      </c>
      <c r="G265" s="169">
        <v>3.4999999999999996E-2</v>
      </c>
      <c r="H265" s="174">
        <f t="shared" si="282"/>
        <v>3.4999999999999998E-7</v>
      </c>
      <c r="I265" s="187">
        <f>0.15*I262</f>
        <v>0.12799999999999997</v>
      </c>
      <c r="J265" s="187">
        <f>I265</f>
        <v>0.12799999999999997</v>
      </c>
      <c r="K265" s="190" t="s">
        <v>179</v>
      </c>
      <c r="L265" s="191">
        <v>45390</v>
      </c>
      <c r="M265" s="179" t="str">
        <f t="shared" si="283"/>
        <v>С4</v>
      </c>
      <c r="N265" s="179" t="str">
        <f t="shared" si="284"/>
        <v>Насос центробежный (8752P0001A)</v>
      </c>
      <c r="O265" s="179" t="str">
        <f t="shared" si="285"/>
        <v>Частичное-пожар</v>
      </c>
      <c r="P265" s="179" t="s">
        <v>83</v>
      </c>
      <c r="Q265" s="179" t="s">
        <v>83</v>
      </c>
      <c r="R265" s="179" t="s">
        <v>83</v>
      </c>
      <c r="S265" s="179" t="s">
        <v>83</v>
      </c>
      <c r="T265" s="179" t="s">
        <v>83</v>
      </c>
      <c r="U265" s="179" t="s">
        <v>83</v>
      </c>
      <c r="V265" s="179" t="s">
        <v>83</v>
      </c>
      <c r="W265" s="179" t="s">
        <v>83</v>
      </c>
      <c r="X265" s="179" t="s">
        <v>83</v>
      </c>
      <c r="Y265" s="179" t="s">
        <v>83</v>
      </c>
      <c r="Z265" s="179" t="s">
        <v>83</v>
      </c>
      <c r="AA265" s="179" t="s">
        <v>83</v>
      </c>
      <c r="AB265" s="179" t="s">
        <v>83</v>
      </c>
      <c r="AC265" s="179" t="s">
        <v>83</v>
      </c>
      <c r="AD265" s="179" t="s">
        <v>83</v>
      </c>
      <c r="AE265" s="179" t="s">
        <v>83</v>
      </c>
      <c r="AF265" s="179" t="s">
        <v>83</v>
      </c>
      <c r="AG265" s="179" t="s">
        <v>83</v>
      </c>
      <c r="AH265" s="179" t="s">
        <v>83</v>
      </c>
      <c r="AI265" s="179" t="s">
        <v>83</v>
      </c>
      <c r="AJ265" s="179">
        <v>0</v>
      </c>
      <c r="AK265" s="179">
        <v>2</v>
      </c>
      <c r="AL265" s="179">
        <f>0.1*$AL$2</f>
        <v>7.5000000000000002E-4</v>
      </c>
      <c r="AM265" s="179">
        <f>AM262</f>
        <v>2.7E-2</v>
      </c>
      <c r="AN265" s="179">
        <f>ROUNDUP(AN262/3,0)</f>
        <v>1</v>
      </c>
      <c r="AQ265" s="182">
        <f>AM265*I265+AL265</f>
        <v>4.2059999999999997E-3</v>
      </c>
      <c r="AR265" s="182">
        <f t="shared" si="286"/>
        <v>4.2059999999999998E-4</v>
      </c>
      <c r="AS265" s="183">
        <f t="shared" si="287"/>
        <v>0.5</v>
      </c>
      <c r="AT265" s="183">
        <f t="shared" si="288"/>
        <v>0.12615665000000001</v>
      </c>
      <c r="AU265" s="182">
        <f>10068.2*J265*POWER(10,-6)</f>
        <v>1.2887295999999997E-3</v>
      </c>
      <c r="AV265" s="183">
        <f t="shared" si="289"/>
        <v>0.63207197960000006</v>
      </c>
      <c r="AW265" s="184">
        <f t="shared" si="290"/>
        <v>0</v>
      </c>
      <c r="AX265" s="184">
        <f t="shared" si="291"/>
        <v>6.9999999999999997E-7</v>
      </c>
      <c r="AY265" s="184">
        <f t="shared" si="292"/>
        <v>2.2122519286000002E-7</v>
      </c>
    </row>
    <row r="266" spans="1:51" s="179" customFormat="1" x14ac:dyDescent="0.3">
      <c r="A266" s="169" t="s">
        <v>22</v>
      </c>
      <c r="B266" s="169" t="str">
        <f>B262</f>
        <v>Насос центробежный (8752P0001A)</v>
      </c>
      <c r="C266" s="171" t="s">
        <v>232</v>
      </c>
      <c r="D266" s="172" t="s">
        <v>84</v>
      </c>
      <c r="E266" s="185">
        <f>E264</f>
        <v>1.0000000000000001E-5</v>
      </c>
      <c r="F266" s="186">
        <f>F262</f>
        <v>1</v>
      </c>
      <c r="G266" s="169">
        <v>3.3249999999999995E-2</v>
      </c>
      <c r="H266" s="174">
        <f t="shared" si="282"/>
        <v>3.3249999999999999E-7</v>
      </c>
      <c r="I266" s="187">
        <f>0.15*I262</f>
        <v>0.12799999999999997</v>
      </c>
      <c r="J266" s="187">
        <f>I265</f>
        <v>0.12799999999999997</v>
      </c>
      <c r="K266" s="190" t="s">
        <v>180</v>
      </c>
      <c r="L266" s="191">
        <v>3</v>
      </c>
      <c r="M266" s="179" t="str">
        <f t="shared" si="283"/>
        <v>С5</v>
      </c>
      <c r="N266" s="179" t="str">
        <f t="shared" si="284"/>
        <v>Насос центробежный (8752P0001A)</v>
      </c>
      <c r="O266" s="179" t="str">
        <f t="shared" si="285"/>
        <v>Частичное-пожар</v>
      </c>
      <c r="P266" s="179" t="s">
        <v>83</v>
      </c>
      <c r="Q266" s="179" t="s">
        <v>83</v>
      </c>
      <c r="R266" s="179" t="s">
        <v>83</v>
      </c>
      <c r="S266" s="179" t="s">
        <v>83</v>
      </c>
      <c r="T266" s="179" t="s">
        <v>83</v>
      </c>
      <c r="U266" s="179" t="s">
        <v>83</v>
      </c>
      <c r="V266" s="179" t="s">
        <v>83</v>
      </c>
      <c r="W266" s="179" t="s">
        <v>83</v>
      </c>
      <c r="X266" s="179" t="s">
        <v>83</v>
      </c>
      <c r="Y266" s="179" t="s">
        <v>83</v>
      </c>
      <c r="Z266" s="179" t="s">
        <v>83</v>
      </c>
      <c r="AA266" s="179" t="s">
        <v>83</v>
      </c>
      <c r="AB266" s="179" t="s">
        <v>83</v>
      </c>
      <c r="AC266" s="179" t="s">
        <v>83</v>
      </c>
      <c r="AD266" s="179" t="s">
        <v>83</v>
      </c>
      <c r="AE266" s="179" t="s">
        <v>83</v>
      </c>
      <c r="AF266" s="179" t="s">
        <v>83</v>
      </c>
      <c r="AG266" s="179" t="s">
        <v>83</v>
      </c>
      <c r="AH266" s="179" t="s">
        <v>83</v>
      </c>
      <c r="AI266" s="179" t="s">
        <v>83</v>
      </c>
      <c r="AJ266" s="179">
        <v>0</v>
      </c>
      <c r="AK266" s="179">
        <v>1</v>
      </c>
      <c r="AL266" s="179">
        <f>0.1*$AL$2</f>
        <v>7.5000000000000002E-4</v>
      </c>
      <c r="AM266" s="179">
        <f>AM262</f>
        <v>2.7E-2</v>
      </c>
      <c r="AN266" s="179">
        <f>ROUNDUP(AN262/3,0)</f>
        <v>1</v>
      </c>
      <c r="AQ266" s="182">
        <f>AM266*I266+AL266</f>
        <v>4.2059999999999997E-3</v>
      </c>
      <c r="AR266" s="182">
        <f t="shared" si="286"/>
        <v>4.2059999999999998E-4</v>
      </c>
      <c r="AS266" s="183">
        <f t="shared" si="287"/>
        <v>0.25</v>
      </c>
      <c r="AT266" s="183">
        <f t="shared" si="288"/>
        <v>6.3656649999999995E-2</v>
      </c>
      <c r="AU266" s="182">
        <f>10068.2*J266*POWER(10,-6)*10</f>
        <v>1.2887295999999998E-2</v>
      </c>
      <c r="AV266" s="183">
        <f t="shared" si="289"/>
        <v>0.33117054599999995</v>
      </c>
      <c r="AW266" s="184">
        <f t="shared" si="290"/>
        <v>0</v>
      </c>
      <c r="AX266" s="184">
        <f t="shared" si="291"/>
        <v>3.3249999999999999E-7</v>
      </c>
      <c r="AY266" s="184">
        <f t="shared" si="292"/>
        <v>1.1011420654499999E-7</v>
      </c>
    </row>
    <row r="267" spans="1:51" s="179" customFormat="1" ht="15" thickBot="1" x14ac:dyDescent="0.35">
      <c r="A267" s="169" t="s">
        <v>23</v>
      </c>
      <c r="B267" s="169" t="str">
        <f>B262</f>
        <v>Насос центробежный (8752P0001A)</v>
      </c>
      <c r="C267" s="171" t="s">
        <v>231</v>
      </c>
      <c r="D267" s="172" t="s">
        <v>617</v>
      </c>
      <c r="E267" s="185">
        <f>E265</f>
        <v>1.0000000000000001E-5</v>
      </c>
      <c r="F267" s="186">
        <f>F262</f>
        <v>1</v>
      </c>
      <c r="G267" s="169">
        <v>0.63174999999999992</v>
      </c>
      <c r="H267" s="174">
        <f t="shared" si="282"/>
        <v>6.3175000000000001E-6</v>
      </c>
      <c r="I267" s="187">
        <f>0.15*I262</f>
        <v>0.12799999999999997</v>
      </c>
      <c r="J267" s="169">
        <v>0</v>
      </c>
      <c r="K267" s="192" t="s">
        <v>191</v>
      </c>
      <c r="L267" s="192">
        <v>18</v>
      </c>
      <c r="M267" s="179" t="str">
        <f t="shared" si="283"/>
        <v>С6</v>
      </c>
      <c r="N267" s="179" t="str">
        <f t="shared" si="284"/>
        <v>Насос центробежный (8752P0001A)</v>
      </c>
      <c r="O267" s="179" t="str">
        <f t="shared" si="285"/>
        <v>Частичное-ликв</v>
      </c>
      <c r="P267" s="179" t="s">
        <v>83</v>
      </c>
      <c r="Q267" s="179" t="s">
        <v>83</v>
      </c>
      <c r="R267" s="179" t="s">
        <v>83</v>
      </c>
      <c r="S267" s="179" t="s">
        <v>83</v>
      </c>
      <c r="T267" s="179" t="s">
        <v>83</v>
      </c>
      <c r="U267" s="179" t="s">
        <v>83</v>
      </c>
      <c r="V267" s="179" t="s">
        <v>83</v>
      </c>
      <c r="W267" s="179" t="s">
        <v>83</v>
      </c>
      <c r="X267" s="179" t="s">
        <v>83</v>
      </c>
      <c r="Y267" s="179" t="s">
        <v>83</v>
      </c>
      <c r="Z267" s="179" t="s">
        <v>83</v>
      </c>
      <c r="AA267" s="179" t="s">
        <v>83</v>
      </c>
      <c r="AB267" s="179" t="s">
        <v>83</v>
      </c>
      <c r="AC267" s="179" t="s">
        <v>83</v>
      </c>
      <c r="AD267" s="179" t="s">
        <v>83</v>
      </c>
      <c r="AE267" s="179" t="s">
        <v>83</v>
      </c>
      <c r="AF267" s="179" t="s">
        <v>83</v>
      </c>
      <c r="AG267" s="179" t="s">
        <v>83</v>
      </c>
      <c r="AH267" s="179" t="s">
        <v>83</v>
      </c>
      <c r="AI267" s="179" t="s">
        <v>83</v>
      </c>
      <c r="AJ267" s="179">
        <v>0</v>
      </c>
      <c r="AK267" s="179">
        <v>0</v>
      </c>
      <c r="AL267" s="179">
        <f>0.1*$AL$2</f>
        <v>7.5000000000000002E-4</v>
      </c>
      <c r="AM267" s="179">
        <f>AM262</f>
        <v>2.7E-2</v>
      </c>
      <c r="AN267" s="179">
        <f>ROUNDUP(AN262/3,0)</f>
        <v>1</v>
      </c>
      <c r="AQ267" s="182">
        <f>AM267*I267*0.1+AL267</f>
        <v>1.0956E-3</v>
      </c>
      <c r="AR267" s="182">
        <f t="shared" si="286"/>
        <v>1.0956E-4</v>
      </c>
      <c r="AS267" s="183">
        <f t="shared" si="287"/>
        <v>0</v>
      </c>
      <c r="AT267" s="183">
        <f t="shared" si="288"/>
        <v>3.0129000000000001E-4</v>
      </c>
      <c r="AU267" s="182">
        <f>1333*J266*POWER(10,-6)</f>
        <v>1.7062399999999997E-4</v>
      </c>
      <c r="AV267" s="183">
        <f t="shared" si="289"/>
        <v>1.677074E-3</v>
      </c>
      <c r="AW267" s="184">
        <f t="shared" si="290"/>
        <v>0</v>
      </c>
      <c r="AX267" s="184">
        <f t="shared" si="291"/>
        <v>0</v>
      </c>
      <c r="AY267" s="184">
        <f t="shared" si="292"/>
        <v>1.0594914995E-8</v>
      </c>
    </row>
    <row r="268" spans="1:51" s="179" customFormat="1" x14ac:dyDescent="0.3">
      <c r="A268" s="180"/>
      <c r="B268" s="180"/>
      <c r="D268" s="271"/>
      <c r="E268" s="272"/>
      <c r="F268" s="273"/>
      <c r="G268" s="180"/>
      <c r="H268" s="184"/>
      <c r="I268" s="183"/>
      <c r="J268" s="180"/>
      <c r="K268" s="180"/>
      <c r="L268" s="180"/>
      <c r="AQ268" s="182"/>
      <c r="AR268" s="182"/>
      <c r="AS268" s="183"/>
      <c r="AT268" s="183"/>
      <c r="AU268" s="182"/>
      <c r="AV268" s="183"/>
      <c r="AW268" s="184"/>
      <c r="AX268" s="184"/>
      <c r="AY268" s="184"/>
    </row>
    <row r="269" spans="1:51" s="179" customFormat="1" x14ac:dyDescent="0.3">
      <c r="A269" s="180"/>
      <c r="B269" s="180"/>
      <c r="D269" s="271"/>
      <c r="E269" s="272"/>
      <c r="F269" s="273"/>
      <c r="G269" s="180"/>
      <c r="H269" s="184"/>
      <c r="I269" s="183"/>
      <c r="J269" s="180"/>
      <c r="K269" s="180"/>
      <c r="L269" s="180"/>
      <c r="AQ269" s="182"/>
      <c r="AR269" s="182"/>
      <c r="AS269" s="183"/>
      <c r="AT269" s="183"/>
      <c r="AU269" s="182"/>
      <c r="AV269" s="183"/>
      <c r="AW269" s="184"/>
      <c r="AX269" s="184"/>
      <c r="AY269" s="184"/>
    </row>
    <row r="270" spans="1:51" s="179" customFormat="1" x14ac:dyDescent="0.3">
      <c r="A270" s="180"/>
      <c r="B270" s="180"/>
      <c r="D270" s="271"/>
      <c r="E270" s="272"/>
      <c r="F270" s="273"/>
      <c r="G270" s="180"/>
      <c r="H270" s="184"/>
      <c r="I270" s="183"/>
      <c r="J270" s="180"/>
      <c r="K270" s="180"/>
      <c r="L270" s="180"/>
      <c r="AQ270" s="182"/>
      <c r="AR270" s="182"/>
      <c r="AS270" s="183"/>
      <c r="AT270" s="183"/>
      <c r="AU270" s="182"/>
      <c r="AV270" s="183"/>
      <c r="AW270" s="184"/>
      <c r="AX270" s="184"/>
      <c r="AY270" s="184"/>
    </row>
    <row r="271" spans="1:51" ht="15" thickBot="1" x14ac:dyDescent="0.35"/>
    <row r="272" spans="1:51" s="179" customFormat="1" ht="15" thickBot="1" x14ac:dyDescent="0.35">
      <c r="A272" s="169" t="s">
        <v>18</v>
      </c>
      <c r="B272" s="170" t="s">
        <v>618</v>
      </c>
      <c r="C272" s="171" t="s">
        <v>196</v>
      </c>
      <c r="D272" s="172" t="s">
        <v>59</v>
      </c>
      <c r="E272" s="173">
        <v>1.0000000000000001E-5</v>
      </c>
      <c r="F272" s="170">
        <v>1</v>
      </c>
      <c r="G272" s="169">
        <v>0.1</v>
      </c>
      <c r="H272" s="174">
        <f t="shared" ref="H272:H277" si="293">E272*F272*G272</f>
        <v>1.0000000000000002E-6</v>
      </c>
      <c r="I272" s="175">
        <v>3400</v>
      </c>
      <c r="J272" s="176">
        <f>I272</f>
        <v>3400</v>
      </c>
      <c r="K272" s="177" t="s">
        <v>175</v>
      </c>
      <c r="L272" s="178">
        <v>3400</v>
      </c>
      <c r="M272" s="179" t="str">
        <f t="shared" ref="M272:M277" si="294">A272</f>
        <v>С1</v>
      </c>
      <c r="N272" s="179" t="str">
        <f t="shared" ref="N272:N277" si="295">B272</f>
        <v>Резервуар РВС (8718Т0001)</v>
      </c>
      <c r="O272" s="179" t="str">
        <f t="shared" ref="O272:O277" si="296">D272</f>
        <v>Полное-пожар</v>
      </c>
      <c r="P272" s="179">
        <v>47.1</v>
      </c>
      <c r="Q272" s="179">
        <v>64.099999999999994</v>
      </c>
      <c r="R272" s="179">
        <v>90.1</v>
      </c>
      <c r="S272" s="179">
        <v>161.69999999999999</v>
      </c>
      <c r="T272" s="179" t="s">
        <v>83</v>
      </c>
      <c r="U272" s="179" t="s">
        <v>83</v>
      </c>
      <c r="V272" s="179" t="s">
        <v>83</v>
      </c>
      <c r="W272" s="179" t="s">
        <v>83</v>
      </c>
      <c r="X272" s="179" t="s">
        <v>83</v>
      </c>
      <c r="Y272" s="179" t="s">
        <v>83</v>
      </c>
      <c r="Z272" s="179" t="s">
        <v>83</v>
      </c>
      <c r="AA272" s="179" t="s">
        <v>83</v>
      </c>
      <c r="AB272" s="179" t="s">
        <v>83</v>
      </c>
      <c r="AC272" s="179" t="s">
        <v>83</v>
      </c>
      <c r="AD272" s="179" t="s">
        <v>83</v>
      </c>
      <c r="AE272" s="179" t="s">
        <v>83</v>
      </c>
      <c r="AF272" s="179" t="s">
        <v>83</v>
      </c>
      <c r="AG272" s="179" t="s">
        <v>83</v>
      </c>
      <c r="AH272" s="179" t="s">
        <v>83</v>
      </c>
      <c r="AI272" s="179" t="s">
        <v>83</v>
      </c>
      <c r="AJ272" s="180">
        <v>1</v>
      </c>
      <c r="AK272" s="180">
        <v>2</v>
      </c>
      <c r="AL272" s="181">
        <v>0.75</v>
      </c>
      <c r="AM272" s="181">
        <v>2.7E-2</v>
      </c>
      <c r="AN272" s="181">
        <v>3</v>
      </c>
      <c r="AQ272" s="182">
        <f>AM272*I272+AL272</f>
        <v>92.55</v>
      </c>
      <c r="AR272" s="182">
        <f t="shared" ref="AR272:AR277" si="297">0.1*AQ272</f>
        <v>9.2550000000000008</v>
      </c>
      <c r="AS272" s="183">
        <f t="shared" ref="AS272:AS277" si="298">AJ272*3+0.25*AK272</f>
        <v>3.5</v>
      </c>
      <c r="AT272" s="183">
        <f t="shared" ref="AT272:AT277" si="299">SUM(AQ272:AS272)/4</f>
        <v>26.326249999999998</v>
      </c>
      <c r="AU272" s="182">
        <f>10068.2*J272*POWER(10,-6)</f>
        <v>34.231879999999997</v>
      </c>
      <c r="AV272" s="183">
        <f t="shared" ref="AV272:AV277" si="300">AU272+AT272+AS272+AR272+AQ272</f>
        <v>165.86312999999998</v>
      </c>
      <c r="AW272" s="184">
        <f t="shared" ref="AW272:AW277" si="301">AJ272*H272</f>
        <v>1.0000000000000002E-6</v>
      </c>
      <c r="AX272" s="184">
        <f t="shared" ref="AX272:AX277" si="302">H272*AK272</f>
        <v>2.0000000000000003E-6</v>
      </c>
      <c r="AY272" s="184">
        <f t="shared" ref="AY272:AY277" si="303">H272*AV272</f>
        <v>1.6586313E-4</v>
      </c>
    </row>
    <row r="273" spans="1:51" s="179" customFormat="1" ht="15" thickBot="1" x14ac:dyDescent="0.35">
      <c r="A273" s="169" t="s">
        <v>19</v>
      </c>
      <c r="B273" s="169" t="str">
        <f>B272</f>
        <v>Резервуар РВС (8718Т0001)</v>
      </c>
      <c r="C273" s="171" t="s">
        <v>197</v>
      </c>
      <c r="D273" s="172" t="s">
        <v>62</v>
      </c>
      <c r="E273" s="185">
        <f>E272</f>
        <v>1.0000000000000001E-5</v>
      </c>
      <c r="F273" s="186">
        <f>F272</f>
        <v>1</v>
      </c>
      <c r="G273" s="169">
        <v>0.18000000000000002</v>
      </c>
      <c r="H273" s="174">
        <f t="shared" si="293"/>
        <v>1.8000000000000003E-6</v>
      </c>
      <c r="I273" s="187">
        <f>I272</f>
        <v>3400</v>
      </c>
      <c r="J273" s="418">
        <f>POWER(10,-6)*55*SQRT(100)*3600*L272/1000*0.05</f>
        <v>0.33660000000000001</v>
      </c>
      <c r="K273" s="177" t="s">
        <v>176</v>
      </c>
      <c r="L273" s="178">
        <v>0</v>
      </c>
      <c r="M273" s="179" t="str">
        <f t="shared" si="294"/>
        <v>С2</v>
      </c>
      <c r="N273" s="179" t="str">
        <f t="shared" si="295"/>
        <v>Резервуар РВС (8718Т0001)</v>
      </c>
      <c r="O273" s="179" t="str">
        <f t="shared" si="296"/>
        <v>Полное-взрыв</v>
      </c>
      <c r="P273" s="179" t="s">
        <v>83</v>
      </c>
      <c r="Q273" s="179" t="s">
        <v>83</v>
      </c>
      <c r="R273" s="179" t="s">
        <v>83</v>
      </c>
      <c r="S273" s="179" t="s">
        <v>83</v>
      </c>
      <c r="T273" s="179">
        <v>0</v>
      </c>
      <c r="U273" s="179">
        <v>0</v>
      </c>
      <c r="V273" s="179">
        <v>64.599999999999994</v>
      </c>
      <c r="W273" s="179">
        <v>216.1</v>
      </c>
      <c r="X273" s="179">
        <v>562.6</v>
      </c>
      <c r="Y273" s="179" t="s">
        <v>83</v>
      </c>
      <c r="Z273" s="179" t="s">
        <v>83</v>
      </c>
      <c r="AA273" s="179" t="s">
        <v>83</v>
      </c>
      <c r="AB273" s="179" t="s">
        <v>83</v>
      </c>
      <c r="AC273" s="179" t="s">
        <v>83</v>
      </c>
      <c r="AD273" s="179" t="s">
        <v>83</v>
      </c>
      <c r="AE273" s="179" t="s">
        <v>83</v>
      </c>
      <c r="AF273" s="179" t="s">
        <v>83</v>
      </c>
      <c r="AG273" s="179" t="s">
        <v>83</v>
      </c>
      <c r="AH273" s="179" t="s">
        <v>83</v>
      </c>
      <c r="AI273" s="179" t="s">
        <v>83</v>
      </c>
      <c r="AJ273" s="180">
        <v>2</v>
      </c>
      <c r="AK273" s="180">
        <v>2</v>
      </c>
      <c r="AL273" s="179">
        <f>AL272</f>
        <v>0.75</v>
      </c>
      <c r="AM273" s="179">
        <f>AM272</f>
        <v>2.7E-2</v>
      </c>
      <c r="AN273" s="179">
        <f>AN272</f>
        <v>3</v>
      </c>
      <c r="AQ273" s="182">
        <f>AM273*I273+AL273</f>
        <v>92.55</v>
      </c>
      <c r="AR273" s="182">
        <f t="shared" si="297"/>
        <v>9.2550000000000008</v>
      </c>
      <c r="AS273" s="183">
        <f t="shared" si="298"/>
        <v>6.5</v>
      </c>
      <c r="AT273" s="183">
        <f t="shared" si="299"/>
        <v>27.076249999999998</v>
      </c>
      <c r="AU273" s="182">
        <f>10068.2*J273*POWER(10,-6)*10</f>
        <v>3.3889561200000001E-2</v>
      </c>
      <c r="AV273" s="183">
        <f t="shared" si="300"/>
        <v>135.41513956119999</v>
      </c>
      <c r="AW273" s="184">
        <f t="shared" si="301"/>
        <v>3.6000000000000007E-6</v>
      </c>
      <c r="AX273" s="184">
        <f t="shared" si="302"/>
        <v>3.6000000000000007E-6</v>
      </c>
      <c r="AY273" s="184">
        <f t="shared" si="303"/>
        <v>2.4374725121016004E-4</v>
      </c>
    </row>
    <row r="274" spans="1:51" s="179" customFormat="1" x14ac:dyDescent="0.3">
      <c r="A274" s="169" t="s">
        <v>20</v>
      </c>
      <c r="B274" s="169" t="str">
        <f>B272</f>
        <v>Резервуар РВС (8718Т0001)</v>
      </c>
      <c r="C274" s="171" t="s">
        <v>198</v>
      </c>
      <c r="D274" s="172" t="s">
        <v>60</v>
      </c>
      <c r="E274" s="185">
        <f>E272</f>
        <v>1.0000000000000001E-5</v>
      </c>
      <c r="F274" s="186">
        <f>F272</f>
        <v>1</v>
      </c>
      <c r="G274" s="169">
        <v>0.72000000000000008</v>
      </c>
      <c r="H274" s="174">
        <f t="shared" si="293"/>
        <v>7.2000000000000014E-6</v>
      </c>
      <c r="I274" s="187">
        <f>I272</f>
        <v>3400</v>
      </c>
      <c r="J274" s="189">
        <v>0</v>
      </c>
      <c r="K274" s="177" t="s">
        <v>177</v>
      </c>
      <c r="L274" s="178">
        <v>0</v>
      </c>
      <c r="M274" s="179" t="str">
        <f t="shared" si="294"/>
        <v>С3</v>
      </c>
      <c r="N274" s="179" t="str">
        <f t="shared" si="295"/>
        <v>Резервуар РВС (8718Т0001)</v>
      </c>
      <c r="O274" s="179" t="str">
        <f t="shared" si="296"/>
        <v>Полное-ликвидация</v>
      </c>
      <c r="P274" s="179" t="s">
        <v>83</v>
      </c>
      <c r="Q274" s="179" t="s">
        <v>83</v>
      </c>
      <c r="R274" s="179" t="s">
        <v>83</v>
      </c>
      <c r="S274" s="179" t="s">
        <v>83</v>
      </c>
      <c r="T274" s="179" t="s">
        <v>83</v>
      </c>
      <c r="U274" s="179" t="s">
        <v>83</v>
      </c>
      <c r="V274" s="179" t="s">
        <v>83</v>
      </c>
      <c r="W274" s="179" t="s">
        <v>83</v>
      </c>
      <c r="X274" s="179" t="s">
        <v>83</v>
      </c>
      <c r="Y274" s="179" t="s">
        <v>83</v>
      </c>
      <c r="Z274" s="179" t="s">
        <v>83</v>
      </c>
      <c r="AA274" s="179" t="s">
        <v>83</v>
      </c>
      <c r="AB274" s="179" t="s">
        <v>83</v>
      </c>
      <c r="AC274" s="179" t="s">
        <v>83</v>
      </c>
      <c r="AD274" s="179" t="s">
        <v>83</v>
      </c>
      <c r="AE274" s="179" t="s">
        <v>83</v>
      </c>
      <c r="AF274" s="179" t="s">
        <v>83</v>
      </c>
      <c r="AG274" s="179" t="s">
        <v>83</v>
      </c>
      <c r="AH274" s="179" t="s">
        <v>83</v>
      </c>
      <c r="AI274" s="179" t="s">
        <v>83</v>
      </c>
      <c r="AJ274" s="179">
        <v>0</v>
      </c>
      <c r="AK274" s="179">
        <v>0</v>
      </c>
      <c r="AL274" s="179">
        <f>AL272</f>
        <v>0.75</v>
      </c>
      <c r="AM274" s="179">
        <f>AM272</f>
        <v>2.7E-2</v>
      </c>
      <c r="AN274" s="179">
        <f>AN272</f>
        <v>3</v>
      </c>
      <c r="AQ274" s="182">
        <f>AM274*I274*0.1+AL274</f>
        <v>9.93</v>
      </c>
      <c r="AR274" s="182">
        <f t="shared" si="297"/>
        <v>0.99299999999999999</v>
      </c>
      <c r="AS274" s="183">
        <f t="shared" si="298"/>
        <v>0</v>
      </c>
      <c r="AT274" s="183">
        <f t="shared" si="299"/>
        <v>2.73075</v>
      </c>
      <c r="AU274" s="182">
        <f>1333*J273*POWER(10,-6)</f>
        <v>4.4868780000000002E-4</v>
      </c>
      <c r="AV274" s="183">
        <f t="shared" si="300"/>
        <v>13.654198687799999</v>
      </c>
      <c r="AW274" s="184">
        <f t="shared" si="301"/>
        <v>0</v>
      </c>
      <c r="AX274" s="184">
        <f t="shared" si="302"/>
        <v>0</v>
      </c>
      <c r="AY274" s="184">
        <f t="shared" si="303"/>
        <v>9.8310230552160017E-5</v>
      </c>
    </row>
    <row r="275" spans="1:51" s="179" customFormat="1" x14ac:dyDescent="0.3">
      <c r="A275" s="169" t="s">
        <v>21</v>
      </c>
      <c r="B275" s="169" t="str">
        <f>B272</f>
        <v>Резервуар РВС (8718Т0001)</v>
      </c>
      <c r="C275" s="171" t="s">
        <v>199</v>
      </c>
      <c r="D275" s="172" t="s">
        <v>84</v>
      </c>
      <c r="E275" s="173">
        <v>1E-4</v>
      </c>
      <c r="F275" s="186">
        <f>F272</f>
        <v>1</v>
      </c>
      <c r="G275" s="169">
        <v>0.1</v>
      </c>
      <c r="H275" s="174">
        <f t="shared" si="293"/>
        <v>1.0000000000000001E-5</v>
      </c>
      <c r="I275" s="187">
        <f>0.15*I272</f>
        <v>510</v>
      </c>
      <c r="J275" s="176">
        <f>I275</f>
        <v>510</v>
      </c>
      <c r="K275" s="190" t="s">
        <v>179</v>
      </c>
      <c r="L275" s="191">
        <v>45390</v>
      </c>
      <c r="M275" s="179" t="str">
        <f t="shared" si="294"/>
        <v>С4</v>
      </c>
      <c r="N275" s="179" t="str">
        <f t="shared" si="295"/>
        <v>Резервуар РВС (8718Т0001)</v>
      </c>
      <c r="O275" s="179" t="str">
        <f t="shared" si="296"/>
        <v>Частичное-пожар</v>
      </c>
      <c r="P275" s="179">
        <v>18.600000000000001</v>
      </c>
      <c r="Q275" s="179">
        <v>25.8</v>
      </c>
      <c r="R275" s="179">
        <v>36.9</v>
      </c>
      <c r="S275" s="179">
        <v>68.8</v>
      </c>
      <c r="T275" s="179" t="s">
        <v>83</v>
      </c>
      <c r="U275" s="179" t="s">
        <v>83</v>
      </c>
      <c r="V275" s="179" t="s">
        <v>83</v>
      </c>
      <c r="W275" s="179" t="s">
        <v>83</v>
      </c>
      <c r="X275" s="179" t="s">
        <v>83</v>
      </c>
      <c r="Y275" s="179" t="s">
        <v>83</v>
      </c>
      <c r="Z275" s="179" t="s">
        <v>83</v>
      </c>
      <c r="AA275" s="179" t="s">
        <v>83</v>
      </c>
      <c r="AB275" s="179" t="s">
        <v>83</v>
      </c>
      <c r="AC275" s="179" t="s">
        <v>83</v>
      </c>
      <c r="AD275" s="179" t="s">
        <v>83</v>
      </c>
      <c r="AE275" s="179" t="s">
        <v>83</v>
      </c>
      <c r="AF275" s="179" t="s">
        <v>83</v>
      </c>
      <c r="AG275" s="179" t="s">
        <v>83</v>
      </c>
      <c r="AH275" s="179" t="s">
        <v>83</v>
      </c>
      <c r="AI275" s="179" t="s">
        <v>83</v>
      </c>
      <c r="AJ275" s="179">
        <v>0</v>
      </c>
      <c r="AK275" s="179">
        <v>2</v>
      </c>
      <c r="AL275" s="179">
        <f>0.1*$AL$2</f>
        <v>7.5000000000000002E-4</v>
      </c>
      <c r="AM275" s="179">
        <f>AM272</f>
        <v>2.7E-2</v>
      </c>
      <c r="AN275" s="179">
        <f>ROUNDUP(AN272/3,0)</f>
        <v>1</v>
      </c>
      <c r="AQ275" s="182">
        <f>AM275*I275+AL275</f>
        <v>13.77075</v>
      </c>
      <c r="AR275" s="182">
        <f t="shared" si="297"/>
        <v>1.377075</v>
      </c>
      <c r="AS275" s="183">
        <f t="shared" si="298"/>
        <v>0.5</v>
      </c>
      <c r="AT275" s="183">
        <f t="shared" si="299"/>
        <v>3.9119562499999998</v>
      </c>
      <c r="AU275" s="182">
        <f>10068.2*J275*POWER(10,-6)</f>
        <v>5.1347819999999995</v>
      </c>
      <c r="AV275" s="183">
        <f t="shared" si="300"/>
        <v>24.694563249999998</v>
      </c>
      <c r="AW275" s="184">
        <f t="shared" si="301"/>
        <v>0</v>
      </c>
      <c r="AX275" s="184">
        <f t="shared" si="302"/>
        <v>2.0000000000000002E-5</v>
      </c>
      <c r="AY275" s="184">
        <f t="shared" si="303"/>
        <v>2.4694563250000001E-4</v>
      </c>
    </row>
    <row r="276" spans="1:51" s="179" customFormat="1" x14ac:dyDescent="0.3">
      <c r="A276" s="169" t="s">
        <v>22</v>
      </c>
      <c r="B276" s="169" t="str">
        <f>B272</f>
        <v>Резервуар РВС (8718Т0001)</v>
      </c>
      <c r="C276" s="171" t="s">
        <v>200</v>
      </c>
      <c r="D276" s="172" t="s">
        <v>165</v>
      </c>
      <c r="E276" s="185">
        <f>E275</f>
        <v>1E-4</v>
      </c>
      <c r="F276" s="186">
        <f>F272</f>
        <v>1</v>
      </c>
      <c r="G276" s="169">
        <v>4.5000000000000005E-2</v>
      </c>
      <c r="H276" s="174">
        <f t="shared" si="293"/>
        <v>4.500000000000001E-6</v>
      </c>
      <c r="I276" s="187">
        <f>0.15*I272</f>
        <v>510</v>
      </c>
      <c r="J276" s="176">
        <f>0.15*J273</f>
        <v>5.049E-2</v>
      </c>
      <c r="K276" s="190" t="s">
        <v>180</v>
      </c>
      <c r="L276" s="191">
        <v>3</v>
      </c>
      <c r="M276" s="179" t="str">
        <f t="shared" si="294"/>
        <v>С5</v>
      </c>
      <c r="N276" s="179" t="str">
        <f t="shared" si="295"/>
        <v>Резервуар РВС (8718Т0001)</v>
      </c>
      <c r="O276" s="179" t="str">
        <f t="shared" si="296"/>
        <v>Частичное-пожар-вспышка</v>
      </c>
      <c r="P276" s="179" t="s">
        <v>83</v>
      </c>
      <c r="Q276" s="179" t="s">
        <v>83</v>
      </c>
      <c r="R276" s="179" t="s">
        <v>83</v>
      </c>
      <c r="S276" s="179" t="s">
        <v>83</v>
      </c>
      <c r="T276" s="179" t="s">
        <v>83</v>
      </c>
      <c r="U276" s="179" t="s">
        <v>83</v>
      </c>
      <c r="V276" s="179" t="s">
        <v>83</v>
      </c>
      <c r="W276" s="179" t="s">
        <v>83</v>
      </c>
      <c r="X276" s="179" t="s">
        <v>83</v>
      </c>
      <c r="Y276" s="179" t="s">
        <v>83</v>
      </c>
      <c r="Z276" s="179" t="s">
        <v>83</v>
      </c>
      <c r="AA276" s="179">
        <v>15.35</v>
      </c>
      <c r="AB276" s="179">
        <v>18.420000000000002</v>
      </c>
      <c r="AC276" s="179" t="s">
        <v>83</v>
      </c>
      <c r="AD276" s="179" t="s">
        <v>83</v>
      </c>
      <c r="AE276" s="179" t="s">
        <v>83</v>
      </c>
      <c r="AF276" s="179" t="s">
        <v>83</v>
      </c>
      <c r="AG276" s="179" t="s">
        <v>83</v>
      </c>
      <c r="AH276" s="179" t="s">
        <v>83</v>
      </c>
      <c r="AI276" s="179" t="s">
        <v>83</v>
      </c>
      <c r="AJ276" s="179">
        <v>0</v>
      </c>
      <c r="AK276" s="179">
        <v>1</v>
      </c>
      <c r="AL276" s="179">
        <f>0.1*$AL$2</f>
        <v>7.5000000000000002E-4</v>
      </c>
      <c r="AM276" s="179">
        <f>AM272</f>
        <v>2.7E-2</v>
      </c>
      <c r="AN276" s="179">
        <f>ROUNDUP(AN272/3,0)</f>
        <v>1</v>
      </c>
      <c r="AQ276" s="182">
        <f>AM276*I276+AL276</f>
        <v>13.77075</v>
      </c>
      <c r="AR276" s="182">
        <f t="shared" si="297"/>
        <v>1.377075</v>
      </c>
      <c r="AS276" s="183">
        <f t="shared" si="298"/>
        <v>0.25</v>
      </c>
      <c r="AT276" s="183">
        <f t="shared" si="299"/>
        <v>3.8494562499999998</v>
      </c>
      <c r="AU276" s="182">
        <f>10068.2*J276*POWER(10,-6)*10</f>
        <v>5.0834341800000005E-3</v>
      </c>
      <c r="AV276" s="183">
        <f t="shared" si="300"/>
        <v>19.252364684180002</v>
      </c>
      <c r="AW276" s="184">
        <f t="shared" si="301"/>
        <v>0</v>
      </c>
      <c r="AX276" s="184">
        <f t="shared" si="302"/>
        <v>4.500000000000001E-6</v>
      </c>
      <c r="AY276" s="184">
        <f t="shared" si="303"/>
        <v>8.6635641078810019E-5</v>
      </c>
    </row>
    <row r="277" spans="1:51" s="179" customFormat="1" ht="15" thickBot="1" x14ac:dyDescent="0.35">
      <c r="A277" s="169" t="s">
        <v>23</v>
      </c>
      <c r="B277" s="169" t="str">
        <f>B272</f>
        <v>Резервуар РВС (8718Т0001)</v>
      </c>
      <c r="C277" s="171" t="s">
        <v>201</v>
      </c>
      <c r="D277" s="172" t="s">
        <v>61</v>
      </c>
      <c r="E277" s="185">
        <f>E275</f>
        <v>1E-4</v>
      </c>
      <c r="F277" s="186">
        <f>F272</f>
        <v>1</v>
      </c>
      <c r="G277" s="169">
        <v>0.85499999999999998</v>
      </c>
      <c r="H277" s="174">
        <f t="shared" si="293"/>
        <v>8.5500000000000005E-5</v>
      </c>
      <c r="I277" s="187">
        <f>0.15*I272</f>
        <v>510</v>
      </c>
      <c r="J277" s="189">
        <v>0</v>
      </c>
      <c r="K277" s="192" t="s">
        <v>191</v>
      </c>
      <c r="L277" s="192">
        <v>9</v>
      </c>
      <c r="M277" s="179" t="str">
        <f t="shared" si="294"/>
        <v>С6</v>
      </c>
      <c r="N277" s="179" t="str">
        <f t="shared" si="295"/>
        <v>Резервуар РВС (8718Т0001)</v>
      </c>
      <c r="O277" s="179" t="str">
        <f t="shared" si="296"/>
        <v>Частичное-ликвидация</v>
      </c>
      <c r="P277" s="179" t="s">
        <v>83</v>
      </c>
      <c r="Q277" s="179" t="s">
        <v>83</v>
      </c>
      <c r="R277" s="179" t="s">
        <v>83</v>
      </c>
      <c r="S277" s="179" t="s">
        <v>83</v>
      </c>
      <c r="T277" s="179" t="s">
        <v>83</v>
      </c>
      <c r="U277" s="179" t="s">
        <v>83</v>
      </c>
      <c r="V277" s="179" t="s">
        <v>83</v>
      </c>
      <c r="W277" s="179" t="s">
        <v>83</v>
      </c>
      <c r="X277" s="179" t="s">
        <v>83</v>
      </c>
      <c r="Y277" s="179" t="s">
        <v>83</v>
      </c>
      <c r="Z277" s="179" t="s">
        <v>83</v>
      </c>
      <c r="AA277" s="179" t="s">
        <v>83</v>
      </c>
      <c r="AB277" s="179" t="s">
        <v>83</v>
      </c>
      <c r="AC277" s="179" t="s">
        <v>83</v>
      </c>
      <c r="AD277" s="179" t="s">
        <v>83</v>
      </c>
      <c r="AE277" s="179" t="s">
        <v>83</v>
      </c>
      <c r="AF277" s="179" t="s">
        <v>83</v>
      </c>
      <c r="AG277" s="179" t="s">
        <v>83</v>
      </c>
      <c r="AH277" s="179" t="s">
        <v>83</v>
      </c>
      <c r="AI277" s="179" t="s">
        <v>83</v>
      </c>
      <c r="AJ277" s="179">
        <v>0</v>
      </c>
      <c r="AK277" s="179">
        <v>0</v>
      </c>
      <c r="AL277" s="179">
        <f>0.1*$AL$2</f>
        <v>7.5000000000000002E-4</v>
      </c>
      <c r="AM277" s="179">
        <f>AM272</f>
        <v>2.7E-2</v>
      </c>
      <c r="AN277" s="179">
        <f>ROUNDUP(AN272/3,0)</f>
        <v>1</v>
      </c>
      <c r="AQ277" s="182">
        <f>AM277*I277*0.1+AL277</f>
        <v>1.37775</v>
      </c>
      <c r="AR277" s="182">
        <f t="shared" si="297"/>
        <v>0.13777500000000001</v>
      </c>
      <c r="AS277" s="183">
        <f t="shared" si="298"/>
        <v>0</v>
      </c>
      <c r="AT277" s="183">
        <f t="shared" si="299"/>
        <v>0.37888125</v>
      </c>
      <c r="AU277" s="182">
        <f>1333*J276*POWER(10,-6)</f>
        <v>6.7303169999999987E-5</v>
      </c>
      <c r="AV277" s="183">
        <f t="shared" si="300"/>
        <v>1.8944735531700001</v>
      </c>
      <c r="AW277" s="184">
        <f t="shared" si="301"/>
        <v>0</v>
      </c>
      <c r="AX277" s="184">
        <f t="shared" si="302"/>
        <v>0</v>
      </c>
      <c r="AY277" s="184">
        <f t="shared" si="303"/>
        <v>1.6197748879603503E-4</v>
      </c>
    </row>
    <row r="278" spans="1:51" s="179" customFormat="1" x14ac:dyDescent="0.3">
      <c r="A278" s="180"/>
      <c r="B278" s="180"/>
      <c r="D278" s="271"/>
      <c r="E278" s="272"/>
      <c r="F278" s="273"/>
      <c r="G278" s="180"/>
      <c r="H278" s="184"/>
      <c r="I278" s="183"/>
      <c r="J278" s="180"/>
      <c r="K278" s="180"/>
      <c r="L278" s="180"/>
      <c r="AQ278" s="182"/>
      <c r="AR278" s="182"/>
      <c r="AS278" s="183"/>
      <c r="AT278" s="183"/>
      <c r="AU278" s="182"/>
      <c r="AV278" s="183"/>
      <c r="AW278" s="184"/>
      <c r="AX278" s="184"/>
      <c r="AY278" s="184"/>
    </row>
    <row r="279" spans="1:51" s="179" customFormat="1" x14ac:dyDescent="0.3">
      <c r="A279" s="180"/>
      <c r="B279" s="180"/>
      <c r="D279" s="271"/>
      <c r="E279" s="272"/>
      <c r="F279" s="273"/>
      <c r="G279" s="180"/>
      <c r="H279" s="184"/>
      <c r="I279" s="183"/>
      <c r="J279" s="180"/>
      <c r="K279" s="180"/>
      <c r="L279" s="180"/>
      <c r="AQ279" s="182"/>
      <c r="AR279" s="182"/>
      <c r="AS279" s="183"/>
      <c r="AT279" s="183"/>
      <c r="AU279" s="182"/>
      <c r="AV279" s="183"/>
      <c r="AW279" s="184"/>
      <c r="AX279" s="184"/>
      <c r="AY279" s="184"/>
    </row>
    <row r="280" spans="1:51" s="179" customFormat="1" x14ac:dyDescent="0.3">
      <c r="A280" s="180"/>
      <c r="B280" s="180"/>
      <c r="D280" s="271"/>
      <c r="E280" s="272"/>
      <c r="F280" s="273"/>
      <c r="G280" s="180"/>
      <c r="H280" s="184"/>
      <c r="I280" s="183"/>
      <c r="J280" s="180"/>
      <c r="K280" s="180"/>
      <c r="L280" s="180"/>
      <c r="AQ280" s="182"/>
      <c r="AR280" s="182"/>
      <c r="AS280" s="183"/>
      <c r="AT280" s="183"/>
      <c r="AU280" s="182"/>
      <c r="AV280" s="183"/>
      <c r="AW280" s="184"/>
      <c r="AX280" s="184"/>
      <c r="AY280" s="184"/>
    </row>
    <row r="281" spans="1:51" ht="15" thickBot="1" x14ac:dyDescent="0.35"/>
    <row r="282" spans="1:51" s="179" customFormat="1" ht="15" thickBot="1" x14ac:dyDescent="0.35">
      <c r="A282" s="169" t="s">
        <v>18</v>
      </c>
      <c r="B282" s="170" t="s">
        <v>619</v>
      </c>
      <c r="C282" s="171" t="s">
        <v>227</v>
      </c>
      <c r="D282" s="172" t="s">
        <v>183</v>
      </c>
      <c r="E282" s="173">
        <v>1.0000000000000001E-5</v>
      </c>
      <c r="F282" s="170">
        <v>1</v>
      </c>
      <c r="G282" s="169">
        <v>1.4999999999999999E-2</v>
      </c>
      <c r="H282" s="174">
        <f t="shared" ref="H282:H287" si="304">E282*F282*G282</f>
        <v>1.5000000000000002E-7</v>
      </c>
      <c r="I282" s="175">
        <f>(500/3600)*12</f>
        <v>1.6666666666666667</v>
      </c>
      <c r="J282" s="187">
        <f>I282</f>
        <v>1.6666666666666667</v>
      </c>
      <c r="K282" s="177" t="s">
        <v>175</v>
      </c>
      <c r="L282" s="422">
        <f>J282*20</f>
        <v>33.333333333333336</v>
      </c>
      <c r="M282" s="179" t="str">
        <f t="shared" ref="M282:M287" si="305">A282</f>
        <v>С1</v>
      </c>
      <c r="N282" s="179" t="str">
        <f t="shared" ref="N282:N287" si="306">B282</f>
        <v>Насос центробежный (8722P0002A)</v>
      </c>
      <c r="O282" s="179" t="str">
        <f t="shared" ref="O282:O287" si="307">D282</f>
        <v>Полное-факел</v>
      </c>
      <c r="P282" s="179" t="s">
        <v>83</v>
      </c>
      <c r="Q282" s="179" t="s">
        <v>83</v>
      </c>
      <c r="R282" s="179" t="s">
        <v>83</v>
      </c>
      <c r="S282" s="179" t="s">
        <v>83</v>
      </c>
      <c r="T282" s="179" t="s">
        <v>83</v>
      </c>
      <c r="U282" s="179" t="s">
        <v>83</v>
      </c>
      <c r="V282" s="179" t="s">
        <v>83</v>
      </c>
      <c r="W282" s="179" t="s">
        <v>83</v>
      </c>
      <c r="X282" s="179" t="s">
        <v>83</v>
      </c>
      <c r="Y282" s="179" t="s">
        <v>83</v>
      </c>
      <c r="Z282" s="179" t="s">
        <v>83</v>
      </c>
      <c r="AA282" s="179" t="s">
        <v>83</v>
      </c>
      <c r="AB282" s="179" t="s">
        <v>83</v>
      </c>
      <c r="AC282" s="179" t="s">
        <v>83</v>
      </c>
      <c r="AD282" s="179" t="s">
        <v>83</v>
      </c>
      <c r="AE282" s="179" t="s">
        <v>83</v>
      </c>
      <c r="AF282" s="179" t="s">
        <v>83</v>
      </c>
      <c r="AG282" s="179" t="s">
        <v>83</v>
      </c>
      <c r="AH282" s="179" t="s">
        <v>83</v>
      </c>
      <c r="AI282" s="179" t="s">
        <v>83</v>
      </c>
      <c r="AJ282" s="180">
        <v>1</v>
      </c>
      <c r="AK282" s="180">
        <v>2</v>
      </c>
      <c r="AL282" s="181">
        <v>0.75</v>
      </c>
      <c r="AM282" s="181">
        <v>2.7E-2</v>
      </c>
      <c r="AN282" s="181">
        <v>3</v>
      </c>
      <c r="AQ282" s="182">
        <f>AM282*I282+AL282</f>
        <v>0.79500000000000004</v>
      </c>
      <c r="AR282" s="182">
        <f t="shared" ref="AR282:AR287" si="308">0.1*AQ282</f>
        <v>7.9500000000000015E-2</v>
      </c>
      <c r="AS282" s="183">
        <f t="shared" ref="AS282:AS287" si="309">AJ282*3+0.25*AK282</f>
        <v>3.5</v>
      </c>
      <c r="AT282" s="183">
        <f t="shared" ref="AT282:AT287" si="310">SUM(AQ282:AS282)/4</f>
        <v>1.0936250000000001</v>
      </c>
      <c r="AU282" s="182">
        <f>10068.2*J282*POWER(10,-6)</f>
        <v>1.6780333333333335E-2</v>
      </c>
      <c r="AV282" s="183">
        <f t="shared" ref="AV282:AV287" si="311">AU282+AT282+AS282+AR282+AQ282</f>
        <v>5.4849053333333337</v>
      </c>
      <c r="AW282" s="184">
        <f t="shared" ref="AW282:AW287" si="312">AJ282*H282</f>
        <v>1.5000000000000002E-7</v>
      </c>
      <c r="AX282" s="184">
        <f t="shared" ref="AX282:AX287" si="313">H282*AK282</f>
        <v>3.0000000000000004E-7</v>
      </c>
      <c r="AY282" s="184">
        <f t="shared" ref="AY282:AY287" si="314">H282*AV282</f>
        <v>8.2273580000000014E-7</v>
      </c>
    </row>
    <row r="283" spans="1:51" s="179" customFormat="1" ht="15" thickBot="1" x14ac:dyDescent="0.35">
      <c r="A283" s="169" t="s">
        <v>19</v>
      </c>
      <c r="B283" s="169" t="str">
        <f>B282</f>
        <v>Насос центробежный (8722P0002A)</v>
      </c>
      <c r="C283" s="171" t="s">
        <v>238</v>
      </c>
      <c r="D283" s="172" t="s">
        <v>59</v>
      </c>
      <c r="E283" s="185">
        <f>E282</f>
        <v>1.0000000000000001E-5</v>
      </c>
      <c r="F283" s="186">
        <f>F282</f>
        <v>1</v>
      </c>
      <c r="G283" s="169">
        <v>1.4249999999999999E-2</v>
      </c>
      <c r="H283" s="174">
        <f t="shared" si="304"/>
        <v>1.4250000000000001E-7</v>
      </c>
      <c r="I283" s="187">
        <f>I282</f>
        <v>1.6666666666666667</v>
      </c>
      <c r="J283" s="175">
        <f>I282</f>
        <v>1.6666666666666667</v>
      </c>
      <c r="K283" s="177" t="s">
        <v>176</v>
      </c>
      <c r="L283" s="178">
        <v>0</v>
      </c>
      <c r="M283" s="179" t="str">
        <f t="shared" si="305"/>
        <v>С2</v>
      </c>
      <c r="N283" s="179" t="str">
        <f t="shared" si="306"/>
        <v>Насос центробежный (8722P0002A)</v>
      </c>
      <c r="O283" s="179" t="str">
        <f t="shared" si="307"/>
        <v>Полное-пожар</v>
      </c>
      <c r="P283" s="179" t="s">
        <v>83</v>
      </c>
      <c r="Q283" s="179" t="s">
        <v>83</v>
      </c>
      <c r="R283" s="179" t="s">
        <v>83</v>
      </c>
      <c r="S283" s="179" t="s">
        <v>83</v>
      </c>
      <c r="T283" s="179" t="s">
        <v>83</v>
      </c>
      <c r="U283" s="179" t="s">
        <v>83</v>
      </c>
      <c r="V283" s="179" t="s">
        <v>83</v>
      </c>
      <c r="W283" s="179" t="s">
        <v>83</v>
      </c>
      <c r="X283" s="179" t="s">
        <v>83</v>
      </c>
      <c r="Y283" s="179" t="s">
        <v>83</v>
      </c>
      <c r="Z283" s="179" t="s">
        <v>83</v>
      </c>
      <c r="AA283" s="179" t="s">
        <v>83</v>
      </c>
      <c r="AB283" s="179" t="s">
        <v>83</v>
      </c>
      <c r="AC283" s="179" t="s">
        <v>83</v>
      </c>
      <c r="AD283" s="179" t="s">
        <v>83</v>
      </c>
      <c r="AE283" s="179" t="s">
        <v>83</v>
      </c>
      <c r="AF283" s="179" t="s">
        <v>83</v>
      </c>
      <c r="AG283" s="179" t="s">
        <v>83</v>
      </c>
      <c r="AH283" s="179" t="s">
        <v>83</v>
      </c>
      <c r="AI283" s="179" t="s">
        <v>83</v>
      </c>
      <c r="AJ283" s="180">
        <v>2</v>
      </c>
      <c r="AK283" s="180">
        <v>2</v>
      </c>
      <c r="AL283" s="179">
        <f>AL282</f>
        <v>0.75</v>
      </c>
      <c r="AM283" s="179">
        <f>AM282</f>
        <v>2.7E-2</v>
      </c>
      <c r="AN283" s="179">
        <f>AN282</f>
        <v>3</v>
      </c>
      <c r="AQ283" s="182">
        <f>AM283*I283+AL283</f>
        <v>0.79500000000000004</v>
      </c>
      <c r="AR283" s="182">
        <f t="shared" si="308"/>
        <v>7.9500000000000015E-2</v>
      </c>
      <c r="AS283" s="183">
        <f t="shared" si="309"/>
        <v>6.5</v>
      </c>
      <c r="AT283" s="183">
        <f t="shared" si="310"/>
        <v>1.8436250000000001</v>
      </c>
      <c r="AU283" s="182">
        <f>10068.2*J283*POWER(10,-6)*10</f>
        <v>0.16780333333333336</v>
      </c>
      <c r="AV283" s="183">
        <f t="shared" si="311"/>
        <v>9.3859283333333323</v>
      </c>
      <c r="AW283" s="184">
        <f t="shared" si="312"/>
        <v>2.8500000000000002E-7</v>
      </c>
      <c r="AX283" s="184">
        <f t="shared" si="313"/>
        <v>2.8500000000000002E-7</v>
      </c>
      <c r="AY283" s="184">
        <f t="shared" si="314"/>
        <v>1.3374947874999999E-6</v>
      </c>
    </row>
    <row r="284" spans="1:51" s="179" customFormat="1" x14ac:dyDescent="0.3">
      <c r="A284" s="169" t="s">
        <v>20</v>
      </c>
      <c r="B284" s="169" t="str">
        <f>B282</f>
        <v>Насос центробежный (8722P0002A)</v>
      </c>
      <c r="C284" s="171" t="s">
        <v>239</v>
      </c>
      <c r="D284" s="172" t="s">
        <v>60</v>
      </c>
      <c r="E284" s="185">
        <f>E282</f>
        <v>1.0000000000000001E-5</v>
      </c>
      <c r="F284" s="186">
        <f>F282</f>
        <v>1</v>
      </c>
      <c r="G284" s="169">
        <v>0.27074999999999999</v>
      </c>
      <c r="H284" s="174">
        <f t="shared" si="304"/>
        <v>2.7075000000000003E-6</v>
      </c>
      <c r="I284" s="187">
        <f>I282</f>
        <v>1.6666666666666667</v>
      </c>
      <c r="J284" s="169">
        <v>0</v>
      </c>
      <c r="K284" s="177" t="s">
        <v>177</v>
      </c>
      <c r="L284" s="178">
        <v>1</v>
      </c>
      <c r="M284" s="179" t="str">
        <f t="shared" si="305"/>
        <v>С3</v>
      </c>
      <c r="N284" s="179" t="str">
        <f t="shared" si="306"/>
        <v>Насос центробежный (8722P0002A)</v>
      </c>
      <c r="O284" s="179" t="str">
        <f t="shared" si="307"/>
        <v>Полное-ликвидация</v>
      </c>
      <c r="P284" s="179" t="s">
        <v>83</v>
      </c>
      <c r="Q284" s="179" t="s">
        <v>83</v>
      </c>
      <c r="R284" s="179" t="s">
        <v>83</v>
      </c>
      <c r="S284" s="179" t="s">
        <v>83</v>
      </c>
      <c r="T284" s="179" t="s">
        <v>83</v>
      </c>
      <c r="U284" s="179" t="s">
        <v>83</v>
      </c>
      <c r="V284" s="179" t="s">
        <v>83</v>
      </c>
      <c r="W284" s="179" t="s">
        <v>83</v>
      </c>
      <c r="X284" s="179" t="s">
        <v>83</v>
      </c>
      <c r="Y284" s="179" t="s">
        <v>83</v>
      </c>
      <c r="Z284" s="179" t="s">
        <v>83</v>
      </c>
      <c r="AA284" s="179" t="s">
        <v>83</v>
      </c>
      <c r="AB284" s="179" t="s">
        <v>83</v>
      </c>
      <c r="AC284" s="179" t="s">
        <v>83</v>
      </c>
      <c r="AD284" s="179" t="s">
        <v>83</v>
      </c>
      <c r="AE284" s="179" t="s">
        <v>83</v>
      </c>
      <c r="AF284" s="179" t="s">
        <v>83</v>
      </c>
      <c r="AG284" s="179" t="s">
        <v>83</v>
      </c>
      <c r="AH284" s="179" t="s">
        <v>83</v>
      </c>
      <c r="AI284" s="179" t="s">
        <v>83</v>
      </c>
      <c r="AJ284" s="179">
        <v>0</v>
      </c>
      <c r="AK284" s="179">
        <v>0</v>
      </c>
      <c r="AL284" s="179">
        <f>AL282</f>
        <v>0.75</v>
      </c>
      <c r="AM284" s="179">
        <f>AM282</f>
        <v>2.7E-2</v>
      </c>
      <c r="AN284" s="179">
        <f>AN282</f>
        <v>3</v>
      </c>
      <c r="AQ284" s="182">
        <f>AM284*I284*0.1+AL284</f>
        <v>0.75449999999999995</v>
      </c>
      <c r="AR284" s="182">
        <f t="shared" si="308"/>
        <v>7.5450000000000003E-2</v>
      </c>
      <c r="AS284" s="183">
        <f t="shared" si="309"/>
        <v>0</v>
      </c>
      <c r="AT284" s="183">
        <f t="shared" si="310"/>
        <v>0.20748749999999999</v>
      </c>
      <c r="AU284" s="182">
        <f>1333*J283*POWER(10,-6)</f>
        <v>2.2216666666666669E-3</v>
      </c>
      <c r="AV284" s="183">
        <f t="shared" si="311"/>
        <v>1.0396591666666666</v>
      </c>
      <c r="AW284" s="184">
        <f t="shared" si="312"/>
        <v>0</v>
      </c>
      <c r="AX284" s="184">
        <f t="shared" si="313"/>
        <v>0</v>
      </c>
      <c r="AY284" s="184">
        <f t="shared" si="314"/>
        <v>2.8148771937499999E-6</v>
      </c>
    </row>
    <row r="285" spans="1:51" s="179" customFormat="1" x14ac:dyDescent="0.3">
      <c r="A285" s="169" t="s">
        <v>21</v>
      </c>
      <c r="B285" s="169" t="str">
        <f>B282</f>
        <v>Насос центробежный (8722P0002A)</v>
      </c>
      <c r="C285" s="171" t="s">
        <v>230</v>
      </c>
      <c r="D285" s="172" t="s">
        <v>84</v>
      </c>
      <c r="E285" s="185">
        <f>E283</f>
        <v>1.0000000000000001E-5</v>
      </c>
      <c r="F285" s="186">
        <f>F282</f>
        <v>1</v>
      </c>
      <c r="G285" s="169">
        <v>3.4999999999999996E-2</v>
      </c>
      <c r="H285" s="174">
        <f t="shared" si="304"/>
        <v>3.4999999999999998E-7</v>
      </c>
      <c r="I285" s="187">
        <f>0.15*I282</f>
        <v>0.25</v>
      </c>
      <c r="J285" s="187">
        <f>I285</f>
        <v>0.25</v>
      </c>
      <c r="K285" s="190" t="s">
        <v>179</v>
      </c>
      <c r="L285" s="191">
        <v>45390</v>
      </c>
      <c r="M285" s="179" t="str">
        <f t="shared" si="305"/>
        <v>С4</v>
      </c>
      <c r="N285" s="179" t="str">
        <f t="shared" si="306"/>
        <v>Насос центробежный (8722P0002A)</v>
      </c>
      <c r="O285" s="179" t="str">
        <f t="shared" si="307"/>
        <v>Частичное-пожар</v>
      </c>
      <c r="P285" s="179" t="s">
        <v>83</v>
      </c>
      <c r="Q285" s="179" t="s">
        <v>83</v>
      </c>
      <c r="R285" s="179" t="s">
        <v>83</v>
      </c>
      <c r="S285" s="179" t="s">
        <v>83</v>
      </c>
      <c r="T285" s="179" t="s">
        <v>83</v>
      </c>
      <c r="U285" s="179" t="s">
        <v>83</v>
      </c>
      <c r="V285" s="179" t="s">
        <v>83</v>
      </c>
      <c r="W285" s="179" t="s">
        <v>83</v>
      </c>
      <c r="X285" s="179" t="s">
        <v>83</v>
      </c>
      <c r="Y285" s="179" t="s">
        <v>83</v>
      </c>
      <c r="Z285" s="179" t="s">
        <v>83</v>
      </c>
      <c r="AA285" s="179" t="s">
        <v>83</v>
      </c>
      <c r="AB285" s="179" t="s">
        <v>83</v>
      </c>
      <c r="AC285" s="179" t="s">
        <v>83</v>
      </c>
      <c r="AD285" s="179" t="s">
        <v>83</v>
      </c>
      <c r="AE285" s="179" t="s">
        <v>83</v>
      </c>
      <c r="AF285" s="179" t="s">
        <v>83</v>
      </c>
      <c r="AG285" s="179" t="s">
        <v>83</v>
      </c>
      <c r="AH285" s="179" t="s">
        <v>83</v>
      </c>
      <c r="AI285" s="179" t="s">
        <v>83</v>
      </c>
      <c r="AJ285" s="179">
        <v>0</v>
      </c>
      <c r="AK285" s="179">
        <v>2</v>
      </c>
      <c r="AL285" s="179">
        <f>0.1*$AL$2</f>
        <v>7.5000000000000002E-4</v>
      </c>
      <c r="AM285" s="179">
        <f>AM282</f>
        <v>2.7E-2</v>
      </c>
      <c r="AN285" s="179">
        <f>ROUNDUP(AN282/3,0)</f>
        <v>1</v>
      </c>
      <c r="AQ285" s="182">
        <f>AM285*I285+AL285</f>
        <v>7.4999999999999997E-3</v>
      </c>
      <c r="AR285" s="182">
        <f t="shared" si="308"/>
        <v>7.5000000000000002E-4</v>
      </c>
      <c r="AS285" s="183">
        <f t="shared" si="309"/>
        <v>0.5</v>
      </c>
      <c r="AT285" s="183">
        <f t="shared" si="310"/>
        <v>0.12706249999999999</v>
      </c>
      <c r="AU285" s="182">
        <f>10068.2*J285*POWER(10,-6)</f>
        <v>2.5170500000000003E-3</v>
      </c>
      <c r="AV285" s="183">
        <f t="shared" si="311"/>
        <v>0.63782954999999997</v>
      </c>
      <c r="AW285" s="184">
        <f t="shared" si="312"/>
        <v>0</v>
      </c>
      <c r="AX285" s="184">
        <f t="shared" si="313"/>
        <v>6.9999999999999997E-7</v>
      </c>
      <c r="AY285" s="184">
        <f t="shared" si="314"/>
        <v>2.2324034249999998E-7</v>
      </c>
    </row>
    <row r="286" spans="1:51" s="179" customFormat="1" x14ac:dyDescent="0.3">
      <c r="A286" s="169" t="s">
        <v>22</v>
      </c>
      <c r="B286" s="169" t="str">
        <f>B282</f>
        <v>Насос центробежный (8722P0002A)</v>
      </c>
      <c r="C286" s="171" t="s">
        <v>232</v>
      </c>
      <c r="D286" s="172" t="s">
        <v>84</v>
      </c>
      <c r="E286" s="185">
        <f>E284</f>
        <v>1.0000000000000001E-5</v>
      </c>
      <c r="F286" s="186">
        <f>F282</f>
        <v>1</v>
      </c>
      <c r="G286" s="169">
        <v>3.3249999999999995E-2</v>
      </c>
      <c r="H286" s="174">
        <f t="shared" si="304"/>
        <v>3.3249999999999999E-7</v>
      </c>
      <c r="I286" s="187">
        <f>0.15*I282</f>
        <v>0.25</v>
      </c>
      <c r="J286" s="187">
        <f>I285</f>
        <v>0.25</v>
      </c>
      <c r="K286" s="190" t="s">
        <v>180</v>
      </c>
      <c r="L286" s="191">
        <v>3</v>
      </c>
      <c r="M286" s="179" t="str">
        <f t="shared" si="305"/>
        <v>С5</v>
      </c>
      <c r="N286" s="179" t="str">
        <f t="shared" si="306"/>
        <v>Насос центробежный (8722P0002A)</v>
      </c>
      <c r="O286" s="179" t="str">
        <f t="shared" si="307"/>
        <v>Частичное-пожар</v>
      </c>
      <c r="P286" s="179" t="s">
        <v>83</v>
      </c>
      <c r="Q286" s="179" t="s">
        <v>83</v>
      </c>
      <c r="R286" s="179" t="s">
        <v>83</v>
      </c>
      <c r="S286" s="179" t="s">
        <v>83</v>
      </c>
      <c r="T286" s="179" t="s">
        <v>83</v>
      </c>
      <c r="U286" s="179" t="s">
        <v>83</v>
      </c>
      <c r="V286" s="179" t="s">
        <v>83</v>
      </c>
      <c r="W286" s="179" t="s">
        <v>83</v>
      </c>
      <c r="X286" s="179" t="s">
        <v>83</v>
      </c>
      <c r="Y286" s="179" t="s">
        <v>83</v>
      </c>
      <c r="Z286" s="179" t="s">
        <v>83</v>
      </c>
      <c r="AA286" s="179" t="s">
        <v>83</v>
      </c>
      <c r="AB286" s="179" t="s">
        <v>83</v>
      </c>
      <c r="AC286" s="179" t="s">
        <v>83</v>
      </c>
      <c r="AD286" s="179" t="s">
        <v>83</v>
      </c>
      <c r="AE286" s="179" t="s">
        <v>83</v>
      </c>
      <c r="AF286" s="179" t="s">
        <v>83</v>
      </c>
      <c r="AG286" s="179" t="s">
        <v>83</v>
      </c>
      <c r="AH286" s="179" t="s">
        <v>83</v>
      </c>
      <c r="AI286" s="179" t="s">
        <v>83</v>
      </c>
      <c r="AJ286" s="179">
        <v>0</v>
      </c>
      <c r="AK286" s="179">
        <v>1</v>
      </c>
      <c r="AL286" s="179">
        <f>0.1*$AL$2</f>
        <v>7.5000000000000002E-4</v>
      </c>
      <c r="AM286" s="179">
        <f>AM282</f>
        <v>2.7E-2</v>
      </c>
      <c r="AN286" s="179">
        <f>ROUNDUP(AN282/3,0)</f>
        <v>1</v>
      </c>
      <c r="AQ286" s="182">
        <f>AM286*I286+AL286</f>
        <v>7.4999999999999997E-3</v>
      </c>
      <c r="AR286" s="182">
        <f t="shared" si="308"/>
        <v>7.5000000000000002E-4</v>
      </c>
      <c r="AS286" s="183">
        <f t="shared" si="309"/>
        <v>0.25</v>
      </c>
      <c r="AT286" s="183">
        <f t="shared" si="310"/>
        <v>6.4562499999999995E-2</v>
      </c>
      <c r="AU286" s="182">
        <f>10068.2*J286*POWER(10,-6)*10</f>
        <v>2.5170500000000002E-2</v>
      </c>
      <c r="AV286" s="183">
        <f t="shared" si="311"/>
        <v>0.34798299999999999</v>
      </c>
      <c r="AW286" s="184">
        <f t="shared" si="312"/>
        <v>0</v>
      </c>
      <c r="AX286" s="184">
        <f t="shared" si="313"/>
        <v>3.3249999999999999E-7</v>
      </c>
      <c r="AY286" s="184">
        <f t="shared" si="314"/>
        <v>1.1570434749999999E-7</v>
      </c>
    </row>
    <row r="287" spans="1:51" s="179" customFormat="1" ht="15" thickBot="1" x14ac:dyDescent="0.35">
      <c r="A287" s="169" t="s">
        <v>23</v>
      </c>
      <c r="B287" s="169" t="str">
        <f>B282</f>
        <v>Насос центробежный (8722P0002A)</v>
      </c>
      <c r="C287" s="171" t="s">
        <v>231</v>
      </c>
      <c r="D287" s="172" t="s">
        <v>617</v>
      </c>
      <c r="E287" s="185">
        <f>E285</f>
        <v>1.0000000000000001E-5</v>
      </c>
      <c r="F287" s="186">
        <f>F282</f>
        <v>1</v>
      </c>
      <c r="G287" s="169">
        <v>0.63174999999999992</v>
      </c>
      <c r="H287" s="174">
        <f t="shared" si="304"/>
        <v>6.3175000000000001E-6</v>
      </c>
      <c r="I287" s="187">
        <f>0.15*I282</f>
        <v>0.25</v>
      </c>
      <c r="J287" s="169">
        <v>0</v>
      </c>
      <c r="K287" s="192" t="s">
        <v>191</v>
      </c>
      <c r="L287" s="192">
        <v>18</v>
      </c>
      <c r="M287" s="179" t="str">
        <f t="shared" si="305"/>
        <v>С6</v>
      </c>
      <c r="N287" s="179" t="str">
        <f t="shared" si="306"/>
        <v>Насос центробежный (8722P0002A)</v>
      </c>
      <c r="O287" s="179" t="str">
        <f t="shared" si="307"/>
        <v>Частичное-ликв</v>
      </c>
      <c r="P287" s="179" t="s">
        <v>83</v>
      </c>
      <c r="Q287" s="179" t="s">
        <v>83</v>
      </c>
      <c r="R287" s="179" t="s">
        <v>83</v>
      </c>
      <c r="S287" s="179" t="s">
        <v>83</v>
      </c>
      <c r="T287" s="179" t="s">
        <v>83</v>
      </c>
      <c r="U287" s="179" t="s">
        <v>83</v>
      </c>
      <c r="V287" s="179" t="s">
        <v>83</v>
      </c>
      <c r="W287" s="179" t="s">
        <v>83</v>
      </c>
      <c r="X287" s="179" t="s">
        <v>83</v>
      </c>
      <c r="Y287" s="179" t="s">
        <v>83</v>
      </c>
      <c r="Z287" s="179" t="s">
        <v>83</v>
      </c>
      <c r="AA287" s="179" t="s">
        <v>83</v>
      </c>
      <c r="AB287" s="179" t="s">
        <v>83</v>
      </c>
      <c r="AC287" s="179" t="s">
        <v>83</v>
      </c>
      <c r="AD287" s="179" t="s">
        <v>83</v>
      </c>
      <c r="AE287" s="179" t="s">
        <v>83</v>
      </c>
      <c r="AF287" s="179" t="s">
        <v>83</v>
      </c>
      <c r="AG287" s="179" t="s">
        <v>83</v>
      </c>
      <c r="AH287" s="179" t="s">
        <v>83</v>
      </c>
      <c r="AI287" s="179" t="s">
        <v>83</v>
      </c>
      <c r="AJ287" s="179">
        <v>0</v>
      </c>
      <c r="AK287" s="179">
        <v>0</v>
      </c>
      <c r="AL287" s="179">
        <f>0.1*$AL$2</f>
        <v>7.5000000000000002E-4</v>
      </c>
      <c r="AM287" s="179">
        <f>AM282</f>
        <v>2.7E-2</v>
      </c>
      <c r="AN287" s="179">
        <f>ROUNDUP(AN282/3,0)</f>
        <v>1</v>
      </c>
      <c r="AQ287" s="182">
        <f>AM287*I287*0.1+AL287</f>
        <v>1.4250000000000001E-3</v>
      </c>
      <c r="AR287" s="182">
        <f t="shared" si="308"/>
        <v>1.4250000000000002E-4</v>
      </c>
      <c r="AS287" s="183">
        <f t="shared" si="309"/>
        <v>0</v>
      </c>
      <c r="AT287" s="183">
        <f t="shared" si="310"/>
        <v>3.9187500000000002E-4</v>
      </c>
      <c r="AU287" s="182">
        <f>1333*J286*POWER(10,-6)</f>
        <v>3.3325E-4</v>
      </c>
      <c r="AV287" s="183">
        <f t="shared" si="311"/>
        <v>2.2926250000000004E-3</v>
      </c>
      <c r="AW287" s="184">
        <f t="shared" si="312"/>
        <v>0</v>
      </c>
      <c r="AX287" s="184">
        <f t="shared" si="313"/>
        <v>0</v>
      </c>
      <c r="AY287" s="184">
        <f t="shared" si="314"/>
        <v>1.4483658437500003E-8</v>
      </c>
    </row>
    <row r="288" spans="1:51" s="179" customFormat="1" x14ac:dyDescent="0.3">
      <c r="A288" s="180"/>
      <c r="B288" s="180"/>
      <c r="D288" s="271"/>
      <c r="E288" s="272"/>
      <c r="F288" s="273"/>
      <c r="G288" s="180"/>
      <c r="H288" s="184"/>
      <c r="I288" s="183"/>
      <c r="J288" s="180"/>
      <c r="K288" s="180"/>
      <c r="L288" s="180"/>
      <c r="AQ288" s="182"/>
      <c r="AR288" s="182"/>
      <c r="AS288" s="183"/>
      <c r="AT288" s="183"/>
      <c r="AU288" s="182"/>
      <c r="AV288" s="183"/>
      <c r="AW288" s="184"/>
      <c r="AX288" s="184"/>
      <c r="AY288" s="184"/>
    </row>
    <row r="289" spans="1:51" s="179" customFormat="1" x14ac:dyDescent="0.3">
      <c r="A289" s="180"/>
      <c r="B289" s="180"/>
      <c r="D289" s="271"/>
      <c r="E289" s="272"/>
      <c r="F289" s="273"/>
      <c r="G289" s="180"/>
      <c r="H289" s="184"/>
      <c r="I289" s="183"/>
      <c r="J289" s="180"/>
      <c r="K289" s="180"/>
      <c r="L289" s="180"/>
      <c r="AQ289" s="182"/>
      <c r="AR289" s="182"/>
      <c r="AS289" s="183"/>
      <c r="AT289" s="183"/>
      <c r="AU289" s="182"/>
      <c r="AV289" s="183"/>
      <c r="AW289" s="184"/>
      <c r="AX289" s="184"/>
      <c r="AY289" s="184"/>
    </row>
    <row r="290" spans="1:51" s="179" customFormat="1" x14ac:dyDescent="0.3">
      <c r="A290" s="180"/>
      <c r="B290" s="180"/>
      <c r="D290" s="271"/>
      <c r="E290" s="272"/>
      <c r="F290" s="273"/>
      <c r="G290" s="180"/>
      <c r="H290" s="184"/>
      <c r="I290" s="183"/>
      <c r="J290" s="180"/>
      <c r="K290" s="180"/>
      <c r="L290" s="180"/>
      <c r="AQ290" s="182"/>
      <c r="AR290" s="182"/>
      <c r="AS290" s="183"/>
      <c r="AT290" s="183"/>
      <c r="AU290" s="182"/>
      <c r="AV290" s="183"/>
      <c r="AW290" s="184"/>
      <c r="AX290" s="184"/>
      <c r="AY290" s="184"/>
    </row>
    <row r="291" spans="1:51" ht="15" thickBot="1" x14ac:dyDescent="0.35"/>
    <row r="292" spans="1:51" ht="15" thickBot="1" x14ac:dyDescent="0.35">
      <c r="A292" s="48" t="s">
        <v>18</v>
      </c>
      <c r="B292" s="294" t="s">
        <v>620</v>
      </c>
      <c r="C292" s="166" t="s">
        <v>159</v>
      </c>
      <c r="D292" s="49" t="s">
        <v>59</v>
      </c>
      <c r="E292" s="153">
        <v>9.9999999999999995E-8</v>
      </c>
      <c r="F292" s="150">
        <v>950</v>
      </c>
      <c r="G292" s="48">
        <v>0.2</v>
      </c>
      <c r="H292" s="50">
        <f t="shared" ref="H292:H297" si="315">E292*F292*G292</f>
        <v>1.9000000000000001E-5</v>
      </c>
      <c r="I292" s="151">
        <v>24.63</v>
      </c>
      <c r="J292" s="149">
        <f>I292</f>
        <v>24.63</v>
      </c>
      <c r="K292" s="159" t="s">
        <v>175</v>
      </c>
      <c r="L292" s="164">
        <f>J292*20</f>
        <v>492.59999999999997</v>
      </c>
      <c r="M292" s="92" t="str">
        <f t="shared" ref="M292:M297" si="316">A292</f>
        <v>С1</v>
      </c>
      <c r="N292" s="92" t="str">
        <f t="shared" ref="N292:N297" si="317">B292</f>
        <v>Трубопровод Легкое масло 100-Р-0080 рег. № 841</v>
      </c>
      <c r="O292" s="92" t="str">
        <f t="shared" ref="O292:O297" si="318">D292</f>
        <v>Полное-пожар</v>
      </c>
      <c r="P292" s="92">
        <v>17.100000000000001</v>
      </c>
      <c r="Q292" s="92">
        <v>23.5</v>
      </c>
      <c r="R292" s="92">
        <v>33.1</v>
      </c>
      <c r="S292" s="92">
        <v>61.2</v>
      </c>
      <c r="T292" s="92" t="s">
        <v>83</v>
      </c>
      <c r="U292" s="92" t="s">
        <v>83</v>
      </c>
      <c r="V292" s="92" t="s">
        <v>83</v>
      </c>
      <c r="W292" s="92" t="s">
        <v>83</v>
      </c>
      <c r="X292" s="92" t="s">
        <v>83</v>
      </c>
      <c r="Y292" s="92" t="s">
        <v>83</v>
      </c>
      <c r="Z292" s="92" t="s">
        <v>83</v>
      </c>
      <c r="AA292" s="92" t="s">
        <v>83</v>
      </c>
      <c r="AB292" s="92" t="s">
        <v>83</v>
      </c>
      <c r="AC292" s="92" t="s">
        <v>83</v>
      </c>
      <c r="AD292" s="92" t="s">
        <v>83</v>
      </c>
      <c r="AE292" s="92" t="s">
        <v>83</v>
      </c>
      <c r="AF292" s="92" t="s">
        <v>83</v>
      </c>
      <c r="AG292" s="92" t="s">
        <v>83</v>
      </c>
      <c r="AH292" s="92" t="s">
        <v>83</v>
      </c>
      <c r="AI292" s="92" t="s">
        <v>83</v>
      </c>
      <c r="AJ292" s="52">
        <v>1</v>
      </c>
      <c r="AK292" s="52">
        <v>2</v>
      </c>
      <c r="AL292" s="152">
        <v>0.75</v>
      </c>
      <c r="AM292" s="152">
        <v>2.7E-2</v>
      </c>
      <c r="AN292" s="152">
        <v>3</v>
      </c>
      <c r="AO292" s="92"/>
      <c r="AP292" s="92"/>
      <c r="AQ292" s="93">
        <f>AM292*I292+AL292</f>
        <v>1.4150100000000001</v>
      </c>
      <c r="AR292" s="93">
        <f t="shared" ref="AR292:AR297" si="319">0.1*AQ292</f>
        <v>0.14150100000000002</v>
      </c>
      <c r="AS292" s="94">
        <f t="shared" ref="AS292:AS297" si="320">AJ292*3+0.25*AK292</f>
        <v>3.5</v>
      </c>
      <c r="AT292" s="94">
        <f t="shared" ref="AT292:AT297" si="321">SUM(AQ292:AS292)/4</f>
        <v>1.2641277500000001</v>
      </c>
      <c r="AU292" s="93">
        <f>10068.2*J292*POWER(10,-6)</f>
        <v>0.24797976599999999</v>
      </c>
      <c r="AV292" s="94">
        <f t="shared" ref="AV292:AV297" si="322">AU292+AT292+AS292+AR292+AQ292</f>
        <v>6.5686185160000008</v>
      </c>
      <c r="AW292" s="95">
        <f t="shared" ref="AW292:AW297" si="323">AJ292*H292</f>
        <v>1.9000000000000001E-5</v>
      </c>
      <c r="AX292" s="95">
        <f t="shared" ref="AX292:AX297" si="324">H292*AK292</f>
        <v>3.8000000000000002E-5</v>
      </c>
      <c r="AY292" s="95">
        <f t="shared" ref="AY292:AY297" si="325">H292*AV292</f>
        <v>1.2480375180400001E-4</v>
      </c>
    </row>
    <row r="293" spans="1:51" ht="15" thickBot="1" x14ac:dyDescent="0.35">
      <c r="A293" s="48" t="s">
        <v>19</v>
      </c>
      <c r="B293" s="48" t="str">
        <f>B292</f>
        <v>Трубопровод Легкое масло 100-Р-0080 рег. № 841</v>
      </c>
      <c r="C293" s="166" t="s">
        <v>174</v>
      </c>
      <c r="D293" s="49" t="s">
        <v>59</v>
      </c>
      <c r="E293" s="154">
        <f>E292</f>
        <v>9.9999999999999995E-8</v>
      </c>
      <c r="F293" s="155">
        <f>F292</f>
        <v>950</v>
      </c>
      <c r="G293" s="48">
        <v>0.04</v>
      </c>
      <c r="H293" s="50">
        <f t="shared" si="315"/>
        <v>3.7999999999999996E-6</v>
      </c>
      <c r="I293" s="149">
        <f>I292</f>
        <v>24.63</v>
      </c>
      <c r="J293" s="149">
        <f>I292</f>
        <v>24.63</v>
      </c>
      <c r="K293" s="159" t="s">
        <v>176</v>
      </c>
      <c r="L293" s="164">
        <v>0</v>
      </c>
      <c r="M293" s="92" t="str">
        <f t="shared" si="316"/>
        <v>С2</v>
      </c>
      <c r="N293" s="92" t="str">
        <f t="shared" si="317"/>
        <v>Трубопровод Легкое масло 100-Р-0080 рег. № 841</v>
      </c>
      <c r="O293" s="92" t="str">
        <f t="shared" si="318"/>
        <v>Полное-пожар</v>
      </c>
      <c r="P293" s="92">
        <v>17.100000000000001</v>
      </c>
      <c r="Q293" s="92">
        <v>23.5</v>
      </c>
      <c r="R293" s="92">
        <v>33.1</v>
      </c>
      <c r="S293" s="92">
        <v>61.2</v>
      </c>
      <c r="T293" s="92" t="s">
        <v>83</v>
      </c>
      <c r="U293" s="92" t="s">
        <v>83</v>
      </c>
      <c r="V293" s="92" t="s">
        <v>83</v>
      </c>
      <c r="W293" s="92" t="s">
        <v>83</v>
      </c>
      <c r="X293" s="92" t="s">
        <v>83</v>
      </c>
      <c r="Y293" s="92" t="s">
        <v>83</v>
      </c>
      <c r="Z293" s="92" t="s">
        <v>83</v>
      </c>
      <c r="AA293" s="92" t="s">
        <v>83</v>
      </c>
      <c r="AB293" s="92" t="s">
        <v>83</v>
      </c>
      <c r="AC293" s="92" t="s">
        <v>83</v>
      </c>
      <c r="AD293" s="92" t="s">
        <v>83</v>
      </c>
      <c r="AE293" s="92" t="s">
        <v>83</v>
      </c>
      <c r="AF293" s="92" t="s">
        <v>83</v>
      </c>
      <c r="AG293" s="92" t="s">
        <v>83</v>
      </c>
      <c r="AH293" s="92" t="s">
        <v>83</v>
      </c>
      <c r="AI293" s="92" t="s">
        <v>83</v>
      </c>
      <c r="AJ293" s="52">
        <v>2</v>
      </c>
      <c r="AK293" s="52">
        <v>2</v>
      </c>
      <c r="AL293" s="92">
        <f>AL292</f>
        <v>0.75</v>
      </c>
      <c r="AM293" s="92">
        <f>AM292</f>
        <v>2.7E-2</v>
      </c>
      <c r="AN293" s="92">
        <f>AN292</f>
        <v>3</v>
      </c>
      <c r="AO293" s="92"/>
      <c r="AP293" s="92"/>
      <c r="AQ293" s="93">
        <f>AM293*I293+AL293</f>
        <v>1.4150100000000001</v>
      </c>
      <c r="AR293" s="93">
        <f t="shared" si="319"/>
        <v>0.14150100000000002</v>
      </c>
      <c r="AS293" s="94">
        <f t="shared" si="320"/>
        <v>6.5</v>
      </c>
      <c r="AT293" s="94">
        <f t="shared" si="321"/>
        <v>2.0141277500000001</v>
      </c>
      <c r="AU293" s="93">
        <f>10068.2*J293*POWER(10,-6)*10</f>
        <v>2.47979766</v>
      </c>
      <c r="AV293" s="94">
        <f t="shared" si="322"/>
        <v>12.55043641</v>
      </c>
      <c r="AW293" s="95">
        <f t="shared" si="323"/>
        <v>7.5999999999999992E-6</v>
      </c>
      <c r="AX293" s="95">
        <f t="shared" si="324"/>
        <v>7.5999999999999992E-6</v>
      </c>
      <c r="AY293" s="95">
        <f t="shared" si="325"/>
        <v>4.7691658357999994E-5</v>
      </c>
    </row>
    <row r="294" spans="1:51" x14ac:dyDescent="0.3">
      <c r="A294" s="48" t="s">
        <v>20</v>
      </c>
      <c r="B294" s="48" t="str">
        <f>B292</f>
        <v>Трубопровод Легкое масло 100-Р-0080 рег. № 841</v>
      </c>
      <c r="C294" s="166" t="s">
        <v>161</v>
      </c>
      <c r="D294" s="49" t="s">
        <v>60</v>
      </c>
      <c r="E294" s="154">
        <f>E292</f>
        <v>9.9999999999999995E-8</v>
      </c>
      <c r="F294" s="155">
        <f>F292</f>
        <v>950</v>
      </c>
      <c r="G294" s="48">
        <v>0.76</v>
      </c>
      <c r="H294" s="50">
        <f t="shared" si="315"/>
        <v>7.2199999999999993E-5</v>
      </c>
      <c r="I294" s="149">
        <f>I292</f>
        <v>24.63</v>
      </c>
      <c r="J294" s="48">
        <v>0</v>
      </c>
      <c r="K294" s="159" t="s">
        <v>177</v>
      </c>
      <c r="L294" s="164">
        <v>0</v>
      </c>
      <c r="M294" s="92" t="str">
        <f t="shared" si="316"/>
        <v>С3</v>
      </c>
      <c r="N294" s="92" t="str">
        <f t="shared" si="317"/>
        <v>Трубопровод Легкое масло 100-Р-0080 рег. № 841</v>
      </c>
      <c r="O294" s="92" t="str">
        <f t="shared" si="318"/>
        <v>Полное-ликвидация</v>
      </c>
      <c r="P294" s="92" t="s">
        <v>83</v>
      </c>
      <c r="Q294" s="92" t="s">
        <v>83</v>
      </c>
      <c r="R294" s="92" t="s">
        <v>83</v>
      </c>
      <c r="S294" s="92" t="s">
        <v>83</v>
      </c>
      <c r="T294" s="92" t="s">
        <v>83</v>
      </c>
      <c r="U294" s="92" t="s">
        <v>83</v>
      </c>
      <c r="V294" s="92" t="s">
        <v>83</v>
      </c>
      <c r="W294" s="92" t="s">
        <v>83</v>
      </c>
      <c r="X294" s="92" t="s">
        <v>83</v>
      </c>
      <c r="Y294" s="92" t="s">
        <v>83</v>
      </c>
      <c r="Z294" s="92" t="s">
        <v>83</v>
      </c>
      <c r="AA294" s="92" t="s">
        <v>83</v>
      </c>
      <c r="AB294" s="92" t="s">
        <v>83</v>
      </c>
      <c r="AC294" s="92" t="s">
        <v>83</v>
      </c>
      <c r="AD294" s="92" t="s">
        <v>83</v>
      </c>
      <c r="AE294" s="92" t="s">
        <v>83</v>
      </c>
      <c r="AF294" s="92" t="s">
        <v>83</v>
      </c>
      <c r="AG294" s="92" t="s">
        <v>83</v>
      </c>
      <c r="AH294" s="92" t="s">
        <v>83</v>
      </c>
      <c r="AI294" s="92" t="s">
        <v>83</v>
      </c>
      <c r="AJ294" s="92">
        <v>0</v>
      </c>
      <c r="AK294" s="92">
        <v>0</v>
      </c>
      <c r="AL294" s="92">
        <f>AL292</f>
        <v>0.75</v>
      </c>
      <c r="AM294" s="92">
        <f>AM292</f>
        <v>2.7E-2</v>
      </c>
      <c r="AN294" s="92">
        <f>AN292</f>
        <v>3</v>
      </c>
      <c r="AO294" s="92"/>
      <c r="AP294" s="92"/>
      <c r="AQ294" s="93">
        <f>AM294*I294*0.1+AL294</f>
        <v>0.81650100000000003</v>
      </c>
      <c r="AR294" s="93">
        <f t="shared" si="319"/>
        <v>8.1650100000000003E-2</v>
      </c>
      <c r="AS294" s="94">
        <f t="shared" si="320"/>
        <v>0</v>
      </c>
      <c r="AT294" s="94">
        <f t="shared" si="321"/>
        <v>0.224537775</v>
      </c>
      <c r="AU294" s="93">
        <f>1333*J293*POWER(10,-6)</f>
        <v>3.283179E-2</v>
      </c>
      <c r="AV294" s="94">
        <f t="shared" si="322"/>
        <v>1.1555206650000001</v>
      </c>
      <c r="AW294" s="95">
        <f t="shared" si="323"/>
        <v>0</v>
      </c>
      <c r="AX294" s="95">
        <f t="shared" si="324"/>
        <v>0</v>
      </c>
      <c r="AY294" s="95">
        <f t="shared" si="325"/>
        <v>8.3428592012999998E-5</v>
      </c>
    </row>
    <row r="295" spans="1:51" x14ac:dyDescent="0.3">
      <c r="A295" s="48" t="s">
        <v>21</v>
      </c>
      <c r="B295" s="48" t="str">
        <f>B292</f>
        <v>Трубопровод Легкое масло 100-Р-0080 рег. № 841</v>
      </c>
      <c r="C295" s="166" t="s">
        <v>162</v>
      </c>
      <c r="D295" s="49" t="s">
        <v>84</v>
      </c>
      <c r="E295" s="153">
        <v>5.0000000000000004E-6</v>
      </c>
      <c r="F295" s="155">
        <f>F292</f>
        <v>950</v>
      </c>
      <c r="G295" s="48">
        <v>0.2</v>
      </c>
      <c r="H295" s="50">
        <f t="shared" si="315"/>
        <v>9.5000000000000021E-4</v>
      </c>
      <c r="I295" s="149">
        <f>0.15*I292</f>
        <v>3.6944999999999997</v>
      </c>
      <c r="J295" s="149">
        <f>I295</f>
        <v>3.6944999999999997</v>
      </c>
      <c r="K295" s="161" t="s">
        <v>179</v>
      </c>
      <c r="L295" s="165">
        <v>45390</v>
      </c>
      <c r="M295" s="92" t="str">
        <f t="shared" si="316"/>
        <v>С4</v>
      </c>
      <c r="N295" s="92" t="str">
        <f t="shared" si="317"/>
        <v>Трубопровод Легкое масло 100-Р-0080 рег. № 841</v>
      </c>
      <c r="O295" s="92" t="str">
        <f t="shared" si="318"/>
        <v>Частичное-пожар</v>
      </c>
      <c r="P295" s="92">
        <v>12.8</v>
      </c>
      <c r="Q295" s="92">
        <v>16.399999999999999</v>
      </c>
      <c r="R295" s="92">
        <v>21.7</v>
      </c>
      <c r="S295" s="92">
        <v>37.299999999999997</v>
      </c>
      <c r="T295" s="92" t="s">
        <v>83</v>
      </c>
      <c r="U295" s="92" t="s">
        <v>83</v>
      </c>
      <c r="V295" s="92" t="s">
        <v>83</v>
      </c>
      <c r="W295" s="92" t="s">
        <v>83</v>
      </c>
      <c r="X295" s="92" t="s">
        <v>83</v>
      </c>
      <c r="Y295" s="92" t="s">
        <v>83</v>
      </c>
      <c r="Z295" s="92" t="s">
        <v>83</v>
      </c>
      <c r="AA295" s="92" t="s">
        <v>83</v>
      </c>
      <c r="AB295" s="92" t="s">
        <v>83</v>
      </c>
      <c r="AC295" s="92" t="s">
        <v>83</v>
      </c>
      <c r="AD295" s="92" t="s">
        <v>83</v>
      </c>
      <c r="AE295" s="92" t="s">
        <v>83</v>
      </c>
      <c r="AF295" s="92" t="s">
        <v>83</v>
      </c>
      <c r="AG295" s="92" t="s">
        <v>83</v>
      </c>
      <c r="AH295" s="92" t="s">
        <v>83</v>
      </c>
      <c r="AI295" s="92" t="s">
        <v>83</v>
      </c>
      <c r="AJ295" s="92">
        <v>0</v>
      </c>
      <c r="AK295" s="92">
        <v>2</v>
      </c>
      <c r="AL295" s="92">
        <f>0.1*$AL$2</f>
        <v>7.5000000000000002E-4</v>
      </c>
      <c r="AM295" s="92">
        <f>AM292</f>
        <v>2.7E-2</v>
      </c>
      <c r="AN295" s="92">
        <f>ROUNDUP(AN292/3,0)</f>
        <v>1</v>
      </c>
      <c r="AO295" s="92"/>
      <c r="AP295" s="92"/>
      <c r="AQ295" s="93">
        <f>AM295*I295+AL295</f>
        <v>0.10050149999999999</v>
      </c>
      <c r="AR295" s="93">
        <f t="shared" si="319"/>
        <v>1.0050150000000001E-2</v>
      </c>
      <c r="AS295" s="94">
        <f t="shared" si="320"/>
        <v>0.5</v>
      </c>
      <c r="AT295" s="94">
        <f t="shared" si="321"/>
        <v>0.1526379125</v>
      </c>
      <c r="AU295" s="93">
        <f>10068.2*J295*POWER(10,-6)</f>
        <v>3.7196964899999997E-2</v>
      </c>
      <c r="AV295" s="94">
        <f t="shared" si="322"/>
        <v>0.80038652740000005</v>
      </c>
      <c r="AW295" s="95">
        <f t="shared" si="323"/>
        <v>0</v>
      </c>
      <c r="AX295" s="95">
        <f t="shared" si="324"/>
        <v>1.9000000000000004E-3</v>
      </c>
      <c r="AY295" s="95">
        <f t="shared" si="325"/>
        <v>7.6036720103000023E-4</v>
      </c>
    </row>
    <row r="296" spans="1:51" x14ac:dyDescent="0.3">
      <c r="A296" s="48" t="s">
        <v>22</v>
      </c>
      <c r="B296" s="48" t="str">
        <f>B292</f>
        <v>Трубопровод Легкое масло 100-Р-0080 рег. № 841</v>
      </c>
      <c r="C296" s="166" t="s">
        <v>190</v>
      </c>
      <c r="D296" s="49" t="s">
        <v>84</v>
      </c>
      <c r="E296" s="154">
        <f>E295</f>
        <v>5.0000000000000004E-6</v>
      </c>
      <c r="F296" s="155">
        <f>F292</f>
        <v>950</v>
      </c>
      <c r="G296" s="48">
        <v>0.04</v>
      </c>
      <c r="H296" s="50">
        <f t="shared" si="315"/>
        <v>1.9000000000000004E-4</v>
      </c>
      <c r="I296" s="149">
        <f>0.15*I292</f>
        <v>3.6944999999999997</v>
      </c>
      <c r="J296" s="149">
        <f>I295</f>
        <v>3.6944999999999997</v>
      </c>
      <c r="K296" s="161" t="s">
        <v>180</v>
      </c>
      <c r="L296" s="165">
        <v>3</v>
      </c>
      <c r="M296" s="92" t="str">
        <f t="shared" si="316"/>
        <v>С5</v>
      </c>
      <c r="N296" s="92" t="str">
        <f t="shared" si="317"/>
        <v>Трубопровод Легкое масло 100-Р-0080 рег. № 841</v>
      </c>
      <c r="O296" s="92" t="str">
        <f t="shared" si="318"/>
        <v>Частичное-пожар</v>
      </c>
      <c r="P296" s="92">
        <v>12.8</v>
      </c>
      <c r="Q296" s="92">
        <v>16.399999999999999</v>
      </c>
      <c r="R296" s="92">
        <v>21.7</v>
      </c>
      <c r="S296" s="92">
        <v>37.299999999999997</v>
      </c>
      <c r="T296" s="92" t="s">
        <v>83</v>
      </c>
      <c r="U296" s="92" t="s">
        <v>83</v>
      </c>
      <c r="V296" s="92" t="s">
        <v>83</v>
      </c>
      <c r="W296" s="92" t="s">
        <v>83</v>
      </c>
      <c r="X296" s="92" t="s">
        <v>83</v>
      </c>
      <c r="Y296" s="92" t="s">
        <v>83</v>
      </c>
      <c r="Z296" s="92" t="s">
        <v>83</v>
      </c>
      <c r="AA296" s="92" t="s">
        <v>83</v>
      </c>
      <c r="AB296" s="92" t="s">
        <v>83</v>
      </c>
      <c r="AC296" s="92" t="s">
        <v>83</v>
      </c>
      <c r="AD296" s="92" t="s">
        <v>83</v>
      </c>
      <c r="AE296" s="92" t="s">
        <v>83</v>
      </c>
      <c r="AF296" s="92" t="s">
        <v>83</v>
      </c>
      <c r="AG296" s="92" t="s">
        <v>83</v>
      </c>
      <c r="AH296" s="92" t="s">
        <v>83</v>
      </c>
      <c r="AI296" s="92" t="s">
        <v>83</v>
      </c>
      <c r="AJ296" s="92">
        <v>0</v>
      </c>
      <c r="AK296" s="92">
        <v>1</v>
      </c>
      <c r="AL296" s="92">
        <f>0.1*$AL$2</f>
        <v>7.5000000000000002E-4</v>
      </c>
      <c r="AM296" s="92">
        <f>AM292</f>
        <v>2.7E-2</v>
      </c>
      <c r="AN296" s="92">
        <f>ROUNDUP(AN292/3,0)</f>
        <v>1</v>
      </c>
      <c r="AO296" s="92"/>
      <c r="AP296" s="92"/>
      <c r="AQ296" s="93">
        <f>AM296*I296+AL296</f>
        <v>0.10050149999999999</v>
      </c>
      <c r="AR296" s="93">
        <f t="shared" si="319"/>
        <v>1.0050150000000001E-2</v>
      </c>
      <c r="AS296" s="94">
        <f t="shared" si="320"/>
        <v>0.25</v>
      </c>
      <c r="AT296" s="94">
        <f t="shared" si="321"/>
        <v>9.01379125E-2</v>
      </c>
      <c r="AU296" s="93">
        <f>10068.2*J296*POWER(10,-6)*10</f>
        <v>0.37196964899999996</v>
      </c>
      <c r="AV296" s="94">
        <f t="shared" si="322"/>
        <v>0.82265921149999999</v>
      </c>
      <c r="AW296" s="95">
        <f t="shared" si="323"/>
        <v>0</v>
      </c>
      <c r="AX296" s="95">
        <f t="shared" si="324"/>
        <v>1.9000000000000004E-4</v>
      </c>
      <c r="AY296" s="95">
        <f t="shared" si="325"/>
        <v>1.5630525018500002E-4</v>
      </c>
    </row>
    <row r="297" spans="1:51" ht="15" thickBot="1" x14ac:dyDescent="0.35">
      <c r="A297" s="48" t="s">
        <v>23</v>
      </c>
      <c r="B297" s="48" t="str">
        <f>B292</f>
        <v>Трубопровод Легкое масло 100-Р-0080 рег. № 841</v>
      </c>
      <c r="C297" s="166" t="s">
        <v>164</v>
      </c>
      <c r="D297" s="49" t="s">
        <v>61</v>
      </c>
      <c r="E297" s="154">
        <f>E295</f>
        <v>5.0000000000000004E-6</v>
      </c>
      <c r="F297" s="155">
        <f>F292</f>
        <v>950</v>
      </c>
      <c r="G297" s="48">
        <v>0.76</v>
      </c>
      <c r="H297" s="50">
        <f t="shared" si="315"/>
        <v>3.6100000000000008E-3</v>
      </c>
      <c r="I297" s="149">
        <f>0.15*I292</f>
        <v>3.6944999999999997</v>
      </c>
      <c r="J297" s="48">
        <v>0</v>
      </c>
      <c r="K297" s="162" t="s">
        <v>191</v>
      </c>
      <c r="L297" s="168">
        <v>3</v>
      </c>
      <c r="M297" s="92" t="str">
        <f t="shared" si="316"/>
        <v>С6</v>
      </c>
      <c r="N297" s="92" t="str">
        <f t="shared" si="317"/>
        <v>Трубопровод Легкое масло 100-Р-0080 рег. № 841</v>
      </c>
      <c r="O297" s="92" t="str">
        <f t="shared" si="318"/>
        <v>Частичное-ликвидация</v>
      </c>
      <c r="P297" s="92" t="s">
        <v>83</v>
      </c>
      <c r="Q297" s="92" t="s">
        <v>83</v>
      </c>
      <c r="R297" s="92" t="s">
        <v>83</v>
      </c>
      <c r="S297" s="92" t="s">
        <v>83</v>
      </c>
      <c r="T297" s="92" t="s">
        <v>83</v>
      </c>
      <c r="U297" s="92" t="s">
        <v>83</v>
      </c>
      <c r="V297" s="92" t="s">
        <v>83</v>
      </c>
      <c r="W297" s="92" t="s">
        <v>83</v>
      </c>
      <c r="X297" s="92" t="s">
        <v>83</v>
      </c>
      <c r="Y297" s="92" t="s">
        <v>83</v>
      </c>
      <c r="Z297" s="92" t="s">
        <v>83</v>
      </c>
      <c r="AA297" s="92" t="s">
        <v>83</v>
      </c>
      <c r="AB297" s="92" t="s">
        <v>83</v>
      </c>
      <c r="AC297" s="92" t="s">
        <v>83</v>
      </c>
      <c r="AD297" s="92" t="s">
        <v>83</v>
      </c>
      <c r="AE297" s="92" t="s">
        <v>83</v>
      </c>
      <c r="AF297" s="92" t="s">
        <v>83</v>
      </c>
      <c r="AG297" s="92" t="s">
        <v>83</v>
      </c>
      <c r="AH297" s="92" t="s">
        <v>83</v>
      </c>
      <c r="AI297" s="92" t="s">
        <v>83</v>
      </c>
      <c r="AJ297" s="92">
        <v>0</v>
      </c>
      <c r="AK297" s="92">
        <v>0</v>
      </c>
      <c r="AL297" s="92">
        <f>0.1*$AL$2</f>
        <v>7.5000000000000002E-4</v>
      </c>
      <c r="AM297" s="92">
        <f>AM292</f>
        <v>2.7E-2</v>
      </c>
      <c r="AN297" s="92">
        <f>ROUNDUP(AN292/3,0)</f>
        <v>1</v>
      </c>
      <c r="AO297" s="92"/>
      <c r="AP297" s="92"/>
      <c r="AQ297" s="93">
        <f>AM297*I297*0.1+AL297</f>
        <v>1.0725150000000001E-2</v>
      </c>
      <c r="AR297" s="93">
        <f t="shared" si="319"/>
        <v>1.0725150000000002E-3</v>
      </c>
      <c r="AS297" s="94">
        <f t="shared" si="320"/>
        <v>0</v>
      </c>
      <c r="AT297" s="94">
        <f t="shared" si="321"/>
        <v>2.9494162500000001E-3</v>
      </c>
      <c r="AU297" s="93">
        <f>1333*J296*POWER(10,-6)</f>
        <v>4.9247684999999992E-3</v>
      </c>
      <c r="AV297" s="94">
        <f t="shared" si="322"/>
        <v>1.9671849749999998E-2</v>
      </c>
      <c r="AW297" s="95">
        <f t="shared" si="323"/>
        <v>0</v>
      </c>
      <c r="AX297" s="95">
        <f t="shared" si="324"/>
        <v>0</v>
      </c>
      <c r="AY297" s="95">
        <f t="shared" si="325"/>
        <v>7.1015377597500004E-5</v>
      </c>
    </row>
    <row r="298" spans="1:51" x14ac:dyDescent="0.3">
      <c r="A298" s="48"/>
      <c r="B298" s="48"/>
      <c r="C298" s="166"/>
      <c r="D298" s="49"/>
      <c r="E298" s="154"/>
      <c r="F298" s="155"/>
      <c r="G298" s="48"/>
      <c r="H298" s="50"/>
      <c r="I298" s="149"/>
      <c r="J298" s="48"/>
      <c r="K298" s="278"/>
      <c r="L298" s="279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3"/>
      <c r="AR298" s="93"/>
      <c r="AS298" s="94"/>
      <c r="AT298" s="94"/>
      <c r="AU298" s="93"/>
      <c r="AV298" s="94"/>
      <c r="AW298" s="95"/>
      <c r="AX298" s="95"/>
      <c r="AY298" s="95"/>
    </row>
    <row r="299" spans="1:51" s="267" customFormat="1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</row>
    <row r="300" spans="1:51" s="267" customFormat="1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</row>
    <row r="301" spans="1:51" ht="15" thickBot="1" x14ac:dyDescent="0.35"/>
    <row r="302" spans="1:51" s="179" customFormat="1" ht="15" thickBot="1" x14ac:dyDescent="0.35">
      <c r="A302" s="169" t="s">
        <v>18</v>
      </c>
      <c r="B302" s="312" t="s">
        <v>621</v>
      </c>
      <c r="C302" s="171" t="s">
        <v>196</v>
      </c>
      <c r="D302" s="172" t="s">
        <v>59</v>
      </c>
      <c r="E302" s="173">
        <v>1.0000000000000001E-5</v>
      </c>
      <c r="F302" s="170">
        <v>1</v>
      </c>
      <c r="G302" s="169">
        <v>0.1</v>
      </c>
      <c r="H302" s="174">
        <f t="shared" ref="H302:H307" si="326">E302*F302*G302</f>
        <v>1.0000000000000002E-6</v>
      </c>
      <c r="I302" s="175">
        <v>680</v>
      </c>
      <c r="J302" s="187">
        <f>I302</f>
        <v>680</v>
      </c>
      <c r="K302" s="177" t="s">
        <v>175</v>
      </c>
      <c r="L302" s="178">
        <v>4050</v>
      </c>
      <c r="M302" s="179" t="str">
        <f t="shared" ref="M302:M307" si="327">A302</f>
        <v>С1</v>
      </c>
      <c r="N302" s="179" t="str">
        <f t="shared" ref="N302:N307" si="328">B302</f>
        <v>Резервуар РВС (8709Т0001)</v>
      </c>
      <c r="O302" s="179" t="str">
        <f t="shared" ref="O302:O307" si="329">D302</f>
        <v>Полное-пожар</v>
      </c>
      <c r="P302" s="179" t="s">
        <v>83</v>
      </c>
      <c r="Q302" s="179" t="s">
        <v>83</v>
      </c>
      <c r="R302" s="179" t="s">
        <v>83</v>
      </c>
      <c r="S302" s="179" t="s">
        <v>83</v>
      </c>
      <c r="T302" s="179" t="s">
        <v>83</v>
      </c>
      <c r="U302" s="179" t="s">
        <v>83</v>
      </c>
      <c r="V302" s="179" t="s">
        <v>83</v>
      </c>
      <c r="W302" s="179" t="s">
        <v>83</v>
      </c>
      <c r="X302" s="179" t="s">
        <v>83</v>
      </c>
      <c r="Y302" s="179" t="s">
        <v>83</v>
      </c>
      <c r="Z302" s="179" t="s">
        <v>83</v>
      </c>
      <c r="AA302" s="179" t="s">
        <v>83</v>
      </c>
      <c r="AB302" s="179" t="s">
        <v>83</v>
      </c>
      <c r="AC302" s="179" t="s">
        <v>83</v>
      </c>
      <c r="AD302" s="179" t="s">
        <v>83</v>
      </c>
      <c r="AE302" s="179" t="s">
        <v>83</v>
      </c>
      <c r="AF302" s="179" t="s">
        <v>83</v>
      </c>
      <c r="AG302" s="179" t="s">
        <v>83</v>
      </c>
      <c r="AH302" s="179" t="s">
        <v>83</v>
      </c>
      <c r="AI302" s="179" t="s">
        <v>83</v>
      </c>
      <c r="AJ302" s="180">
        <v>1</v>
      </c>
      <c r="AK302" s="180">
        <v>2</v>
      </c>
      <c r="AL302" s="181">
        <v>0.75</v>
      </c>
      <c r="AM302" s="181">
        <v>2.7E-2</v>
      </c>
      <c r="AN302" s="181">
        <v>3</v>
      </c>
      <c r="AQ302" s="182">
        <f>AM302*I302+AL302</f>
        <v>19.11</v>
      </c>
      <c r="AR302" s="182">
        <f t="shared" ref="AR302:AR307" si="330">0.1*AQ302</f>
        <v>1.911</v>
      </c>
      <c r="AS302" s="183">
        <f t="shared" ref="AS302:AS307" si="331">AJ302*3+0.25*AK302</f>
        <v>3.5</v>
      </c>
      <c r="AT302" s="183">
        <f t="shared" ref="AT302:AT307" si="332">SUM(AQ302:AS302)/4</f>
        <v>6.1302500000000002</v>
      </c>
      <c r="AU302" s="182">
        <f>10068.2*J302*POWER(10,-6)</f>
        <v>6.8463760000000002</v>
      </c>
      <c r="AV302" s="183">
        <f t="shared" ref="AV302:AV307" si="333">AU302+AT302+AS302+AR302+AQ302</f>
        <v>37.497625999999997</v>
      </c>
      <c r="AW302" s="184">
        <f t="shared" ref="AW302:AW307" si="334">AJ302*H302</f>
        <v>1.0000000000000002E-6</v>
      </c>
      <c r="AX302" s="184">
        <f t="shared" ref="AX302:AX307" si="335">H302*AK302</f>
        <v>2.0000000000000003E-6</v>
      </c>
      <c r="AY302" s="184">
        <f t="shared" ref="AY302:AY307" si="336">H302*AV302</f>
        <v>3.7497626000000003E-5</v>
      </c>
    </row>
    <row r="303" spans="1:51" s="179" customFormat="1" ht="15" thickBot="1" x14ac:dyDescent="0.35">
      <c r="A303" s="169" t="s">
        <v>19</v>
      </c>
      <c r="B303" s="169" t="str">
        <f>B302</f>
        <v>Резервуар РВС (8709Т0001)</v>
      </c>
      <c r="C303" s="171" t="s">
        <v>205</v>
      </c>
      <c r="D303" s="172" t="s">
        <v>59</v>
      </c>
      <c r="E303" s="185">
        <f>E302</f>
        <v>1.0000000000000001E-5</v>
      </c>
      <c r="F303" s="186">
        <f>F302</f>
        <v>1</v>
      </c>
      <c r="G303" s="169">
        <v>0.18000000000000002</v>
      </c>
      <c r="H303" s="174">
        <f t="shared" si="326"/>
        <v>1.8000000000000003E-6</v>
      </c>
      <c r="I303" s="187">
        <f>I302</f>
        <v>680</v>
      </c>
      <c r="J303" s="187">
        <f>I302</f>
        <v>680</v>
      </c>
      <c r="K303" s="177" t="s">
        <v>176</v>
      </c>
      <c r="L303" s="178">
        <v>0</v>
      </c>
      <c r="M303" s="179" t="str">
        <f t="shared" si="327"/>
        <v>С2</v>
      </c>
      <c r="N303" s="179" t="str">
        <f t="shared" si="328"/>
        <v>Резервуар РВС (8709Т0001)</v>
      </c>
      <c r="O303" s="179" t="str">
        <f t="shared" si="329"/>
        <v>Полное-пожар</v>
      </c>
      <c r="P303" s="179" t="s">
        <v>83</v>
      </c>
      <c r="Q303" s="179" t="s">
        <v>83</v>
      </c>
      <c r="R303" s="179" t="s">
        <v>83</v>
      </c>
      <c r="S303" s="179" t="s">
        <v>83</v>
      </c>
      <c r="T303" s="179" t="s">
        <v>83</v>
      </c>
      <c r="U303" s="179" t="s">
        <v>83</v>
      </c>
      <c r="V303" s="179" t="s">
        <v>83</v>
      </c>
      <c r="W303" s="179" t="s">
        <v>83</v>
      </c>
      <c r="X303" s="179" t="s">
        <v>83</v>
      </c>
      <c r="Y303" s="179" t="s">
        <v>83</v>
      </c>
      <c r="Z303" s="179" t="s">
        <v>83</v>
      </c>
      <c r="AA303" s="179" t="s">
        <v>83</v>
      </c>
      <c r="AB303" s="179" t="s">
        <v>83</v>
      </c>
      <c r="AC303" s="179" t="s">
        <v>83</v>
      </c>
      <c r="AD303" s="179" t="s">
        <v>83</v>
      </c>
      <c r="AE303" s="179" t="s">
        <v>83</v>
      </c>
      <c r="AF303" s="179" t="s">
        <v>83</v>
      </c>
      <c r="AG303" s="179" t="s">
        <v>83</v>
      </c>
      <c r="AH303" s="179" t="s">
        <v>83</v>
      </c>
      <c r="AI303" s="179" t="s">
        <v>83</v>
      </c>
      <c r="AJ303" s="180">
        <v>2</v>
      </c>
      <c r="AK303" s="180">
        <v>2</v>
      </c>
      <c r="AL303" s="179">
        <f>AL302</f>
        <v>0.75</v>
      </c>
      <c r="AM303" s="179">
        <f>AM302</f>
        <v>2.7E-2</v>
      </c>
      <c r="AN303" s="179">
        <f>AN302</f>
        <v>3</v>
      </c>
      <c r="AQ303" s="182">
        <f>AM303*I303+AL303</f>
        <v>19.11</v>
      </c>
      <c r="AR303" s="182">
        <f t="shared" si="330"/>
        <v>1.911</v>
      </c>
      <c r="AS303" s="183">
        <f t="shared" si="331"/>
        <v>6.5</v>
      </c>
      <c r="AT303" s="183">
        <f t="shared" si="332"/>
        <v>6.8802500000000002</v>
      </c>
      <c r="AU303" s="182">
        <f>10068.2*J303*POWER(10,-6)*10</f>
        <v>68.463760000000008</v>
      </c>
      <c r="AV303" s="183">
        <f t="shared" si="333"/>
        <v>102.86501000000001</v>
      </c>
      <c r="AW303" s="184">
        <f t="shared" si="334"/>
        <v>3.6000000000000007E-6</v>
      </c>
      <c r="AX303" s="184">
        <f t="shared" si="335"/>
        <v>3.6000000000000007E-6</v>
      </c>
      <c r="AY303" s="184">
        <f t="shared" si="336"/>
        <v>1.8515701800000007E-4</v>
      </c>
    </row>
    <row r="304" spans="1:51" s="179" customFormat="1" x14ac:dyDescent="0.3">
      <c r="A304" s="169" t="s">
        <v>20</v>
      </c>
      <c r="B304" s="169" t="str">
        <f>B302</f>
        <v>Резервуар РВС (8709Т0001)</v>
      </c>
      <c r="C304" s="171" t="s">
        <v>198</v>
      </c>
      <c r="D304" s="172" t="s">
        <v>60</v>
      </c>
      <c r="E304" s="185">
        <f>E302</f>
        <v>1.0000000000000001E-5</v>
      </c>
      <c r="F304" s="186">
        <f>F302</f>
        <v>1</v>
      </c>
      <c r="G304" s="169">
        <v>0.72000000000000008</v>
      </c>
      <c r="H304" s="174">
        <f t="shared" si="326"/>
        <v>7.2000000000000014E-6</v>
      </c>
      <c r="I304" s="187">
        <f>I302</f>
        <v>680</v>
      </c>
      <c r="J304" s="169">
        <v>0</v>
      </c>
      <c r="K304" s="177" t="s">
        <v>177</v>
      </c>
      <c r="L304" s="178">
        <v>0</v>
      </c>
      <c r="M304" s="179" t="str">
        <f t="shared" si="327"/>
        <v>С3</v>
      </c>
      <c r="N304" s="179" t="str">
        <f t="shared" si="328"/>
        <v>Резервуар РВС (8709Т0001)</v>
      </c>
      <c r="O304" s="179" t="str">
        <f t="shared" si="329"/>
        <v>Полное-ликвидация</v>
      </c>
      <c r="P304" s="179" t="s">
        <v>83</v>
      </c>
      <c r="Q304" s="179" t="s">
        <v>83</v>
      </c>
      <c r="R304" s="179" t="s">
        <v>83</v>
      </c>
      <c r="S304" s="179" t="s">
        <v>83</v>
      </c>
      <c r="T304" s="179" t="s">
        <v>83</v>
      </c>
      <c r="U304" s="179" t="s">
        <v>83</v>
      </c>
      <c r="V304" s="179" t="s">
        <v>83</v>
      </c>
      <c r="W304" s="179" t="s">
        <v>83</v>
      </c>
      <c r="X304" s="179" t="s">
        <v>83</v>
      </c>
      <c r="Y304" s="179" t="s">
        <v>83</v>
      </c>
      <c r="Z304" s="179" t="s">
        <v>83</v>
      </c>
      <c r="AA304" s="179" t="s">
        <v>83</v>
      </c>
      <c r="AB304" s="179" t="s">
        <v>83</v>
      </c>
      <c r="AC304" s="179" t="s">
        <v>83</v>
      </c>
      <c r="AD304" s="179" t="s">
        <v>83</v>
      </c>
      <c r="AE304" s="179" t="s">
        <v>83</v>
      </c>
      <c r="AF304" s="179" t="s">
        <v>83</v>
      </c>
      <c r="AG304" s="179" t="s">
        <v>83</v>
      </c>
      <c r="AH304" s="179" t="s">
        <v>83</v>
      </c>
      <c r="AI304" s="179" t="s">
        <v>83</v>
      </c>
      <c r="AJ304" s="179">
        <v>0</v>
      </c>
      <c r="AK304" s="179">
        <v>0</v>
      </c>
      <c r="AL304" s="179">
        <f>AL302</f>
        <v>0.75</v>
      </c>
      <c r="AM304" s="179">
        <f>AM302</f>
        <v>2.7E-2</v>
      </c>
      <c r="AN304" s="179">
        <f>AN302</f>
        <v>3</v>
      </c>
      <c r="AQ304" s="182">
        <f>AM304*I304*0.1+AL304</f>
        <v>2.5860000000000003</v>
      </c>
      <c r="AR304" s="182">
        <f t="shared" si="330"/>
        <v>0.25860000000000005</v>
      </c>
      <c r="AS304" s="183">
        <f t="shared" si="331"/>
        <v>0</v>
      </c>
      <c r="AT304" s="183">
        <f t="shared" si="332"/>
        <v>0.71115000000000006</v>
      </c>
      <c r="AU304" s="182">
        <f>1333*J303*POWER(10,-6)</f>
        <v>0.90643999999999991</v>
      </c>
      <c r="AV304" s="183">
        <f t="shared" si="333"/>
        <v>4.4621899999999997</v>
      </c>
      <c r="AW304" s="184">
        <f t="shared" si="334"/>
        <v>0</v>
      </c>
      <c r="AX304" s="184">
        <f t="shared" si="335"/>
        <v>0</v>
      </c>
      <c r="AY304" s="184">
        <f t="shared" si="336"/>
        <v>3.2127768000000007E-5</v>
      </c>
    </row>
    <row r="305" spans="1:51" s="179" customFormat="1" x14ac:dyDescent="0.3">
      <c r="A305" s="169" t="s">
        <v>21</v>
      </c>
      <c r="B305" s="169" t="str">
        <f>B302</f>
        <v>Резервуар РВС (8709Т0001)</v>
      </c>
      <c r="C305" s="171" t="s">
        <v>199</v>
      </c>
      <c r="D305" s="172" t="s">
        <v>84</v>
      </c>
      <c r="E305" s="173">
        <v>1E-4</v>
      </c>
      <c r="F305" s="186">
        <f>F302</f>
        <v>1</v>
      </c>
      <c r="G305" s="169">
        <v>0.1</v>
      </c>
      <c r="H305" s="174">
        <f t="shared" si="326"/>
        <v>1.0000000000000001E-5</v>
      </c>
      <c r="I305" s="187">
        <f>0.15*I302</f>
        <v>102</v>
      </c>
      <c r="J305" s="187">
        <f>I305</f>
        <v>102</v>
      </c>
      <c r="K305" s="190" t="s">
        <v>179</v>
      </c>
      <c r="L305" s="191">
        <v>45390</v>
      </c>
      <c r="M305" s="179" t="str">
        <f t="shared" si="327"/>
        <v>С4</v>
      </c>
      <c r="N305" s="179" t="str">
        <f t="shared" si="328"/>
        <v>Резервуар РВС (8709Т0001)</v>
      </c>
      <c r="O305" s="179" t="str">
        <f t="shared" si="329"/>
        <v>Частичное-пожар</v>
      </c>
      <c r="P305" s="179" t="s">
        <v>83</v>
      </c>
      <c r="Q305" s="179" t="s">
        <v>83</v>
      </c>
      <c r="R305" s="179" t="s">
        <v>83</v>
      </c>
      <c r="S305" s="179" t="s">
        <v>83</v>
      </c>
      <c r="T305" s="179" t="s">
        <v>83</v>
      </c>
      <c r="U305" s="179" t="s">
        <v>83</v>
      </c>
      <c r="V305" s="179" t="s">
        <v>83</v>
      </c>
      <c r="W305" s="179" t="s">
        <v>83</v>
      </c>
      <c r="X305" s="179" t="s">
        <v>83</v>
      </c>
      <c r="Y305" s="179" t="s">
        <v>83</v>
      </c>
      <c r="Z305" s="179" t="s">
        <v>83</v>
      </c>
      <c r="AA305" s="179" t="s">
        <v>83</v>
      </c>
      <c r="AB305" s="179" t="s">
        <v>83</v>
      </c>
      <c r="AC305" s="179" t="s">
        <v>83</v>
      </c>
      <c r="AD305" s="179" t="s">
        <v>83</v>
      </c>
      <c r="AE305" s="179" t="s">
        <v>83</v>
      </c>
      <c r="AF305" s="179" t="s">
        <v>83</v>
      </c>
      <c r="AG305" s="179" t="s">
        <v>83</v>
      </c>
      <c r="AH305" s="179" t="s">
        <v>83</v>
      </c>
      <c r="AI305" s="179" t="s">
        <v>83</v>
      </c>
      <c r="AJ305" s="179">
        <v>0</v>
      </c>
      <c r="AK305" s="179">
        <v>2</v>
      </c>
      <c r="AL305" s="179">
        <f>0.1*$AL$2</f>
        <v>7.5000000000000002E-4</v>
      </c>
      <c r="AM305" s="179">
        <f>AM302</f>
        <v>2.7E-2</v>
      </c>
      <c r="AN305" s="179">
        <f>ROUNDUP(AN302/3,0)</f>
        <v>1</v>
      </c>
      <c r="AQ305" s="182">
        <f>AM305*I305+AL305</f>
        <v>2.75475</v>
      </c>
      <c r="AR305" s="182">
        <f t="shared" si="330"/>
        <v>0.27547500000000003</v>
      </c>
      <c r="AS305" s="183">
        <f t="shared" si="331"/>
        <v>0.5</v>
      </c>
      <c r="AT305" s="183">
        <f t="shared" si="332"/>
        <v>0.88255625000000004</v>
      </c>
      <c r="AU305" s="182">
        <f>10068.2*J305*POWER(10,-6)</f>
        <v>1.0269564</v>
      </c>
      <c r="AV305" s="183">
        <f t="shared" si="333"/>
        <v>5.4397376499999996</v>
      </c>
      <c r="AW305" s="184">
        <f t="shared" si="334"/>
        <v>0</v>
      </c>
      <c r="AX305" s="184">
        <f t="shared" si="335"/>
        <v>2.0000000000000002E-5</v>
      </c>
      <c r="AY305" s="184">
        <f t="shared" si="336"/>
        <v>5.4397376500000001E-5</v>
      </c>
    </row>
    <row r="306" spans="1:51" s="179" customFormat="1" x14ac:dyDescent="0.3">
      <c r="A306" s="169" t="s">
        <v>22</v>
      </c>
      <c r="B306" s="169" t="str">
        <f>B302</f>
        <v>Резервуар РВС (8709Т0001)</v>
      </c>
      <c r="C306" s="171" t="s">
        <v>206</v>
      </c>
      <c r="D306" s="172" t="s">
        <v>84</v>
      </c>
      <c r="E306" s="185">
        <f>E305</f>
        <v>1E-4</v>
      </c>
      <c r="F306" s="186">
        <f>F302</f>
        <v>1</v>
      </c>
      <c r="G306" s="169">
        <v>4.5000000000000005E-2</v>
      </c>
      <c r="H306" s="174">
        <f t="shared" si="326"/>
        <v>4.500000000000001E-6</v>
      </c>
      <c r="I306" s="187">
        <f>0.15*I302</f>
        <v>102</v>
      </c>
      <c r="J306" s="187">
        <f>I305</f>
        <v>102</v>
      </c>
      <c r="K306" s="190" t="s">
        <v>180</v>
      </c>
      <c r="L306" s="191">
        <v>3</v>
      </c>
      <c r="M306" s="179" t="str">
        <f t="shared" si="327"/>
        <v>С5</v>
      </c>
      <c r="N306" s="179" t="str">
        <f t="shared" si="328"/>
        <v>Резервуар РВС (8709Т0001)</v>
      </c>
      <c r="O306" s="179" t="str">
        <f t="shared" si="329"/>
        <v>Частичное-пожар</v>
      </c>
      <c r="P306" s="179" t="s">
        <v>83</v>
      </c>
      <c r="Q306" s="179" t="s">
        <v>83</v>
      </c>
      <c r="R306" s="179" t="s">
        <v>83</v>
      </c>
      <c r="S306" s="179" t="s">
        <v>83</v>
      </c>
      <c r="T306" s="179" t="s">
        <v>83</v>
      </c>
      <c r="U306" s="179" t="s">
        <v>83</v>
      </c>
      <c r="V306" s="179" t="s">
        <v>83</v>
      </c>
      <c r="W306" s="179" t="s">
        <v>83</v>
      </c>
      <c r="X306" s="179" t="s">
        <v>83</v>
      </c>
      <c r="Y306" s="179" t="s">
        <v>83</v>
      </c>
      <c r="Z306" s="179" t="s">
        <v>83</v>
      </c>
      <c r="AA306" s="179" t="s">
        <v>83</v>
      </c>
      <c r="AB306" s="179" t="s">
        <v>83</v>
      </c>
      <c r="AC306" s="179" t="s">
        <v>83</v>
      </c>
      <c r="AD306" s="179" t="s">
        <v>83</v>
      </c>
      <c r="AE306" s="179" t="s">
        <v>83</v>
      </c>
      <c r="AF306" s="179" t="s">
        <v>83</v>
      </c>
      <c r="AG306" s="179" t="s">
        <v>83</v>
      </c>
      <c r="AH306" s="179" t="s">
        <v>83</v>
      </c>
      <c r="AI306" s="179" t="s">
        <v>83</v>
      </c>
      <c r="AJ306" s="179">
        <v>0</v>
      </c>
      <c r="AK306" s="179">
        <v>1</v>
      </c>
      <c r="AL306" s="179">
        <f>0.1*$AL$2</f>
        <v>7.5000000000000002E-4</v>
      </c>
      <c r="AM306" s="179">
        <f>AM302</f>
        <v>2.7E-2</v>
      </c>
      <c r="AN306" s="179">
        <f>ROUNDUP(AN302/3,0)</f>
        <v>1</v>
      </c>
      <c r="AQ306" s="182">
        <f>AM306*I306+AL306</f>
        <v>2.75475</v>
      </c>
      <c r="AR306" s="182">
        <f t="shared" si="330"/>
        <v>0.27547500000000003</v>
      </c>
      <c r="AS306" s="183">
        <f t="shared" si="331"/>
        <v>0.25</v>
      </c>
      <c r="AT306" s="183">
        <f t="shared" si="332"/>
        <v>0.82005625000000004</v>
      </c>
      <c r="AU306" s="182">
        <f>10068.2*J306*POWER(10,-6)*10</f>
        <v>10.269563999999999</v>
      </c>
      <c r="AV306" s="183">
        <f t="shared" si="333"/>
        <v>14.369845249999999</v>
      </c>
      <c r="AW306" s="184">
        <f t="shared" si="334"/>
        <v>0</v>
      </c>
      <c r="AX306" s="184">
        <f t="shared" si="335"/>
        <v>4.500000000000001E-6</v>
      </c>
      <c r="AY306" s="184">
        <f t="shared" si="336"/>
        <v>6.4664303625000009E-5</v>
      </c>
    </row>
    <row r="307" spans="1:51" s="179" customFormat="1" ht="15" thickBot="1" x14ac:dyDescent="0.35">
      <c r="A307" s="169" t="s">
        <v>23</v>
      </c>
      <c r="B307" s="169" t="str">
        <f>B302</f>
        <v>Резервуар РВС (8709Т0001)</v>
      </c>
      <c r="C307" s="171" t="s">
        <v>201</v>
      </c>
      <c r="D307" s="172" t="s">
        <v>61</v>
      </c>
      <c r="E307" s="185">
        <f>E305</f>
        <v>1E-4</v>
      </c>
      <c r="F307" s="186">
        <f>F302</f>
        <v>1</v>
      </c>
      <c r="G307" s="169">
        <v>0.85499999999999998</v>
      </c>
      <c r="H307" s="174">
        <f t="shared" si="326"/>
        <v>8.5500000000000005E-5</v>
      </c>
      <c r="I307" s="187">
        <f>0.15*I302</f>
        <v>102</v>
      </c>
      <c r="J307" s="169">
        <v>0</v>
      </c>
      <c r="K307" s="192" t="s">
        <v>191</v>
      </c>
      <c r="L307" s="192">
        <v>11</v>
      </c>
      <c r="M307" s="179" t="str">
        <f t="shared" si="327"/>
        <v>С6</v>
      </c>
      <c r="N307" s="179" t="str">
        <f t="shared" si="328"/>
        <v>Резервуар РВС (8709Т0001)</v>
      </c>
      <c r="O307" s="179" t="str">
        <f t="shared" si="329"/>
        <v>Частичное-ликвидация</v>
      </c>
      <c r="P307" s="179" t="s">
        <v>83</v>
      </c>
      <c r="Q307" s="179" t="s">
        <v>83</v>
      </c>
      <c r="R307" s="179" t="s">
        <v>83</v>
      </c>
      <c r="S307" s="179" t="s">
        <v>83</v>
      </c>
      <c r="T307" s="179" t="s">
        <v>83</v>
      </c>
      <c r="U307" s="179" t="s">
        <v>83</v>
      </c>
      <c r="V307" s="179" t="s">
        <v>83</v>
      </c>
      <c r="W307" s="179" t="s">
        <v>83</v>
      </c>
      <c r="X307" s="179" t="s">
        <v>83</v>
      </c>
      <c r="Y307" s="179" t="s">
        <v>83</v>
      </c>
      <c r="Z307" s="179" t="s">
        <v>83</v>
      </c>
      <c r="AA307" s="179" t="s">
        <v>83</v>
      </c>
      <c r="AB307" s="179" t="s">
        <v>83</v>
      </c>
      <c r="AC307" s="179" t="s">
        <v>83</v>
      </c>
      <c r="AD307" s="179" t="s">
        <v>83</v>
      </c>
      <c r="AE307" s="179" t="s">
        <v>83</v>
      </c>
      <c r="AF307" s="179" t="s">
        <v>83</v>
      </c>
      <c r="AG307" s="179" t="s">
        <v>83</v>
      </c>
      <c r="AH307" s="179" t="s">
        <v>83</v>
      </c>
      <c r="AI307" s="179" t="s">
        <v>83</v>
      </c>
      <c r="AJ307" s="179">
        <v>0</v>
      </c>
      <c r="AK307" s="179">
        <v>0</v>
      </c>
      <c r="AL307" s="179">
        <f>0.1*$AL$2</f>
        <v>7.5000000000000002E-4</v>
      </c>
      <c r="AM307" s="179">
        <f>AM302</f>
        <v>2.7E-2</v>
      </c>
      <c r="AN307" s="179">
        <f>ROUNDUP(AN302/3,0)</f>
        <v>1</v>
      </c>
      <c r="AQ307" s="182">
        <f>AM307*I307*0.1+AL307</f>
        <v>0.27615000000000001</v>
      </c>
      <c r="AR307" s="182">
        <f t="shared" si="330"/>
        <v>2.7615000000000001E-2</v>
      </c>
      <c r="AS307" s="183">
        <f t="shared" si="331"/>
        <v>0</v>
      </c>
      <c r="AT307" s="183">
        <f t="shared" si="332"/>
        <v>7.5941250000000002E-2</v>
      </c>
      <c r="AU307" s="182">
        <f>1333*J306*POWER(10,-6)</f>
        <v>0.135966</v>
      </c>
      <c r="AV307" s="183">
        <f t="shared" si="333"/>
        <v>0.51567224999999994</v>
      </c>
      <c r="AW307" s="184">
        <f t="shared" si="334"/>
        <v>0</v>
      </c>
      <c r="AX307" s="184">
        <f t="shared" si="335"/>
        <v>0</v>
      </c>
      <c r="AY307" s="184">
        <f t="shared" si="336"/>
        <v>4.4089977374999995E-5</v>
      </c>
    </row>
    <row r="308" spans="1:51" s="179" customFormat="1" x14ac:dyDescent="0.3">
      <c r="A308" s="180"/>
      <c r="B308" s="180"/>
      <c r="D308" s="271"/>
      <c r="E308" s="272"/>
      <c r="F308" s="273"/>
      <c r="G308" s="180"/>
      <c r="H308" s="184"/>
      <c r="I308" s="183"/>
      <c r="J308" s="180"/>
      <c r="K308" s="180"/>
      <c r="L308" s="180"/>
      <c r="AQ308" s="182"/>
      <c r="AR308" s="182"/>
      <c r="AS308" s="183"/>
      <c r="AT308" s="183"/>
      <c r="AU308" s="182"/>
      <c r="AV308" s="183"/>
      <c r="AW308" s="184"/>
      <c r="AX308" s="184"/>
      <c r="AY308" s="184"/>
    </row>
    <row r="309" spans="1:51" s="179" customFormat="1" x14ac:dyDescent="0.3">
      <c r="A309" s="180"/>
      <c r="B309" s="180"/>
      <c r="D309" s="271"/>
      <c r="E309" s="272"/>
      <c r="F309" s="273"/>
      <c r="G309" s="180"/>
      <c r="H309" s="184"/>
      <c r="I309" s="183"/>
      <c r="J309" s="180"/>
      <c r="K309" s="180"/>
      <c r="L309" s="180"/>
      <c r="AQ309" s="182"/>
      <c r="AR309" s="182"/>
      <c r="AS309" s="183"/>
      <c r="AT309" s="183"/>
      <c r="AU309" s="182"/>
      <c r="AV309" s="183"/>
      <c r="AW309" s="184"/>
      <c r="AX309" s="184"/>
      <c r="AY309" s="184"/>
    </row>
    <row r="310" spans="1:51" s="179" customFormat="1" x14ac:dyDescent="0.3">
      <c r="A310" s="180"/>
      <c r="B310" s="180"/>
      <c r="D310" s="271"/>
      <c r="E310" s="272"/>
      <c r="F310" s="273"/>
      <c r="G310" s="180"/>
      <c r="H310" s="184"/>
      <c r="I310" s="183"/>
      <c r="J310" s="180"/>
      <c r="K310" s="180"/>
      <c r="L310" s="180"/>
      <c r="AQ310" s="182"/>
      <c r="AR310" s="182"/>
      <c r="AS310" s="183"/>
      <c r="AT310" s="183"/>
      <c r="AU310" s="182"/>
      <c r="AV310" s="183"/>
      <c r="AW310" s="184"/>
      <c r="AX310" s="184"/>
      <c r="AY310" s="184"/>
    </row>
    <row r="311" spans="1:51" ht="15" thickBot="1" x14ac:dyDescent="0.35"/>
    <row r="312" spans="1:51" s="179" customFormat="1" ht="15" thickBot="1" x14ac:dyDescent="0.35">
      <c r="A312" s="169" t="s">
        <v>18</v>
      </c>
      <c r="B312" s="170" t="s">
        <v>622</v>
      </c>
      <c r="C312" s="171" t="s">
        <v>227</v>
      </c>
      <c r="D312" s="172" t="s">
        <v>183</v>
      </c>
      <c r="E312" s="173">
        <v>1.0000000000000001E-5</v>
      </c>
      <c r="F312" s="170">
        <v>1</v>
      </c>
      <c r="G312" s="169">
        <v>1.4999999999999999E-2</v>
      </c>
      <c r="H312" s="174">
        <f t="shared" ref="H312:H317" si="337">E312*F312*G312</f>
        <v>1.5000000000000002E-7</v>
      </c>
      <c r="I312" s="175">
        <f>(600/3600)*12</f>
        <v>2</v>
      </c>
      <c r="J312" s="187">
        <f>I312</f>
        <v>2</v>
      </c>
      <c r="K312" s="177" t="s">
        <v>175</v>
      </c>
      <c r="L312" s="422">
        <f>J312*20</f>
        <v>40</v>
      </c>
      <c r="M312" s="179" t="str">
        <f t="shared" ref="M312:M317" si="338">A312</f>
        <v>С1</v>
      </c>
      <c r="N312" s="179" t="str">
        <f t="shared" ref="N312:N317" si="339">B312</f>
        <v>Насос центробежный (8729P0001A)</v>
      </c>
      <c r="O312" s="179" t="str">
        <f t="shared" ref="O312:O317" si="340">D312</f>
        <v>Полное-факел</v>
      </c>
      <c r="P312" s="179" t="s">
        <v>83</v>
      </c>
      <c r="Q312" s="179" t="s">
        <v>83</v>
      </c>
      <c r="R312" s="179" t="s">
        <v>83</v>
      </c>
      <c r="S312" s="179" t="s">
        <v>83</v>
      </c>
      <c r="T312" s="179" t="s">
        <v>83</v>
      </c>
      <c r="U312" s="179" t="s">
        <v>83</v>
      </c>
      <c r="V312" s="179" t="s">
        <v>83</v>
      </c>
      <c r="W312" s="179" t="s">
        <v>83</v>
      </c>
      <c r="X312" s="179" t="s">
        <v>83</v>
      </c>
      <c r="Y312" s="179" t="s">
        <v>83</v>
      </c>
      <c r="Z312" s="179" t="s">
        <v>83</v>
      </c>
      <c r="AA312" s="179" t="s">
        <v>83</v>
      </c>
      <c r="AB312" s="179" t="s">
        <v>83</v>
      </c>
      <c r="AC312" s="179" t="s">
        <v>83</v>
      </c>
      <c r="AD312" s="179" t="s">
        <v>83</v>
      </c>
      <c r="AE312" s="179" t="s">
        <v>83</v>
      </c>
      <c r="AF312" s="179" t="s">
        <v>83</v>
      </c>
      <c r="AG312" s="179" t="s">
        <v>83</v>
      </c>
      <c r="AH312" s="179" t="s">
        <v>83</v>
      </c>
      <c r="AI312" s="179" t="s">
        <v>83</v>
      </c>
      <c r="AJ312" s="180">
        <v>1</v>
      </c>
      <c r="AK312" s="180">
        <v>2</v>
      </c>
      <c r="AL312" s="181">
        <v>0.75</v>
      </c>
      <c r="AM312" s="181">
        <v>2.7E-2</v>
      </c>
      <c r="AN312" s="181">
        <v>3</v>
      </c>
      <c r="AQ312" s="182">
        <f>AM312*I312+AL312</f>
        <v>0.80400000000000005</v>
      </c>
      <c r="AR312" s="182">
        <f t="shared" ref="AR312:AR317" si="341">0.1*AQ312</f>
        <v>8.0400000000000013E-2</v>
      </c>
      <c r="AS312" s="183">
        <f t="shared" ref="AS312:AS317" si="342">AJ312*3+0.25*AK312</f>
        <v>3.5</v>
      </c>
      <c r="AT312" s="183">
        <f t="shared" ref="AT312:AT317" si="343">SUM(AQ312:AS312)/4</f>
        <v>1.0961000000000001</v>
      </c>
      <c r="AU312" s="182">
        <f>10068.2*J312*POWER(10,-6)</f>
        <v>2.0136400000000002E-2</v>
      </c>
      <c r="AV312" s="183">
        <f t="shared" ref="AV312:AV317" si="344">AU312+AT312+AS312+AR312+AQ312</f>
        <v>5.5006364000000003</v>
      </c>
      <c r="AW312" s="184">
        <f t="shared" ref="AW312:AW317" si="345">AJ312*H312</f>
        <v>1.5000000000000002E-7</v>
      </c>
      <c r="AX312" s="184">
        <f t="shared" ref="AX312:AX317" si="346">H312*AK312</f>
        <v>3.0000000000000004E-7</v>
      </c>
      <c r="AY312" s="184">
        <f t="shared" ref="AY312:AY317" si="347">H312*AV312</f>
        <v>8.250954600000002E-7</v>
      </c>
    </row>
    <row r="313" spans="1:51" s="179" customFormat="1" ht="15" thickBot="1" x14ac:dyDescent="0.35">
      <c r="A313" s="169" t="s">
        <v>19</v>
      </c>
      <c r="B313" s="169" t="str">
        <f>B312</f>
        <v>Насос центробежный (8729P0001A)</v>
      </c>
      <c r="C313" s="171" t="s">
        <v>238</v>
      </c>
      <c r="D313" s="172" t="s">
        <v>59</v>
      </c>
      <c r="E313" s="185">
        <f>E312</f>
        <v>1.0000000000000001E-5</v>
      </c>
      <c r="F313" s="186">
        <f>F312</f>
        <v>1</v>
      </c>
      <c r="G313" s="169">
        <v>1.4249999999999999E-2</v>
      </c>
      <c r="H313" s="174">
        <f t="shared" si="337"/>
        <v>1.4250000000000001E-7</v>
      </c>
      <c r="I313" s="187">
        <f>I312</f>
        <v>2</v>
      </c>
      <c r="J313" s="175">
        <f>I312</f>
        <v>2</v>
      </c>
      <c r="K313" s="177" t="s">
        <v>176</v>
      </c>
      <c r="L313" s="178">
        <v>0</v>
      </c>
      <c r="M313" s="179" t="str">
        <f t="shared" si="338"/>
        <v>С2</v>
      </c>
      <c r="N313" s="179" t="str">
        <f t="shared" si="339"/>
        <v>Насос центробежный (8729P0001A)</v>
      </c>
      <c r="O313" s="179" t="str">
        <f t="shared" si="340"/>
        <v>Полное-пожар</v>
      </c>
      <c r="P313" s="179" t="s">
        <v>83</v>
      </c>
      <c r="Q313" s="179" t="s">
        <v>83</v>
      </c>
      <c r="R313" s="179" t="s">
        <v>83</v>
      </c>
      <c r="S313" s="179" t="s">
        <v>83</v>
      </c>
      <c r="T313" s="179" t="s">
        <v>83</v>
      </c>
      <c r="U313" s="179" t="s">
        <v>83</v>
      </c>
      <c r="V313" s="179" t="s">
        <v>83</v>
      </c>
      <c r="W313" s="179" t="s">
        <v>83</v>
      </c>
      <c r="X313" s="179" t="s">
        <v>83</v>
      </c>
      <c r="Y313" s="179" t="s">
        <v>83</v>
      </c>
      <c r="Z313" s="179" t="s">
        <v>83</v>
      </c>
      <c r="AA313" s="179" t="s">
        <v>83</v>
      </c>
      <c r="AB313" s="179" t="s">
        <v>83</v>
      </c>
      <c r="AC313" s="179" t="s">
        <v>83</v>
      </c>
      <c r="AD313" s="179" t="s">
        <v>83</v>
      </c>
      <c r="AE313" s="179" t="s">
        <v>83</v>
      </c>
      <c r="AF313" s="179" t="s">
        <v>83</v>
      </c>
      <c r="AG313" s="179" t="s">
        <v>83</v>
      </c>
      <c r="AH313" s="179" t="s">
        <v>83</v>
      </c>
      <c r="AI313" s="179" t="s">
        <v>83</v>
      </c>
      <c r="AJ313" s="180">
        <v>2</v>
      </c>
      <c r="AK313" s="180">
        <v>2</v>
      </c>
      <c r="AL313" s="179">
        <f>AL312</f>
        <v>0.75</v>
      </c>
      <c r="AM313" s="179">
        <f>AM312</f>
        <v>2.7E-2</v>
      </c>
      <c r="AN313" s="179">
        <f>AN312</f>
        <v>3</v>
      </c>
      <c r="AQ313" s="182">
        <f>AM313*I313+AL313</f>
        <v>0.80400000000000005</v>
      </c>
      <c r="AR313" s="182">
        <f t="shared" si="341"/>
        <v>8.0400000000000013E-2</v>
      </c>
      <c r="AS313" s="183">
        <f t="shared" si="342"/>
        <v>6.5</v>
      </c>
      <c r="AT313" s="183">
        <f t="shared" si="343"/>
        <v>1.8461000000000001</v>
      </c>
      <c r="AU313" s="182">
        <f>10068.2*J313*POWER(10,-6)*10</f>
        <v>0.20136400000000002</v>
      </c>
      <c r="AV313" s="183">
        <f t="shared" si="344"/>
        <v>9.4318639999999991</v>
      </c>
      <c r="AW313" s="184">
        <f t="shared" si="345"/>
        <v>2.8500000000000002E-7</v>
      </c>
      <c r="AX313" s="184">
        <f t="shared" si="346"/>
        <v>2.8500000000000002E-7</v>
      </c>
      <c r="AY313" s="184">
        <f t="shared" si="347"/>
        <v>1.3440406199999999E-6</v>
      </c>
    </row>
    <row r="314" spans="1:51" s="179" customFormat="1" x14ac:dyDescent="0.3">
      <c r="A314" s="169" t="s">
        <v>20</v>
      </c>
      <c r="B314" s="169" t="str">
        <f>B312</f>
        <v>Насос центробежный (8729P0001A)</v>
      </c>
      <c r="C314" s="171" t="s">
        <v>239</v>
      </c>
      <c r="D314" s="172" t="s">
        <v>60</v>
      </c>
      <c r="E314" s="185">
        <f>E312</f>
        <v>1.0000000000000001E-5</v>
      </c>
      <c r="F314" s="186">
        <f>F312</f>
        <v>1</v>
      </c>
      <c r="G314" s="169">
        <v>0.27074999999999999</v>
      </c>
      <c r="H314" s="174">
        <f t="shared" si="337"/>
        <v>2.7075000000000003E-6</v>
      </c>
      <c r="I314" s="187">
        <f>I312</f>
        <v>2</v>
      </c>
      <c r="J314" s="169">
        <v>0</v>
      </c>
      <c r="K314" s="177" t="s">
        <v>177</v>
      </c>
      <c r="L314" s="178">
        <v>1</v>
      </c>
      <c r="M314" s="179" t="str">
        <f t="shared" si="338"/>
        <v>С3</v>
      </c>
      <c r="N314" s="179" t="str">
        <f t="shared" si="339"/>
        <v>Насос центробежный (8729P0001A)</v>
      </c>
      <c r="O314" s="179" t="str">
        <f t="shared" si="340"/>
        <v>Полное-ликвидация</v>
      </c>
      <c r="P314" s="179" t="s">
        <v>83</v>
      </c>
      <c r="Q314" s="179" t="s">
        <v>83</v>
      </c>
      <c r="R314" s="179" t="s">
        <v>83</v>
      </c>
      <c r="S314" s="179" t="s">
        <v>83</v>
      </c>
      <c r="T314" s="179" t="s">
        <v>83</v>
      </c>
      <c r="U314" s="179" t="s">
        <v>83</v>
      </c>
      <c r="V314" s="179" t="s">
        <v>83</v>
      </c>
      <c r="W314" s="179" t="s">
        <v>83</v>
      </c>
      <c r="X314" s="179" t="s">
        <v>83</v>
      </c>
      <c r="Y314" s="179" t="s">
        <v>83</v>
      </c>
      <c r="Z314" s="179" t="s">
        <v>83</v>
      </c>
      <c r="AA314" s="179" t="s">
        <v>83</v>
      </c>
      <c r="AB314" s="179" t="s">
        <v>83</v>
      </c>
      <c r="AC314" s="179" t="s">
        <v>83</v>
      </c>
      <c r="AD314" s="179" t="s">
        <v>83</v>
      </c>
      <c r="AE314" s="179" t="s">
        <v>83</v>
      </c>
      <c r="AF314" s="179" t="s">
        <v>83</v>
      </c>
      <c r="AG314" s="179" t="s">
        <v>83</v>
      </c>
      <c r="AH314" s="179" t="s">
        <v>83</v>
      </c>
      <c r="AI314" s="179" t="s">
        <v>83</v>
      </c>
      <c r="AJ314" s="179">
        <v>0</v>
      </c>
      <c r="AK314" s="179">
        <v>0</v>
      </c>
      <c r="AL314" s="179">
        <f>AL312</f>
        <v>0.75</v>
      </c>
      <c r="AM314" s="179">
        <f>AM312</f>
        <v>2.7E-2</v>
      </c>
      <c r="AN314" s="179">
        <f>AN312</f>
        <v>3</v>
      </c>
      <c r="AQ314" s="182">
        <f>AM314*I314*0.1+AL314</f>
        <v>0.75539999999999996</v>
      </c>
      <c r="AR314" s="182">
        <f t="shared" si="341"/>
        <v>7.5539999999999996E-2</v>
      </c>
      <c r="AS314" s="183">
        <f t="shared" si="342"/>
        <v>0</v>
      </c>
      <c r="AT314" s="183">
        <f t="shared" si="343"/>
        <v>0.207735</v>
      </c>
      <c r="AU314" s="182">
        <f>1333*J313*POWER(10,-6)</f>
        <v>2.666E-3</v>
      </c>
      <c r="AV314" s="183">
        <f t="shared" si="344"/>
        <v>1.0413410000000001</v>
      </c>
      <c r="AW314" s="184">
        <f t="shared" si="345"/>
        <v>0</v>
      </c>
      <c r="AX314" s="184">
        <f t="shared" si="346"/>
        <v>0</v>
      </c>
      <c r="AY314" s="184">
        <f t="shared" si="347"/>
        <v>2.8194307575000007E-6</v>
      </c>
    </row>
    <row r="315" spans="1:51" s="179" customFormat="1" x14ac:dyDescent="0.3">
      <c r="A315" s="169" t="s">
        <v>21</v>
      </c>
      <c r="B315" s="169" t="str">
        <f>B312</f>
        <v>Насос центробежный (8729P0001A)</v>
      </c>
      <c r="C315" s="171" t="s">
        <v>230</v>
      </c>
      <c r="D315" s="172" t="s">
        <v>84</v>
      </c>
      <c r="E315" s="185">
        <f>E313</f>
        <v>1.0000000000000001E-5</v>
      </c>
      <c r="F315" s="186">
        <f>F312</f>
        <v>1</v>
      </c>
      <c r="G315" s="169">
        <v>3.4999999999999996E-2</v>
      </c>
      <c r="H315" s="174">
        <f t="shared" si="337"/>
        <v>3.4999999999999998E-7</v>
      </c>
      <c r="I315" s="187">
        <f>0.15*I312</f>
        <v>0.3</v>
      </c>
      <c r="J315" s="187">
        <f>I315</f>
        <v>0.3</v>
      </c>
      <c r="K315" s="190" t="s">
        <v>179</v>
      </c>
      <c r="L315" s="191">
        <v>45390</v>
      </c>
      <c r="M315" s="179" t="str">
        <f t="shared" si="338"/>
        <v>С4</v>
      </c>
      <c r="N315" s="179" t="str">
        <f t="shared" si="339"/>
        <v>Насос центробежный (8729P0001A)</v>
      </c>
      <c r="O315" s="179" t="str">
        <f t="shared" si="340"/>
        <v>Частичное-пожар</v>
      </c>
      <c r="P315" s="179" t="s">
        <v>83</v>
      </c>
      <c r="Q315" s="179" t="s">
        <v>83</v>
      </c>
      <c r="R315" s="179" t="s">
        <v>83</v>
      </c>
      <c r="S315" s="179" t="s">
        <v>83</v>
      </c>
      <c r="T315" s="179" t="s">
        <v>83</v>
      </c>
      <c r="U315" s="179" t="s">
        <v>83</v>
      </c>
      <c r="V315" s="179" t="s">
        <v>83</v>
      </c>
      <c r="W315" s="179" t="s">
        <v>83</v>
      </c>
      <c r="X315" s="179" t="s">
        <v>83</v>
      </c>
      <c r="Y315" s="179" t="s">
        <v>83</v>
      </c>
      <c r="Z315" s="179" t="s">
        <v>83</v>
      </c>
      <c r="AA315" s="179" t="s">
        <v>83</v>
      </c>
      <c r="AB315" s="179" t="s">
        <v>83</v>
      </c>
      <c r="AC315" s="179" t="s">
        <v>83</v>
      </c>
      <c r="AD315" s="179" t="s">
        <v>83</v>
      </c>
      <c r="AE315" s="179" t="s">
        <v>83</v>
      </c>
      <c r="AF315" s="179" t="s">
        <v>83</v>
      </c>
      <c r="AG315" s="179" t="s">
        <v>83</v>
      </c>
      <c r="AH315" s="179" t="s">
        <v>83</v>
      </c>
      <c r="AI315" s="179" t="s">
        <v>83</v>
      </c>
      <c r="AJ315" s="179">
        <v>0</v>
      </c>
      <c r="AK315" s="179">
        <v>2</v>
      </c>
      <c r="AL315" s="179">
        <f>0.1*$AL$2</f>
        <v>7.5000000000000002E-4</v>
      </c>
      <c r="AM315" s="179">
        <f>AM312</f>
        <v>2.7E-2</v>
      </c>
      <c r="AN315" s="179">
        <f>ROUNDUP(AN312/3,0)</f>
        <v>1</v>
      </c>
      <c r="AQ315" s="182">
        <f>AM315*I315+AL315</f>
        <v>8.8500000000000002E-3</v>
      </c>
      <c r="AR315" s="182">
        <f t="shared" si="341"/>
        <v>8.8500000000000004E-4</v>
      </c>
      <c r="AS315" s="183">
        <f t="shared" si="342"/>
        <v>0.5</v>
      </c>
      <c r="AT315" s="183">
        <f t="shared" si="343"/>
        <v>0.12743375000000001</v>
      </c>
      <c r="AU315" s="182">
        <f>10068.2*J315*POWER(10,-6)</f>
        <v>3.02046E-3</v>
      </c>
      <c r="AV315" s="183">
        <f t="shared" si="344"/>
        <v>0.64018921000000006</v>
      </c>
      <c r="AW315" s="184">
        <f t="shared" si="345"/>
        <v>0</v>
      </c>
      <c r="AX315" s="184">
        <f t="shared" si="346"/>
        <v>6.9999999999999997E-7</v>
      </c>
      <c r="AY315" s="184">
        <f t="shared" si="347"/>
        <v>2.2406622350000001E-7</v>
      </c>
    </row>
    <row r="316" spans="1:51" s="179" customFormat="1" x14ac:dyDescent="0.3">
      <c r="A316" s="169" t="s">
        <v>22</v>
      </c>
      <c r="B316" s="169" t="str">
        <f>B312</f>
        <v>Насос центробежный (8729P0001A)</v>
      </c>
      <c r="C316" s="171" t="s">
        <v>232</v>
      </c>
      <c r="D316" s="172" t="s">
        <v>84</v>
      </c>
      <c r="E316" s="185">
        <f>E314</f>
        <v>1.0000000000000001E-5</v>
      </c>
      <c r="F316" s="186">
        <f>F312</f>
        <v>1</v>
      </c>
      <c r="G316" s="169">
        <v>3.3249999999999995E-2</v>
      </c>
      <c r="H316" s="174">
        <f t="shared" si="337"/>
        <v>3.3249999999999999E-7</v>
      </c>
      <c r="I316" s="187">
        <f>0.15*I312</f>
        <v>0.3</v>
      </c>
      <c r="J316" s="187">
        <f>I315</f>
        <v>0.3</v>
      </c>
      <c r="K316" s="190" t="s">
        <v>180</v>
      </c>
      <c r="L316" s="191">
        <v>3</v>
      </c>
      <c r="M316" s="179" t="str">
        <f t="shared" si="338"/>
        <v>С5</v>
      </c>
      <c r="N316" s="179" t="str">
        <f t="shared" si="339"/>
        <v>Насос центробежный (8729P0001A)</v>
      </c>
      <c r="O316" s="179" t="str">
        <f t="shared" si="340"/>
        <v>Частичное-пожар</v>
      </c>
      <c r="P316" s="179" t="s">
        <v>83</v>
      </c>
      <c r="Q316" s="179" t="s">
        <v>83</v>
      </c>
      <c r="R316" s="179" t="s">
        <v>83</v>
      </c>
      <c r="S316" s="179" t="s">
        <v>83</v>
      </c>
      <c r="T316" s="179" t="s">
        <v>83</v>
      </c>
      <c r="U316" s="179" t="s">
        <v>83</v>
      </c>
      <c r="V316" s="179" t="s">
        <v>83</v>
      </c>
      <c r="W316" s="179" t="s">
        <v>83</v>
      </c>
      <c r="X316" s="179" t="s">
        <v>83</v>
      </c>
      <c r="Y316" s="179" t="s">
        <v>83</v>
      </c>
      <c r="Z316" s="179" t="s">
        <v>83</v>
      </c>
      <c r="AA316" s="179" t="s">
        <v>83</v>
      </c>
      <c r="AB316" s="179" t="s">
        <v>83</v>
      </c>
      <c r="AC316" s="179" t="s">
        <v>83</v>
      </c>
      <c r="AD316" s="179" t="s">
        <v>83</v>
      </c>
      <c r="AE316" s="179" t="s">
        <v>83</v>
      </c>
      <c r="AF316" s="179" t="s">
        <v>83</v>
      </c>
      <c r="AG316" s="179" t="s">
        <v>83</v>
      </c>
      <c r="AH316" s="179" t="s">
        <v>83</v>
      </c>
      <c r="AI316" s="179" t="s">
        <v>83</v>
      </c>
      <c r="AJ316" s="179">
        <v>0</v>
      </c>
      <c r="AK316" s="179">
        <v>1</v>
      </c>
      <c r="AL316" s="179">
        <f>0.1*$AL$2</f>
        <v>7.5000000000000002E-4</v>
      </c>
      <c r="AM316" s="179">
        <f>AM312</f>
        <v>2.7E-2</v>
      </c>
      <c r="AN316" s="179">
        <f>ROUNDUP(AN312/3,0)</f>
        <v>1</v>
      </c>
      <c r="AQ316" s="182">
        <f>AM316*I316+AL316</f>
        <v>8.8500000000000002E-3</v>
      </c>
      <c r="AR316" s="182">
        <f t="shared" si="341"/>
        <v>8.8500000000000004E-4</v>
      </c>
      <c r="AS316" s="183">
        <f t="shared" si="342"/>
        <v>0.25</v>
      </c>
      <c r="AT316" s="183">
        <f t="shared" si="343"/>
        <v>6.4933749999999998E-2</v>
      </c>
      <c r="AU316" s="182">
        <f>10068.2*J316*POWER(10,-6)*10</f>
        <v>3.0204599999999998E-2</v>
      </c>
      <c r="AV316" s="183">
        <f t="shared" si="344"/>
        <v>0.35487335000000003</v>
      </c>
      <c r="AW316" s="184">
        <f t="shared" si="345"/>
        <v>0</v>
      </c>
      <c r="AX316" s="184">
        <f t="shared" si="346"/>
        <v>3.3249999999999999E-7</v>
      </c>
      <c r="AY316" s="184">
        <f t="shared" si="347"/>
        <v>1.1799538887500001E-7</v>
      </c>
    </row>
    <row r="317" spans="1:51" s="179" customFormat="1" ht="15" thickBot="1" x14ac:dyDescent="0.35">
      <c r="A317" s="169" t="s">
        <v>23</v>
      </c>
      <c r="B317" s="169" t="str">
        <f>B312</f>
        <v>Насос центробежный (8729P0001A)</v>
      </c>
      <c r="C317" s="171" t="s">
        <v>231</v>
      </c>
      <c r="D317" s="172" t="s">
        <v>617</v>
      </c>
      <c r="E317" s="185">
        <f>E315</f>
        <v>1.0000000000000001E-5</v>
      </c>
      <c r="F317" s="186">
        <f>F312</f>
        <v>1</v>
      </c>
      <c r="G317" s="169">
        <v>0.63174999999999992</v>
      </c>
      <c r="H317" s="174">
        <f t="shared" si="337"/>
        <v>6.3175000000000001E-6</v>
      </c>
      <c r="I317" s="187">
        <f>0.15*I312</f>
        <v>0.3</v>
      </c>
      <c r="J317" s="169">
        <v>0</v>
      </c>
      <c r="K317" s="192" t="s">
        <v>191</v>
      </c>
      <c r="L317" s="192">
        <v>18</v>
      </c>
      <c r="M317" s="179" t="str">
        <f t="shared" si="338"/>
        <v>С6</v>
      </c>
      <c r="N317" s="179" t="str">
        <f t="shared" si="339"/>
        <v>Насос центробежный (8729P0001A)</v>
      </c>
      <c r="O317" s="179" t="str">
        <f t="shared" si="340"/>
        <v>Частичное-ликв</v>
      </c>
      <c r="P317" s="179" t="s">
        <v>83</v>
      </c>
      <c r="Q317" s="179" t="s">
        <v>83</v>
      </c>
      <c r="R317" s="179" t="s">
        <v>83</v>
      </c>
      <c r="S317" s="179" t="s">
        <v>83</v>
      </c>
      <c r="T317" s="179" t="s">
        <v>83</v>
      </c>
      <c r="U317" s="179" t="s">
        <v>83</v>
      </c>
      <c r="V317" s="179" t="s">
        <v>83</v>
      </c>
      <c r="W317" s="179" t="s">
        <v>83</v>
      </c>
      <c r="X317" s="179" t="s">
        <v>83</v>
      </c>
      <c r="Y317" s="179" t="s">
        <v>83</v>
      </c>
      <c r="Z317" s="179" t="s">
        <v>83</v>
      </c>
      <c r="AA317" s="179" t="s">
        <v>83</v>
      </c>
      <c r="AB317" s="179" t="s">
        <v>83</v>
      </c>
      <c r="AC317" s="179" t="s">
        <v>83</v>
      </c>
      <c r="AD317" s="179" t="s">
        <v>83</v>
      </c>
      <c r="AE317" s="179" t="s">
        <v>83</v>
      </c>
      <c r="AF317" s="179" t="s">
        <v>83</v>
      </c>
      <c r="AG317" s="179" t="s">
        <v>83</v>
      </c>
      <c r="AH317" s="179" t="s">
        <v>83</v>
      </c>
      <c r="AI317" s="179" t="s">
        <v>83</v>
      </c>
      <c r="AJ317" s="179">
        <v>0</v>
      </c>
      <c r="AK317" s="179">
        <v>0</v>
      </c>
      <c r="AL317" s="179">
        <f>0.1*$AL$2</f>
        <v>7.5000000000000002E-4</v>
      </c>
      <c r="AM317" s="179">
        <f>AM312</f>
        <v>2.7E-2</v>
      </c>
      <c r="AN317" s="179">
        <f>ROUNDUP(AN312/3,0)</f>
        <v>1</v>
      </c>
      <c r="AQ317" s="182">
        <f>AM317*I317*0.1+AL317</f>
        <v>1.56E-3</v>
      </c>
      <c r="AR317" s="182">
        <f t="shared" si="341"/>
        <v>1.56E-4</v>
      </c>
      <c r="AS317" s="183">
        <f t="shared" si="342"/>
        <v>0</v>
      </c>
      <c r="AT317" s="183">
        <f t="shared" si="343"/>
        <v>4.2900000000000002E-4</v>
      </c>
      <c r="AU317" s="182">
        <f>1333*J316*POWER(10,-6)</f>
        <v>3.9989999999999996E-4</v>
      </c>
      <c r="AV317" s="183">
        <f t="shared" si="344"/>
        <v>2.5449000000000001E-3</v>
      </c>
      <c r="AW317" s="184">
        <f t="shared" si="345"/>
        <v>0</v>
      </c>
      <c r="AX317" s="184">
        <f t="shared" si="346"/>
        <v>0</v>
      </c>
      <c r="AY317" s="184">
        <f t="shared" si="347"/>
        <v>1.6077405750000002E-8</v>
      </c>
    </row>
    <row r="318" spans="1:51" s="179" customFormat="1" x14ac:dyDescent="0.3">
      <c r="A318" s="180"/>
      <c r="B318" s="180"/>
      <c r="D318" s="271"/>
      <c r="E318" s="272"/>
      <c r="F318" s="273"/>
      <c r="G318" s="180"/>
      <c r="H318" s="184"/>
      <c r="I318" s="183"/>
      <c r="J318" s="180"/>
      <c r="K318" s="180"/>
      <c r="L318" s="180"/>
      <c r="AQ318" s="182"/>
      <c r="AR318" s="182"/>
      <c r="AS318" s="183"/>
      <c r="AT318" s="183"/>
      <c r="AU318" s="182"/>
      <c r="AV318" s="183"/>
      <c r="AW318" s="184"/>
      <c r="AX318" s="184"/>
      <c r="AY318" s="184"/>
    </row>
    <row r="319" spans="1:51" s="179" customFormat="1" x14ac:dyDescent="0.3">
      <c r="A319" s="180"/>
      <c r="B319" s="180"/>
      <c r="D319" s="271"/>
      <c r="E319" s="272"/>
      <c r="F319" s="273"/>
      <c r="G319" s="180"/>
      <c r="H319" s="184"/>
      <c r="I319" s="183"/>
      <c r="J319" s="180"/>
      <c r="K319" s="180"/>
      <c r="L319" s="180"/>
      <c r="AQ319" s="182"/>
      <c r="AR319" s="182"/>
      <c r="AS319" s="183"/>
      <c r="AT319" s="183"/>
      <c r="AU319" s="182"/>
      <c r="AV319" s="183"/>
      <c r="AW319" s="184"/>
      <c r="AX319" s="184"/>
      <c r="AY319" s="184"/>
    </row>
    <row r="320" spans="1:51" s="179" customFormat="1" x14ac:dyDescent="0.3">
      <c r="A320" s="180"/>
      <c r="B320" s="180"/>
      <c r="D320" s="271"/>
      <c r="E320" s="272"/>
      <c r="F320" s="273"/>
      <c r="G320" s="180"/>
      <c r="H320" s="184"/>
      <c r="I320" s="183"/>
      <c r="J320" s="180"/>
      <c r="K320" s="180"/>
      <c r="L320" s="180"/>
      <c r="AQ320" s="182"/>
      <c r="AR320" s="182"/>
      <c r="AS320" s="183"/>
      <c r="AT320" s="183"/>
      <c r="AU320" s="182"/>
      <c r="AV320" s="183"/>
      <c r="AW320" s="184"/>
      <c r="AX320" s="184"/>
      <c r="AY320" s="184"/>
    </row>
    <row r="321" spans="1:51" ht="15" thickBot="1" x14ac:dyDescent="0.35"/>
    <row r="322" spans="1:51" ht="15" thickBot="1" x14ac:dyDescent="0.35">
      <c r="A322" s="48" t="s">
        <v>18</v>
      </c>
      <c r="B322" s="294" t="s">
        <v>623</v>
      </c>
      <c r="C322" s="166" t="s">
        <v>159</v>
      </c>
      <c r="D322" s="49" t="s">
        <v>59</v>
      </c>
      <c r="E322" s="153">
        <v>9.9999999999999995E-8</v>
      </c>
      <c r="F322" s="150">
        <v>34</v>
      </c>
      <c r="G322" s="48">
        <v>0.2</v>
      </c>
      <c r="H322" s="50">
        <f t="shared" ref="H322:H327" si="348">E322*F322*G322</f>
        <v>6.7999999999999995E-7</v>
      </c>
      <c r="I322" s="151">
        <v>22.15</v>
      </c>
      <c r="J322" s="149">
        <f>I322</f>
        <v>22.15</v>
      </c>
      <c r="K322" s="159" t="s">
        <v>175</v>
      </c>
      <c r="L322" s="164">
        <f>J322*20</f>
        <v>443</v>
      </c>
      <c r="M322" s="92" t="str">
        <f t="shared" ref="M322:M327" si="349">A322</f>
        <v>С1</v>
      </c>
      <c r="N322" s="92" t="str">
        <f t="shared" ref="N322:N327" si="350">B322</f>
        <v>Трубопровод Среднее масло 150-Р-0017 рег. № 842</v>
      </c>
      <c r="O322" s="92" t="str">
        <f t="shared" ref="O322:O327" si="351">D322</f>
        <v>Полное-пожар</v>
      </c>
      <c r="P322" s="92">
        <v>17.100000000000001</v>
      </c>
      <c r="Q322" s="92">
        <v>23.5</v>
      </c>
      <c r="R322" s="92">
        <v>33.1</v>
      </c>
      <c r="S322" s="92">
        <v>61.2</v>
      </c>
      <c r="T322" s="92" t="s">
        <v>83</v>
      </c>
      <c r="U322" s="92" t="s">
        <v>83</v>
      </c>
      <c r="V322" s="92" t="s">
        <v>83</v>
      </c>
      <c r="W322" s="92" t="s">
        <v>83</v>
      </c>
      <c r="X322" s="92" t="s">
        <v>83</v>
      </c>
      <c r="Y322" s="92" t="s">
        <v>83</v>
      </c>
      <c r="Z322" s="92" t="s">
        <v>83</v>
      </c>
      <c r="AA322" s="92" t="s">
        <v>83</v>
      </c>
      <c r="AB322" s="92" t="s">
        <v>83</v>
      </c>
      <c r="AC322" s="92" t="s">
        <v>83</v>
      </c>
      <c r="AD322" s="92" t="s">
        <v>83</v>
      </c>
      <c r="AE322" s="92" t="s">
        <v>83</v>
      </c>
      <c r="AF322" s="92" t="s">
        <v>83</v>
      </c>
      <c r="AG322" s="92" t="s">
        <v>83</v>
      </c>
      <c r="AH322" s="92" t="s">
        <v>83</v>
      </c>
      <c r="AI322" s="92" t="s">
        <v>83</v>
      </c>
      <c r="AJ322" s="52">
        <v>1</v>
      </c>
      <c r="AK322" s="52">
        <v>2</v>
      </c>
      <c r="AL322" s="152">
        <v>0.75</v>
      </c>
      <c r="AM322" s="152">
        <v>2.7E-2</v>
      </c>
      <c r="AN322" s="152">
        <v>3</v>
      </c>
      <c r="AO322" s="92"/>
      <c r="AP322" s="92"/>
      <c r="AQ322" s="93">
        <f>AM322*I322+AL322</f>
        <v>1.34805</v>
      </c>
      <c r="AR322" s="93">
        <f t="shared" ref="AR322:AR327" si="352">0.1*AQ322</f>
        <v>0.13480500000000001</v>
      </c>
      <c r="AS322" s="94">
        <f t="shared" ref="AS322:AS327" si="353">AJ322*3+0.25*AK322</f>
        <v>3.5</v>
      </c>
      <c r="AT322" s="94">
        <f t="shared" ref="AT322:AT327" si="354">SUM(AQ322:AS322)/4</f>
        <v>1.24571375</v>
      </c>
      <c r="AU322" s="93">
        <f>10068.2*J322*POWER(10,-6)</f>
        <v>0.22301062999999999</v>
      </c>
      <c r="AV322" s="94">
        <f t="shared" ref="AV322:AV327" si="355">AU322+AT322+AS322+AR322+AQ322</f>
        <v>6.4515793799999992</v>
      </c>
      <c r="AW322" s="95">
        <f t="shared" ref="AW322:AW327" si="356">AJ322*H322</f>
        <v>6.7999999999999995E-7</v>
      </c>
      <c r="AX322" s="95">
        <f t="shared" ref="AX322:AX327" si="357">H322*AK322</f>
        <v>1.3599999999999999E-6</v>
      </c>
      <c r="AY322" s="95">
        <f t="shared" ref="AY322:AY327" si="358">H322*AV322</f>
        <v>4.3870739783999988E-6</v>
      </c>
    </row>
    <row r="323" spans="1:51" ht="15" thickBot="1" x14ac:dyDescent="0.35">
      <c r="A323" s="48" t="s">
        <v>19</v>
      </c>
      <c r="B323" s="48" t="str">
        <f>B322</f>
        <v>Трубопровод Среднее масло 150-Р-0017 рег. № 842</v>
      </c>
      <c r="C323" s="166" t="s">
        <v>174</v>
      </c>
      <c r="D323" s="49" t="s">
        <v>59</v>
      </c>
      <c r="E323" s="154">
        <f>E322</f>
        <v>9.9999999999999995E-8</v>
      </c>
      <c r="F323" s="155">
        <f>F322</f>
        <v>34</v>
      </c>
      <c r="G323" s="48">
        <v>0.04</v>
      </c>
      <c r="H323" s="50">
        <f t="shared" si="348"/>
        <v>1.36E-7</v>
      </c>
      <c r="I323" s="149">
        <f>I322</f>
        <v>22.15</v>
      </c>
      <c r="J323" s="149">
        <f>I322</f>
        <v>22.15</v>
      </c>
      <c r="K323" s="159" t="s">
        <v>176</v>
      </c>
      <c r="L323" s="164">
        <v>0</v>
      </c>
      <c r="M323" s="92" t="str">
        <f t="shared" si="349"/>
        <v>С2</v>
      </c>
      <c r="N323" s="92" t="str">
        <f t="shared" si="350"/>
        <v>Трубопровод Среднее масло 150-Р-0017 рег. № 842</v>
      </c>
      <c r="O323" s="92" t="str">
        <f t="shared" si="351"/>
        <v>Полное-пожар</v>
      </c>
      <c r="P323" s="92">
        <v>17.100000000000001</v>
      </c>
      <c r="Q323" s="92">
        <v>23.5</v>
      </c>
      <c r="R323" s="92">
        <v>33.1</v>
      </c>
      <c r="S323" s="92">
        <v>61.2</v>
      </c>
      <c r="T323" s="92" t="s">
        <v>83</v>
      </c>
      <c r="U323" s="92" t="s">
        <v>83</v>
      </c>
      <c r="V323" s="92" t="s">
        <v>83</v>
      </c>
      <c r="W323" s="92" t="s">
        <v>83</v>
      </c>
      <c r="X323" s="92" t="s">
        <v>83</v>
      </c>
      <c r="Y323" s="92" t="s">
        <v>83</v>
      </c>
      <c r="Z323" s="92" t="s">
        <v>83</v>
      </c>
      <c r="AA323" s="92" t="s">
        <v>83</v>
      </c>
      <c r="AB323" s="92" t="s">
        <v>83</v>
      </c>
      <c r="AC323" s="92" t="s">
        <v>83</v>
      </c>
      <c r="AD323" s="92" t="s">
        <v>83</v>
      </c>
      <c r="AE323" s="92" t="s">
        <v>83</v>
      </c>
      <c r="AF323" s="92" t="s">
        <v>83</v>
      </c>
      <c r="AG323" s="92" t="s">
        <v>83</v>
      </c>
      <c r="AH323" s="92" t="s">
        <v>83</v>
      </c>
      <c r="AI323" s="92" t="s">
        <v>83</v>
      </c>
      <c r="AJ323" s="52">
        <v>2</v>
      </c>
      <c r="AK323" s="52">
        <v>2</v>
      </c>
      <c r="AL323" s="92">
        <f>AL322</f>
        <v>0.75</v>
      </c>
      <c r="AM323" s="92">
        <f>AM322</f>
        <v>2.7E-2</v>
      </c>
      <c r="AN323" s="92">
        <f>AN322</f>
        <v>3</v>
      </c>
      <c r="AO323" s="92"/>
      <c r="AP323" s="92"/>
      <c r="AQ323" s="93">
        <f>AM323*I323+AL323</f>
        <v>1.34805</v>
      </c>
      <c r="AR323" s="93">
        <f t="shared" si="352"/>
        <v>0.13480500000000001</v>
      </c>
      <c r="AS323" s="94">
        <f t="shared" si="353"/>
        <v>6.5</v>
      </c>
      <c r="AT323" s="94">
        <f t="shared" si="354"/>
        <v>1.99571375</v>
      </c>
      <c r="AU323" s="93">
        <f>10068.2*J323*POWER(10,-6)*10</f>
        <v>2.2301063000000001</v>
      </c>
      <c r="AV323" s="94">
        <f t="shared" si="355"/>
        <v>12.20867505</v>
      </c>
      <c r="AW323" s="95">
        <f t="shared" si="356"/>
        <v>2.72E-7</v>
      </c>
      <c r="AX323" s="95">
        <f t="shared" si="357"/>
        <v>2.72E-7</v>
      </c>
      <c r="AY323" s="95">
        <f t="shared" si="358"/>
        <v>1.6603798068E-6</v>
      </c>
    </row>
    <row r="324" spans="1:51" x14ac:dyDescent="0.3">
      <c r="A324" s="48" t="s">
        <v>20</v>
      </c>
      <c r="B324" s="48" t="str">
        <f>B322</f>
        <v>Трубопровод Среднее масло 150-Р-0017 рег. № 842</v>
      </c>
      <c r="C324" s="166" t="s">
        <v>161</v>
      </c>
      <c r="D324" s="49" t="s">
        <v>60</v>
      </c>
      <c r="E324" s="154">
        <f>E322</f>
        <v>9.9999999999999995E-8</v>
      </c>
      <c r="F324" s="155">
        <f>F322</f>
        <v>34</v>
      </c>
      <c r="G324" s="48">
        <v>0.76</v>
      </c>
      <c r="H324" s="50">
        <f t="shared" si="348"/>
        <v>2.5839999999999997E-6</v>
      </c>
      <c r="I324" s="149">
        <f>I322</f>
        <v>22.15</v>
      </c>
      <c r="J324" s="48">
        <v>0</v>
      </c>
      <c r="K324" s="159" t="s">
        <v>177</v>
      </c>
      <c r="L324" s="164">
        <v>0</v>
      </c>
      <c r="M324" s="92" t="str">
        <f t="shared" si="349"/>
        <v>С3</v>
      </c>
      <c r="N324" s="92" t="str">
        <f t="shared" si="350"/>
        <v>Трубопровод Среднее масло 150-Р-0017 рег. № 842</v>
      </c>
      <c r="O324" s="92" t="str">
        <f t="shared" si="351"/>
        <v>Полное-ликвидация</v>
      </c>
      <c r="P324" s="92" t="s">
        <v>83</v>
      </c>
      <c r="Q324" s="92" t="s">
        <v>83</v>
      </c>
      <c r="R324" s="92" t="s">
        <v>83</v>
      </c>
      <c r="S324" s="92" t="s">
        <v>83</v>
      </c>
      <c r="T324" s="92" t="s">
        <v>83</v>
      </c>
      <c r="U324" s="92" t="s">
        <v>83</v>
      </c>
      <c r="V324" s="92" t="s">
        <v>83</v>
      </c>
      <c r="W324" s="92" t="s">
        <v>83</v>
      </c>
      <c r="X324" s="92" t="s">
        <v>83</v>
      </c>
      <c r="Y324" s="92" t="s">
        <v>83</v>
      </c>
      <c r="Z324" s="92" t="s">
        <v>83</v>
      </c>
      <c r="AA324" s="92" t="s">
        <v>83</v>
      </c>
      <c r="AB324" s="92" t="s">
        <v>83</v>
      </c>
      <c r="AC324" s="92" t="s">
        <v>83</v>
      </c>
      <c r="AD324" s="92" t="s">
        <v>83</v>
      </c>
      <c r="AE324" s="92" t="s">
        <v>83</v>
      </c>
      <c r="AF324" s="92" t="s">
        <v>83</v>
      </c>
      <c r="AG324" s="92" t="s">
        <v>83</v>
      </c>
      <c r="AH324" s="92" t="s">
        <v>83</v>
      </c>
      <c r="AI324" s="92" t="s">
        <v>83</v>
      </c>
      <c r="AJ324" s="92">
        <v>0</v>
      </c>
      <c r="AK324" s="92">
        <v>0</v>
      </c>
      <c r="AL324" s="92">
        <f>AL322</f>
        <v>0.75</v>
      </c>
      <c r="AM324" s="92">
        <f>AM322</f>
        <v>2.7E-2</v>
      </c>
      <c r="AN324" s="92">
        <f>AN322</f>
        <v>3</v>
      </c>
      <c r="AO324" s="92"/>
      <c r="AP324" s="92"/>
      <c r="AQ324" s="93">
        <f>AM324*I324*0.1+AL324</f>
        <v>0.809805</v>
      </c>
      <c r="AR324" s="93">
        <f t="shared" si="352"/>
        <v>8.0980500000000011E-2</v>
      </c>
      <c r="AS324" s="94">
        <f t="shared" si="353"/>
        <v>0</v>
      </c>
      <c r="AT324" s="94">
        <f t="shared" si="354"/>
        <v>0.222696375</v>
      </c>
      <c r="AU324" s="93">
        <f>1333*J323*POWER(10,-6)</f>
        <v>2.9525949999999995E-2</v>
      </c>
      <c r="AV324" s="94">
        <f t="shared" si="355"/>
        <v>1.143007825</v>
      </c>
      <c r="AW324" s="95">
        <f t="shared" si="356"/>
        <v>0</v>
      </c>
      <c r="AX324" s="95">
        <f t="shared" si="357"/>
        <v>0</v>
      </c>
      <c r="AY324" s="95">
        <f t="shared" si="358"/>
        <v>2.9535322197999996E-6</v>
      </c>
    </row>
    <row r="325" spans="1:51" x14ac:dyDescent="0.3">
      <c r="A325" s="48" t="s">
        <v>21</v>
      </c>
      <c r="B325" s="48" t="str">
        <f>B322</f>
        <v>Трубопровод Среднее масло 150-Р-0017 рег. № 842</v>
      </c>
      <c r="C325" s="166" t="s">
        <v>162</v>
      </c>
      <c r="D325" s="49" t="s">
        <v>84</v>
      </c>
      <c r="E325" s="153">
        <v>5.0000000000000004E-6</v>
      </c>
      <c r="F325" s="155">
        <f>F322</f>
        <v>34</v>
      </c>
      <c r="G325" s="48">
        <v>0.2</v>
      </c>
      <c r="H325" s="50">
        <f t="shared" si="348"/>
        <v>3.4000000000000007E-5</v>
      </c>
      <c r="I325" s="149">
        <f>0.15*I322</f>
        <v>3.3224999999999998</v>
      </c>
      <c r="J325" s="149">
        <f>I325</f>
        <v>3.3224999999999998</v>
      </c>
      <c r="K325" s="161" t="s">
        <v>179</v>
      </c>
      <c r="L325" s="165">
        <v>45390</v>
      </c>
      <c r="M325" s="92" t="str">
        <f t="shared" si="349"/>
        <v>С4</v>
      </c>
      <c r="N325" s="92" t="str">
        <f t="shared" si="350"/>
        <v>Трубопровод Среднее масло 150-Р-0017 рег. № 842</v>
      </c>
      <c r="O325" s="92" t="str">
        <f t="shared" si="351"/>
        <v>Частичное-пожар</v>
      </c>
      <c r="P325" s="92">
        <v>12.8</v>
      </c>
      <c r="Q325" s="92">
        <v>16.399999999999999</v>
      </c>
      <c r="R325" s="92">
        <v>21.7</v>
      </c>
      <c r="S325" s="92">
        <v>37.299999999999997</v>
      </c>
      <c r="T325" s="92" t="s">
        <v>83</v>
      </c>
      <c r="U325" s="92" t="s">
        <v>83</v>
      </c>
      <c r="V325" s="92" t="s">
        <v>83</v>
      </c>
      <c r="W325" s="92" t="s">
        <v>83</v>
      </c>
      <c r="X325" s="92" t="s">
        <v>83</v>
      </c>
      <c r="Y325" s="92" t="s">
        <v>83</v>
      </c>
      <c r="Z325" s="92" t="s">
        <v>83</v>
      </c>
      <c r="AA325" s="92" t="s">
        <v>83</v>
      </c>
      <c r="AB325" s="92" t="s">
        <v>83</v>
      </c>
      <c r="AC325" s="92" t="s">
        <v>83</v>
      </c>
      <c r="AD325" s="92" t="s">
        <v>83</v>
      </c>
      <c r="AE325" s="92" t="s">
        <v>83</v>
      </c>
      <c r="AF325" s="92" t="s">
        <v>83</v>
      </c>
      <c r="AG325" s="92" t="s">
        <v>83</v>
      </c>
      <c r="AH325" s="92" t="s">
        <v>83</v>
      </c>
      <c r="AI325" s="92" t="s">
        <v>83</v>
      </c>
      <c r="AJ325" s="92">
        <v>0</v>
      </c>
      <c r="AK325" s="92">
        <v>2</v>
      </c>
      <c r="AL325" s="92">
        <f>0.1*$AL$2</f>
        <v>7.5000000000000002E-4</v>
      </c>
      <c r="AM325" s="92">
        <f>AM322</f>
        <v>2.7E-2</v>
      </c>
      <c r="AN325" s="92">
        <f>ROUNDUP(AN322/3,0)</f>
        <v>1</v>
      </c>
      <c r="AO325" s="92"/>
      <c r="AP325" s="92"/>
      <c r="AQ325" s="93">
        <f>AM325*I325+AL325</f>
        <v>9.0457499999999996E-2</v>
      </c>
      <c r="AR325" s="93">
        <f t="shared" si="352"/>
        <v>9.04575E-3</v>
      </c>
      <c r="AS325" s="94">
        <f t="shared" si="353"/>
        <v>0.5</v>
      </c>
      <c r="AT325" s="94">
        <f t="shared" si="354"/>
        <v>0.14987581250000001</v>
      </c>
      <c r="AU325" s="93">
        <f>10068.2*J325*POWER(10,-6)</f>
        <v>3.3451594500000001E-2</v>
      </c>
      <c r="AV325" s="94">
        <f t="shared" si="355"/>
        <v>0.78283065699999987</v>
      </c>
      <c r="AW325" s="95">
        <f t="shared" si="356"/>
        <v>0</v>
      </c>
      <c r="AX325" s="95">
        <f t="shared" si="357"/>
        <v>6.8000000000000013E-5</v>
      </c>
      <c r="AY325" s="95">
        <f t="shared" si="358"/>
        <v>2.6616242337999999E-5</v>
      </c>
    </row>
    <row r="326" spans="1:51" x14ac:dyDescent="0.3">
      <c r="A326" s="48" t="s">
        <v>22</v>
      </c>
      <c r="B326" s="48" t="str">
        <f>B322</f>
        <v>Трубопровод Среднее масло 150-Р-0017 рег. № 842</v>
      </c>
      <c r="C326" s="166" t="s">
        <v>190</v>
      </c>
      <c r="D326" s="49" t="s">
        <v>84</v>
      </c>
      <c r="E326" s="154">
        <f>E325</f>
        <v>5.0000000000000004E-6</v>
      </c>
      <c r="F326" s="155">
        <f>F322</f>
        <v>34</v>
      </c>
      <c r="G326" s="48">
        <v>0.04</v>
      </c>
      <c r="H326" s="50">
        <f t="shared" si="348"/>
        <v>6.800000000000001E-6</v>
      </c>
      <c r="I326" s="149">
        <f>0.15*I322</f>
        <v>3.3224999999999998</v>
      </c>
      <c r="J326" s="149">
        <f>I325</f>
        <v>3.3224999999999998</v>
      </c>
      <c r="K326" s="161" t="s">
        <v>180</v>
      </c>
      <c r="L326" s="165">
        <v>3</v>
      </c>
      <c r="M326" s="92" t="str">
        <f t="shared" si="349"/>
        <v>С5</v>
      </c>
      <c r="N326" s="92" t="str">
        <f t="shared" si="350"/>
        <v>Трубопровод Среднее масло 150-Р-0017 рег. № 842</v>
      </c>
      <c r="O326" s="92" t="str">
        <f t="shared" si="351"/>
        <v>Частичное-пожар</v>
      </c>
      <c r="P326" s="92">
        <v>12.8</v>
      </c>
      <c r="Q326" s="92">
        <v>16.399999999999999</v>
      </c>
      <c r="R326" s="92">
        <v>21.7</v>
      </c>
      <c r="S326" s="92">
        <v>37.299999999999997</v>
      </c>
      <c r="T326" s="92" t="s">
        <v>83</v>
      </c>
      <c r="U326" s="92" t="s">
        <v>83</v>
      </c>
      <c r="V326" s="92" t="s">
        <v>83</v>
      </c>
      <c r="W326" s="92" t="s">
        <v>83</v>
      </c>
      <c r="X326" s="92" t="s">
        <v>83</v>
      </c>
      <c r="Y326" s="92" t="s">
        <v>83</v>
      </c>
      <c r="Z326" s="92" t="s">
        <v>83</v>
      </c>
      <c r="AA326" s="92" t="s">
        <v>83</v>
      </c>
      <c r="AB326" s="92" t="s">
        <v>83</v>
      </c>
      <c r="AC326" s="92" t="s">
        <v>83</v>
      </c>
      <c r="AD326" s="92" t="s">
        <v>83</v>
      </c>
      <c r="AE326" s="92" t="s">
        <v>83</v>
      </c>
      <c r="AF326" s="92" t="s">
        <v>83</v>
      </c>
      <c r="AG326" s="92" t="s">
        <v>83</v>
      </c>
      <c r="AH326" s="92" t="s">
        <v>83</v>
      </c>
      <c r="AI326" s="92" t="s">
        <v>83</v>
      </c>
      <c r="AJ326" s="92">
        <v>0</v>
      </c>
      <c r="AK326" s="92">
        <v>1</v>
      </c>
      <c r="AL326" s="92">
        <f>0.1*$AL$2</f>
        <v>7.5000000000000002E-4</v>
      </c>
      <c r="AM326" s="92">
        <f>AM322</f>
        <v>2.7E-2</v>
      </c>
      <c r="AN326" s="92">
        <f>ROUNDUP(AN322/3,0)</f>
        <v>1</v>
      </c>
      <c r="AO326" s="92"/>
      <c r="AP326" s="92"/>
      <c r="AQ326" s="93">
        <f>AM326*I326+AL326</f>
        <v>9.0457499999999996E-2</v>
      </c>
      <c r="AR326" s="93">
        <f t="shared" si="352"/>
        <v>9.04575E-3</v>
      </c>
      <c r="AS326" s="94">
        <f t="shared" si="353"/>
        <v>0.25</v>
      </c>
      <c r="AT326" s="94">
        <f t="shared" si="354"/>
        <v>8.7375812499999997E-2</v>
      </c>
      <c r="AU326" s="93">
        <f>10068.2*J326*POWER(10,-6)*10</f>
        <v>0.33451594500000004</v>
      </c>
      <c r="AV326" s="94">
        <f t="shared" si="355"/>
        <v>0.77139500750000001</v>
      </c>
      <c r="AW326" s="95">
        <f t="shared" si="356"/>
        <v>0</v>
      </c>
      <c r="AX326" s="95">
        <f t="shared" si="357"/>
        <v>6.800000000000001E-6</v>
      </c>
      <c r="AY326" s="95">
        <f t="shared" si="358"/>
        <v>5.2454860510000012E-6</v>
      </c>
    </row>
    <row r="327" spans="1:51" ht="15" thickBot="1" x14ac:dyDescent="0.35">
      <c r="A327" s="48" t="s">
        <v>23</v>
      </c>
      <c r="B327" s="48" t="str">
        <f>B322</f>
        <v>Трубопровод Среднее масло 150-Р-0017 рег. № 842</v>
      </c>
      <c r="C327" s="166" t="s">
        <v>164</v>
      </c>
      <c r="D327" s="49" t="s">
        <v>61</v>
      </c>
      <c r="E327" s="154">
        <f>E325</f>
        <v>5.0000000000000004E-6</v>
      </c>
      <c r="F327" s="155">
        <f>F322</f>
        <v>34</v>
      </c>
      <c r="G327" s="48">
        <v>0.76</v>
      </c>
      <c r="H327" s="50">
        <f t="shared" si="348"/>
        <v>1.2920000000000002E-4</v>
      </c>
      <c r="I327" s="149">
        <f>0.15*I322</f>
        <v>3.3224999999999998</v>
      </c>
      <c r="J327" s="48">
        <v>0</v>
      </c>
      <c r="K327" s="162" t="s">
        <v>191</v>
      </c>
      <c r="L327" s="168">
        <v>3</v>
      </c>
      <c r="M327" s="92" t="str">
        <f t="shared" si="349"/>
        <v>С6</v>
      </c>
      <c r="N327" s="92" t="str">
        <f t="shared" si="350"/>
        <v>Трубопровод Среднее масло 150-Р-0017 рег. № 842</v>
      </c>
      <c r="O327" s="92" t="str">
        <f t="shared" si="351"/>
        <v>Частичное-ликвидация</v>
      </c>
      <c r="P327" s="92" t="s">
        <v>83</v>
      </c>
      <c r="Q327" s="92" t="s">
        <v>83</v>
      </c>
      <c r="R327" s="92" t="s">
        <v>83</v>
      </c>
      <c r="S327" s="92" t="s">
        <v>83</v>
      </c>
      <c r="T327" s="92" t="s">
        <v>83</v>
      </c>
      <c r="U327" s="92" t="s">
        <v>83</v>
      </c>
      <c r="V327" s="92" t="s">
        <v>83</v>
      </c>
      <c r="W327" s="92" t="s">
        <v>83</v>
      </c>
      <c r="X327" s="92" t="s">
        <v>83</v>
      </c>
      <c r="Y327" s="92" t="s">
        <v>83</v>
      </c>
      <c r="Z327" s="92" t="s">
        <v>83</v>
      </c>
      <c r="AA327" s="92" t="s">
        <v>83</v>
      </c>
      <c r="AB327" s="92" t="s">
        <v>83</v>
      </c>
      <c r="AC327" s="92" t="s">
        <v>83</v>
      </c>
      <c r="AD327" s="92" t="s">
        <v>83</v>
      </c>
      <c r="AE327" s="92" t="s">
        <v>83</v>
      </c>
      <c r="AF327" s="92" t="s">
        <v>83</v>
      </c>
      <c r="AG327" s="92" t="s">
        <v>83</v>
      </c>
      <c r="AH327" s="92" t="s">
        <v>83</v>
      </c>
      <c r="AI327" s="92" t="s">
        <v>83</v>
      </c>
      <c r="AJ327" s="92">
        <v>0</v>
      </c>
      <c r="AK327" s="92">
        <v>0</v>
      </c>
      <c r="AL327" s="92">
        <f>0.1*$AL$2</f>
        <v>7.5000000000000002E-4</v>
      </c>
      <c r="AM327" s="92">
        <f>AM322</f>
        <v>2.7E-2</v>
      </c>
      <c r="AN327" s="92">
        <f>ROUNDUP(AN322/3,0)</f>
        <v>1</v>
      </c>
      <c r="AO327" s="92"/>
      <c r="AP327" s="92"/>
      <c r="AQ327" s="93">
        <f>AM327*I327*0.1+AL327</f>
        <v>9.7207500000000002E-3</v>
      </c>
      <c r="AR327" s="93">
        <f t="shared" si="352"/>
        <v>9.7207500000000009E-4</v>
      </c>
      <c r="AS327" s="94">
        <f t="shared" si="353"/>
        <v>0</v>
      </c>
      <c r="AT327" s="94">
        <f t="shared" si="354"/>
        <v>2.6732062499999999E-3</v>
      </c>
      <c r="AU327" s="93">
        <f>1333*J326*POWER(10,-6)</f>
        <v>4.4288925E-3</v>
      </c>
      <c r="AV327" s="94">
        <f t="shared" si="355"/>
        <v>1.779492375E-2</v>
      </c>
      <c r="AW327" s="95">
        <f t="shared" si="356"/>
        <v>0</v>
      </c>
      <c r="AX327" s="95">
        <f t="shared" si="357"/>
        <v>0</v>
      </c>
      <c r="AY327" s="95">
        <f t="shared" si="358"/>
        <v>2.2991041485000005E-6</v>
      </c>
    </row>
    <row r="328" spans="1:51" x14ac:dyDescent="0.3">
      <c r="A328" s="48"/>
      <c r="B328" s="48"/>
      <c r="C328" s="166"/>
      <c r="D328" s="49"/>
      <c r="E328" s="154"/>
      <c r="F328" s="155"/>
      <c r="G328" s="48"/>
      <c r="H328" s="50"/>
      <c r="I328" s="149"/>
      <c r="J328" s="48"/>
      <c r="K328" s="278"/>
      <c r="L328" s="279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3"/>
      <c r="AR328" s="93"/>
      <c r="AS328" s="94"/>
      <c r="AT328" s="94"/>
      <c r="AU328" s="93"/>
      <c r="AV328" s="94"/>
      <c r="AW328" s="95"/>
      <c r="AX328" s="95"/>
      <c r="AY328" s="95"/>
    </row>
    <row r="329" spans="1:51" s="267" customFormat="1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</row>
    <row r="330" spans="1:51" s="267" customFormat="1" x14ac:dyDescent="0.3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</row>
    <row r="331" spans="1:51" ht="15" thickBot="1" x14ac:dyDescent="0.35"/>
    <row r="332" spans="1:51" s="227" customFormat="1" ht="18" customHeight="1" x14ac:dyDescent="0.3">
      <c r="A332" s="218" t="s">
        <v>18</v>
      </c>
      <c r="B332" s="219" t="s">
        <v>624</v>
      </c>
      <c r="C332" s="53" t="s">
        <v>312</v>
      </c>
      <c r="D332" s="220" t="s">
        <v>171</v>
      </c>
      <c r="E332" s="221">
        <v>1.0000000000000001E-5</v>
      </c>
      <c r="F332" s="219">
        <v>1</v>
      </c>
      <c r="G332" s="218">
        <v>0.2</v>
      </c>
      <c r="H332" s="222">
        <f>E332*F332*G332</f>
        <v>2.0000000000000003E-6</v>
      </c>
      <c r="I332" s="223">
        <v>297</v>
      </c>
      <c r="J332" s="280">
        <f>I332</f>
        <v>297</v>
      </c>
      <c r="K332" s="225" t="s">
        <v>175</v>
      </c>
      <c r="L332" s="226">
        <f>1500</f>
        <v>1500</v>
      </c>
      <c r="M332" s="227" t="str">
        <f>A332</f>
        <v>С1</v>
      </c>
      <c r="N332" s="227" t="str">
        <f>B332</f>
        <v>Аппарат (8610D0009)</v>
      </c>
      <c r="O332" s="227" t="str">
        <f>D332</f>
        <v>Полное-токси</v>
      </c>
      <c r="P332" s="227" t="s">
        <v>83</v>
      </c>
      <c r="Q332" s="227" t="s">
        <v>83</v>
      </c>
      <c r="R332" s="227" t="s">
        <v>83</v>
      </c>
      <c r="S332" s="227" t="s">
        <v>83</v>
      </c>
      <c r="T332" s="227" t="s">
        <v>83</v>
      </c>
      <c r="U332" s="227" t="s">
        <v>83</v>
      </c>
      <c r="V332" s="227" t="s">
        <v>83</v>
      </c>
      <c r="W332" s="227" t="s">
        <v>83</v>
      </c>
      <c r="X332" s="227" t="s">
        <v>83</v>
      </c>
      <c r="Y332" s="227" t="s">
        <v>83</v>
      </c>
      <c r="Z332" s="227" t="s">
        <v>83</v>
      </c>
      <c r="AA332" s="227" t="s">
        <v>83</v>
      </c>
      <c r="AB332" s="227" t="s">
        <v>83</v>
      </c>
      <c r="AC332" s="227" t="s">
        <v>83</v>
      </c>
      <c r="AD332" s="227" t="s">
        <v>83</v>
      </c>
      <c r="AE332" s="227" t="s">
        <v>83</v>
      </c>
      <c r="AF332" s="227" t="s">
        <v>83</v>
      </c>
      <c r="AG332" s="227" t="s">
        <v>83</v>
      </c>
      <c r="AH332" s="227" t="s">
        <v>83</v>
      </c>
      <c r="AI332" s="227">
        <f>L332</f>
        <v>1500</v>
      </c>
      <c r="AJ332" s="228">
        <v>0</v>
      </c>
      <c r="AK332" s="228">
        <v>1</v>
      </c>
      <c r="AL332" s="229">
        <v>0.75</v>
      </c>
      <c r="AM332" s="229">
        <v>2.7E-2</v>
      </c>
      <c r="AN332" s="229">
        <v>3</v>
      </c>
      <c r="AQ332" s="230">
        <f>AM332*I332+AL332</f>
        <v>8.7690000000000001</v>
      </c>
      <c r="AR332" s="230">
        <f>0.1*AQ332</f>
        <v>0.87690000000000001</v>
      </c>
      <c r="AS332" s="231">
        <f>AJ332*3+0.25*AK332</f>
        <v>0.25</v>
      </c>
      <c r="AT332" s="231">
        <f>SUM(AQ332:AS332)/4</f>
        <v>2.4739750000000003</v>
      </c>
      <c r="AU332" s="230">
        <f>10068.2*J332*POWER(10,-6)</f>
        <v>2.9902554000000001</v>
      </c>
      <c r="AV332" s="231">
        <f>AU332+AT332+AS332+AR332+AQ332</f>
        <v>15.360130399999999</v>
      </c>
      <c r="AW332" s="232">
        <f>AJ332*H332</f>
        <v>0</v>
      </c>
      <c r="AX332" s="232">
        <f>H332*AK332</f>
        <v>2.0000000000000003E-6</v>
      </c>
      <c r="AY332" s="232">
        <f>H332*AV332</f>
        <v>3.0720260800000001E-5</v>
      </c>
    </row>
    <row r="333" spans="1:51" s="227" customFormat="1" x14ac:dyDescent="0.3">
      <c r="A333" s="218" t="s">
        <v>19</v>
      </c>
      <c r="B333" s="218" t="str">
        <f>B332</f>
        <v>Аппарат (8610D0009)</v>
      </c>
      <c r="C333" s="53" t="s">
        <v>646</v>
      </c>
      <c r="D333" s="220" t="s">
        <v>172</v>
      </c>
      <c r="E333" s="233">
        <f>E332*10</f>
        <v>1E-4</v>
      </c>
      <c r="F333" s="234">
        <f>F332</f>
        <v>1</v>
      </c>
      <c r="G333" s="218">
        <v>0.8</v>
      </c>
      <c r="H333" s="222">
        <f>E333*F333*G333</f>
        <v>8.0000000000000007E-5</v>
      </c>
      <c r="I333" s="235">
        <f>0.1*I332</f>
        <v>29.700000000000003</v>
      </c>
      <c r="J333" s="280">
        <f>I333</f>
        <v>29.700000000000003</v>
      </c>
      <c r="K333" s="236" t="s">
        <v>176</v>
      </c>
      <c r="L333" s="237">
        <v>0</v>
      </c>
      <c r="M333" s="227" t="str">
        <f>A333</f>
        <v>С2</v>
      </c>
      <c r="N333" s="227" t="str">
        <f>B333</f>
        <v>Аппарат (8610D0009)</v>
      </c>
      <c r="O333" s="227" t="str">
        <f>D333</f>
        <v>Частичное-токси</v>
      </c>
      <c r="P333" s="227" t="s">
        <v>83</v>
      </c>
      <c r="Q333" s="227" t="s">
        <v>83</v>
      </c>
      <c r="R333" s="227" t="s">
        <v>83</v>
      </c>
      <c r="S333" s="227" t="s">
        <v>83</v>
      </c>
      <c r="T333" s="227" t="s">
        <v>83</v>
      </c>
      <c r="U333" s="227" t="s">
        <v>83</v>
      </c>
      <c r="V333" s="227" t="s">
        <v>83</v>
      </c>
      <c r="W333" s="227" t="s">
        <v>83</v>
      </c>
      <c r="X333" s="227" t="s">
        <v>83</v>
      </c>
      <c r="Y333" s="227" t="s">
        <v>83</v>
      </c>
      <c r="Z333" s="227" t="s">
        <v>83</v>
      </c>
      <c r="AA333" s="227" t="s">
        <v>83</v>
      </c>
      <c r="AB333" s="227" t="s">
        <v>83</v>
      </c>
      <c r="AC333" s="227" t="s">
        <v>83</v>
      </c>
      <c r="AD333" s="227" t="s">
        <v>83</v>
      </c>
      <c r="AE333" s="227" t="s">
        <v>83</v>
      </c>
      <c r="AF333" s="227" t="s">
        <v>83</v>
      </c>
      <c r="AG333" s="227" t="s">
        <v>83</v>
      </c>
      <c r="AH333" s="227" t="s">
        <v>83</v>
      </c>
      <c r="AI333" s="227">
        <f>(L332/10)</f>
        <v>150</v>
      </c>
      <c r="AJ333" s="228">
        <v>0</v>
      </c>
      <c r="AK333" s="228">
        <v>1</v>
      </c>
      <c r="AL333" s="227">
        <f>AL332</f>
        <v>0.75</v>
      </c>
      <c r="AM333" s="227">
        <f>AM332</f>
        <v>2.7E-2</v>
      </c>
      <c r="AN333" s="227">
        <f>AN332</f>
        <v>3</v>
      </c>
      <c r="AQ333" s="230">
        <f>AM333*I333+AL333</f>
        <v>1.5519000000000001</v>
      </c>
      <c r="AR333" s="230">
        <f>0.1*AQ333</f>
        <v>0.15519000000000002</v>
      </c>
      <c r="AS333" s="231">
        <f>AJ333*3+0.25*AK333</f>
        <v>0.25</v>
      </c>
      <c r="AT333" s="231">
        <f>SUM(AQ333:AS333)/4</f>
        <v>0.4892725</v>
      </c>
      <c r="AU333" s="230">
        <f>10068.2*J333*POWER(10,-6)*10</f>
        <v>2.9902554000000006</v>
      </c>
      <c r="AV333" s="231">
        <f>AU333+AT333+AS333+AR333+AQ333</f>
        <v>5.4366179000000008</v>
      </c>
      <c r="AW333" s="232">
        <f>AJ333*H333</f>
        <v>0</v>
      </c>
      <c r="AX333" s="232">
        <f>H333*AK333</f>
        <v>8.0000000000000007E-5</v>
      </c>
      <c r="AY333" s="232">
        <f>H333*AV333</f>
        <v>4.3492943200000009E-4</v>
      </c>
    </row>
    <row r="334" spans="1:51" s="227" customFormat="1" x14ac:dyDescent="0.3">
      <c r="A334" s="218"/>
      <c r="B334" s="218"/>
      <c r="C334" s="53"/>
      <c r="D334" s="220"/>
      <c r="E334" s="233"/>
      <c r="F334" s="234"/>
      <c r="G334" s="218"/>
      <c r="H334" s="222"/>
      <c r="I334" s="235"/>
      <c r="J334" s="238"/>
      <c r="K334" s="236" t="s">
        <v>177</v>
      </c>
      <c r="L334" s="237">
        <v>0</v>
      </c>
      <c r="N334" s="227">
        <f>B334</f>
        <v>0</v>
      </c>
      <c r="O334" s="227">
        <f>D334</f>
        <v>0</v>
      </c>
      <c r="P334" s="227" t="s">
        <v>83</v>
      </c>
      <c r="Q334" s="227" t="s">
        <v>83</v>
      </c>
      <c r="R334" s="227" t="s">
        <v>83</v>
      </c>
      <c r="S334" s="227" t="s">
        <v>83</v>
      </c>
      <c r="T334" s="227" t="s">
        <v>83</v>
      </c>
      <c r="U334" s="227" t="s">
        <v>83</v>
      </c>
      <c r="V334" s="227" t="s">
        <v>83</v>
      </c>
      <c r="W334" s="227" t="s">
        <v>83</v>
      </c>
      <c r="X334" s="227" t="s">
        <v>83</v>
      </c>
      <c r="Y334" s="227" t="s">
        <v>83</v>
      </c>
      <c r="Z334" s="227" t="s">
        <v>83</v>
      </c>
      <c r="AA334" s="227" t="s">
        <v>83</v>
      </c>
      <c r="AB334" s="227" t="s">
        <v>83</v>
      </c>
      <c r="AC334" s="227" t="s">
        <v>83</v>
      </c>
      <c r="AD334" s="227" t="s">
        <v>83</v>
      </c>
      <c r="AQ334" s="230"/>
      <c r="AR334" s="230"/>
      <c r="AS334" s="231"/>
      <c r="AT334" s="231"/>
      <c r="AU334" s="230"/>
      <c r="AV334" s="231"/>
      <c r="AW334" s="232"/>
      <c r="AX334" s="232"/>
      <c r="AY334" s="232"/>
    </row>
    <row r="335" spans="1:51" s="227" customFormat="1" x14ac:dyDescent="0.3">
      <c r="A335" s="218"/>
      <c r="B335" s="218"/>
      <c r="C335" s="53"/>
      <c r="D335" s="220"/>
      <c r="E335" s="221"/>
      <c r="F335" s="234"/>
      <c r="G335" s="218"/>
      <c r="H335" s="222"/>
      <c r="I335" s="235"/>
      <c r="J335" s="224"/>
      <c r="K335" s="236" t="s">
        <v>179</v>
      </c>
      <c r="L335" s="237">
        <v>0</v>
      </c>
      <c r="AQ335" s="230"/>
      <c r="AR335" s="230"/>
      <c r="AS335" s="231"/>
      <c r="AT335" s="231"/>
      <c r="AU335" s="230"/>
      <c r="AV335" s="231"/>
      <c r="AW335" s="232"/>
      <c r="AX335" s="232"/>
      <c r="AY335" s="232"/>
    </row>
    <row r="336" spans="1:51" s="227" customFormat="1" x14ac:dyDescent="0.3">
      <c r="A336" s="218"/>
      <c r="B336" s="218"/>
      <c r="C336" s="53"/>
      <c r="D336" s="220"/>
      <c r="E336" s="233"/>
      <c r="F336" s="234"/>
      <c r="G336" s="218"/>
      <c r="H336" s="222"/>
      <c r="I336" s="235"/>
      <c r="J336" s="224"/>
      <c r="K336" s="236" t="s">
        <v>180</v>
      </c>
      <c r="L336" s="237">
        <v>0</v>
      </c>
      <c r="AQ336" s="230"/>
      <c r="AR336" s="230"/>
      <c r="AS336" s="231"/>
      <c r="AT336" s="231"/>
      <c r="AU336" s="230"/>
      <c r="AV336" s="231"/>
      <c r="AW336" s="232"/>
      <c r="AX336" s="232"/>
      <c r="AY336" s="232"/>
    </row>
    <row r="337" spans="1:51" s="227" customFormat="1" ht="15" thickBot="1" x14ac:dyDescent="0.35">
      <c r="A337" s="218"/>
      <c r="B337" s="218"/>
      <c r="C337" s="53"/>
      <c r="D337" s="220"/>
      <c r="E337" s="233"/>
      <c r="F337" s="234"/>
      <c r="G337" s="218"/>
      <c r="H337" s="222"/>
      <c r="I337" s="235"/>
      <c r="J337" s="224"/>
      <c r="K337" s="241" t="s">
        <v>191</v>
      </c>
      <c r="L337" s="253">
        <v>24</v>
      </c>
      <c r="AQ337" s="230"/>
      <c r="AR337" s="230"/>
      <c r="AS337" s="231"/>
      <c r="AT337" s="231"/>
      <c r="AU337" s="230"/>
      <c r="AV337" s="231"/>
      <c r="AW337" s="232"/>
      <c r="AX337" s="232"/>
      <c r="AY337" s="232"/>
    </row>
    <row r="338" spans="1:51" s="227" customFormat="1" x14ac:dyDescent="0.3">
      <c r="A338" s="228"/>
      <c r="B338" s="228"/>
      <c r="D338" s="274"/>
      <c r="E338" s="275"/>
      <c r="F338" s="276"/>
      <c r="G338" s="228"/>
      <c r="H338" s="232"/>
      <c r="I338" s="231"/>
      <c r="J338" s="231"/>
      <c r="K338" s="228"/>
      <c r="L338" s="276"/>
      <c r="AQ338" s="230"/>
      <c r="AR338" s="230"/>
      <c r="AS338" s="231"/>
      <c r="AT338" s="231"/>
      <c r="AU338" s="230"/>
      <c r="AV338" s="231"/>
      <c r="AW338" s="232"/>
      <c r="AX338" s="232"/>
      <c r="AY338" s="232"/>
    </row>
    <row r="339" spans="1:51" s="227" customFormat="1" x14ac:dyDescent="0.3">
      <c r="A339" s="228"/>
      <c r="B339" s="228"/>
      <c r="D339" s="274"/>
      <c r="E339" s="275"/>
      <c r="F339" s="276"/>
      <c r="G339" s="228"/>
      <c r="H339" s="232"/>
      <c r="I339" s="231"/>
      <c r="J339" s="231"/>
      <c r="K339" s="228"/>
      <c r="L339" s="276"/>
      <c r="AQ339" s="230"/>
      <c r="AR339" s="230"/>
      <c r="AS339" s="231"/>
      <c r="AT339" s="231"/>
      <c r="AU339" s="230"/>
      <c r="AV339" s="231"/>
      <c r="AW339" s="232"/>
      <c r="AX339" s="232"/>
      <c r="AY339" s="232"/>
    </row>
    <row r="340" spans="1:51" s="227" customFormat="1" x14ac:dyDescent="0.3">
      <c r="A340" s="228"/>
      <c r="B340" s="228"/>
      <c r="D340" s="274"/>
      <c r="E340" s="275"/>
      <c r="F340" s="276"/>
      <c r="G340" s="228"/>
      <c r="H340" s="232"/>
      <c r="I340" s="231"/>
      <c r="J340" s="231"/>
      <c r="K340" s="228"/>
      <c r="L340" s="276"/>
      <c r="AQ340" s="230"/>
      <c r="AR340" s="230"/>
      <c r="AS340" s="231"/>
      <c r="AT340" s="231"/>
      <c r="AU340" s="230"/>
      <c r="AV340" s="231"/>
      <c r="AW340" s="232"/>
      <c r="AX340" s="232"/>
      <c r="AY340" s="232"/>
    </row>
    <row r="341" spans="1:51" ht="15" thickBot="1" x14ac:dyDescent="0.35"/>
    <row r="342" spans="1:51" s="179" customFormat="1" ht="15" thickBot="1" x14ac:dyDescent="0.35">
      <c r="A342" s="169" t="s">
        <v>18</v>
      </c>
      <c r="B342" s="312" t="s">
        <v>625</v>
      </c>
      <c r="C342" s="171" t="s">
        <v>196</v>
      </c>
      <c r="D342" s="172" t="s">
        <v>59</v>
      </c>
      <c r="E342" s="173">
        <v>1.0000000000000001E-5</v>
      </c>
      <c r="F342" s="170">
        <v>1</v>
      </c>
      <c r="G342" s="169">
        <v>0.1</v>
      </c>
      <c r="H342" s="174">
        <f t="shared" ref="H342:H347" si="359">E342*F342*G342</f>
        <v>1.0000000000000002E-6</v>
      </c>
      <c r="I342" s="175">
        <v>2078</v>
      </c>
      <c r="J342" s="187">
        <f>I342</f>
        <v>2078</v>
      </c>
      <c r="K342" s="177" t="s">
        <v>175</v>
      </c>
      <c r="L342" s="178">
        <v>2850</v>
      </c>
      <c r="M342" s="179" t="str">
        <f t="shared" ref="M342:M347" si="360">A342</f>
        <v>С1</v>
      </c>
      <c r="N342" s="179" t="str">
        <f t="shared" ref="N342:N347" si="361">B342</f>
        <v>Резервуар РВС (8252T0001)</v>
      </c>
      <c r="O342" s="179" t="str">
        <f t="shared" ref="O342:O347" si="362">D342</f>
        <v>Полное-пожар</v>
      </c>
      <c r="P342" s="179" t="s">
        <v>83</v>
      </c>
      <c r="Q342" s="179" t="s">
        <v>83</v>
      </c>
      <c r="R342" s="179" t="s">
        <v>83</v>
      </c>
      <c r="S342" s="179" t="s">
        <v>83</v>
      </c>
      <c r="T342" s="179" t="s">
        <v>83</v>
      </c>
      <c r="U342" s="179" t="s">
        <v>83</v>
      </c>
      <c r="V342" s="179" t="s">
        <v>83</v>
      </c>
      <c r="W342" s="179" t="s">
        <v>83</v>
      </c>
      <c r="X342" s="179" t="s">
        <v>83</v>
      </c>
      <c r="Y342" s="179" t="s">
        <v>83</v>
      </c>
      <c r="Z342" s="179" t="s">
        <v>83</v>
      </c>
      <c r="AA342" s="179" t="s">
        <v>83</v>
      </c>
      <c r="AB342" s="179" t="s">
        <v>83</v>
      </c>
      <c r="AC342" s="179" t="s">
        <v>83</v>
      </c>
      <c r="AD342" s="179" t="s">
        <v>83</v>
      </c>
      <c r="AE342" s="179" t="s">
        <v>83</v>
      </c>
      <c r="AF342" s="179" t="s">
        <v>83</v>
      </c>
      <c r="AG342" s="179" t="s">
        <v>83</v>
      </c>
      <c r="AH342" s="179" t="s">
        <v>83</v>
      </c>
      <c r="AI342" s="179" t="s">
        <v>83</v>
      </c>
      <c r="AJ342" s="180">
        <v>1</v>
      </c>
      <c r="AK342" s="180">
        <v>2</v>
      </c>
      <c r="AL342" s="181">
        <v>0.75</v>
      </c>
      <c r="AM342" s="181">
        <v>2.7E-2</v>
      </c>
      <c r="AN342" s="181">
        <v>3</v>
      </c>
      <c r="AQ342" s="182">
        <f>AM342*I342+AL342</f>
        <v>56.856000000000002</v>
      </c>
      <c r="AR342" s="182">
        <f t="shared" ref="AR342:AR347" si="363">0.1*AQ342</f>
        <v>5.6856000000000009</v>
      </c>
      <c r="AS342" s="183">
        <f t="shared" ref="AS342:AS347" si="364">AJ342*3+0.25*AK342</f>
        <v>3.5</v>
      </c>
      <c r="AT342" s="183">
        <f t="shared" ref="AT342:AT347" si="365">SUM(AQ342:AS342)/4</f>
        <v>16.510400000000001</v>
      </c>
      <c r="AU342" s="182">
        <f>10068.2*J342*POWER(10,-6)</f>
        <v>20.921719599999999</v>
      </c>
      <c r="AV342" s="183">
        <f t="shared" ref="AV342:AV347" si="366">AU342+AT342+AS342+AR342+AQ342</f>
        <v>103.47371960000001</v>
      </c>
      <c r="AW342" s="184">
        <f t="shared" ref="AW342:AW347" si="367">AJ342*H342</f>
        <v>1.0000000000000002E-6</v>
      </c>
      <c r="AX342" s="184">
        <f t="shared" ref="AX342:AX347" si="368">H342*AK342</f>
        <v>2.0000000000000003E-6</v>
      </c>
      <c r="AY342" s="184">
        <f t="shared" ref="AY342:AY347" si="369">H342*AV342</f>
        <v>1.0347371960000002E-4</v>
      </c>
    </row>
    <row r="343" spans="1:51" s="179" customFormat="1" ht="15" thickBot="1" x14ac:dyDescent="0.35">
      <c r="A343" s="169" t="s">
        <v>19</v>
      </c>
      <c r="B343" s="169" t="str">
        <f>B342</f>
        <v>Резервуар РВС (8252T0001)</v>
      </c>
      <c r="C343" s="171" t="s">
        <v>205</v>
      </c>
      <c r="D343" s="172" t="s">
        <v>59</v>
      </c>
      <c r="E343" s="185">
        <f>E342</f>
        <v>1.0000000000000001E-5</v>
      </c>
      <c r="F343" s="186">
        <f>F342</f>
        <v>1</v>
      </c>
      <c r="G343" s="169">
        <v>0.18000000000000002</v>
      </c>
      <c r="H343" s="174">
        <f t="shared" si="359"/>
        <v>1.8000000000000003E-6</v>
      </c>
      <c r="I343" s="187">
        <f>I342</f>
        <v>2078</v>
      </c>
      <c r="J343" s="187">
        <f>I342</f>
        <v>2078</v>
      </c>
      <c r="K343" s="177" t="s">
        <v>176</v>
      </c>
      <c r="L343" s="178">
        <v>0</v>
      </c>
      <c r="M343" s="179" t="str">
        <f t="shared" si="360"/>
        <v>С2</v>
      </c>
      <c r="N343" s="179" t="str">
        <f t="shared" si="361"/>
        <v>Резервуар РВС (8252T0001)</v>
      </c>
      <c r="O343" s="179" t="str">
        <f t="shared" si="362"/>
        <v>Полное-пожар</v>
      </c>
      <c r="P343" s="179" t="s">
        <v>83</v>
      </c>
      <c r="Q343" s="179" t="s">
        <v>83</v>
      </c>
      <c r="R343" s="179" t="s">
        <v>83</v>
      </c>
      <c r="S343" s="179" t="s">
        <v>83</v>
      </c>
      <c r="T343" s="179" t="s">
        <v>83</v>
      </c>
      <c r="U343" s="179" t="s">
        <v>83</v>
      </c>
      <c r="V343" s="179" t="s">
        <v>83</v>
      </c>
      <c r="W343" s="179" t="s">
        <v>83</v>
      </c>
      <c r="X343" s="179" t="s">
        <v>83</v>
      </c>
      <c r="Y343" s="179" t="s">
        <v>83</v>
      </c>
      <c r="Z343" s="179" t="s">
        <v>83</v>
      </c>
      <c r="AA343" s="179" t="s">
        <v>83</v>
      </c>
      <c r="AB343" s="179" t="s">
        <v>83</v>
      </c>
      <c r="AC343" s="179" t="s">
        <v>83</v>
      </c>
      <c r="AD343" s="179" t="s">
        <v>83</v>
      </c>
      <c r="AE343" s="179" t="s">
        <v>83</v>
      </c>
      <c r="AF343" s="179" t="s">
        <v>83</v>
      </c>
      <c r="AG343" s="179" t="s">
        <v>83</v>
      </c>
      <c r="AH343" s="179" t="s">
        <v>83</v>
      </c>
      <c r="AI343" s="179" t="s">
        <v>83</v>
      </c>
      <c r="AJ343" s="180">
        <v>2</v>
      </c>
      <c r="AK343" s="180">
        <v>2</v>
      </c>
      <c r="AL343" s="179">
        <f>AL342</f>
        <v>0.75</v>
      </c>
      <c r="AM343" s="179">
        <f>AM342</f>
        <v>2.7E-2</v>
      </c>
      <c r="AN343" s="179">
        <f>AN342</f>
        <v>3</v>
      </c>
      <c r="AQ343" s="182">
        <f>AM343*I343+AL343</f>
        <v>56.856000000000002</v>
      </c>
      <c r="AR343" s="182">
        <f t="shared" si="363"/>
        <v>5.6856000000000009</v>
      </c>
      <c r="AS343" s="183">
        <f t="shared" si="364"/>
        <v>6.5</v>
      </c>
      <c r="AT343" s="183">
        <f t="shared" si="365"/>
        <v>17.260400000000001</v>
      </c>
      <c r="AU343" s="182">
        <f>10068.2*J343*POWER(10,-6)*10</f>
        <v>209.217196</v>
      </c>
      <c r="AV343" s="183">
        <f t="shared" si="366"/>
        <v>295.51919600000002</v>
      </c>
      <c r="AW343" s="184">
        <f t="shared" si="367"/>
        <v>3.6000000000000007E-6</v>
      </c>
      <c r="AX343" s="184">
        <f t="shared" si="368"/>
        <v>3.6000000000000007E-6</v>
      </c>
      <c r="AY343" s="184">
        <f t="shared" si="369"/>
        <v>5.3193455280000019E-4</v>
      </c>
    </row>
    <row r="344" spans="1:51" s="179" customFormat="1" x14ac:dyDescent="0.3">
      <c r="A344" s="169" t="s">
        <v>20</v>
      </c>
      <c r="B344" s="169" t="str">
        <f>B342</f>
        <v>Резервуар РВС (8252T0001)</v>
      </c>
      <c r="C344" s="171" t="s">
        <v>198</v>
      </c>
      <c r="D344" s="172" t="s">
        <v>60</v>
      </c>
      <c r="E344" s="185">
        <f>E342</f>
        <v>1.0000000000000001E-5</v>
      </c>
      <c r="F344" s="186">
        <f>F342</f>
        <v>1</v>
      </c>
      <c r="G344" s="169">
        <v>0.72000000000000008</v>
      </c>
      <c r="H344" s="174">
        <f t="shared" si="359"/>
        <v>7.2000000000000014E-6</v>
      </c>
      <c r="I344" s="187">
        <f>I342</f>
        <v>2078</v>
      </c>
      <c r="J344" s="169">
        <v>0</v>
      </c>
      <c r="K344" s="177" t="s">
        <v>177</v>
      </c>
      <c r="L344" s="178">
        <v>0</v>
      </c>
      <c r="M344" s="179" t="str">
        <f t="shared" si="360"/>
        <v>С3</v>
      </c>
      <c r="N344" s="179" t="str">
        <f t="shared" si="361"/>
        <v>Резервуар РВС (8252T0001)</v>
      </c>
      <c r="O344" s="179" t="str">
        <f t="shared" si="362"/>
        <v>Полное-ликвидация</v>
      </c>
      <c r="P344" s="179" t="s">
        <v>83</v>
      </c>
      <c r="Q344" s="179" t="s">
        <v>83</v>
      </c>
      <c r="R344" s="179" t="s">
        <v>83</v>
      </c>
      <c r="S344" s="179" t="s">
        <v>83</v>
      </c>
      <c r="T344" s="179" t="s">
        <v>83</v>
      </c>
      <c r="U344" s="179" t="s">
        <v>83</v>
      </c>
      <c r="V344" s="179" t="s">
        <v>83</v>
      </c>
      <c r="W344" s="179" t="s">
        <v>83</v>
      </c>
      <c r="X344" s="179" t="s">
        <v>83</v>
      </c>
      <c r="Y344" s="179" t="s">
        <v>83</v>
      </c>
      <c r="Z344" s="179" t="s">
        <v>83</v>
      </c>
      <c r="AA344" s="179" t="s">
        <v>83</v>
      </c>
      <c r="AB344" s="179" t="s">
        <v>83</v>
      </c>
      <c r="AC344" s="179" t="s">
        <v>83</v>
      </c>
      <c r="AD344" s="179" t="s">
        <v>83</v>
      </c>
      <c r="AE344" s="179" t="s">
        <v>83</v>
      </c>
      <c r="AF344" s="179" t="s">
        <v>83</v>
      </c>
      <c r="AG344" s="179" t="s">
        <v>83</v>
      </c>
      <c r="AH344" s="179" t="s">
        <v>83</v>
      </c>
      <c r="AI344" s="179" t="s">
        <v>83</v>
      </c>
      <c r="AJ344" s="179">
        <v>0</v>
      </c>
      <c r="AK344" s="179">
        <v>0</v>
      </c>
      <c r="AL344" s="179">
        <f>AL342</f>
        <v>0.75</v>
      </c>
      <c r="AM344" s="179">
        <f>AM342</f>
        <v>2.7E-2</v>
      </c>
      <c r="AN344" s="179">
        <f>AN342</f>
        <v>3</v>
      </c>
      <c r="AQ344" s="182">
        <f>AM344*I344*0.1+AL344</f>
        <v>6.3606000000000007</v>
      </c>
      <c r="AR344" s="182">
        <f t="shared" si="363"/>
        <v>0.63606000000000007</v>
      </c>
      <c r="AS344" s="183">
        <f t="shared" si="364"/>
        <v>0</v>
      </c>
      <c r="AT344" s="183">
        <f t="shared" si="365"/>
        <v>1.7491650000000001</v>
      </c>
      <c r="AU344" s="182">
        <f>1333*J343*POWER(10,-6)</f>
        <v>2.7699739999999999</v>
      </c>
      <c r="AV344" s="183">
        <f t="shared" si="366"/>
        <v>11.515799000000001</v>
      </c>
      <c r="AW344" s="184">
        <f t="shared" si="367"/>
        <v>0</v>
      </c>
      <c r="AX344" s="184">
        <f t="shared" si="368"/>
        <v>0</v>
      </c>
      <c r="AY344" s="184">
        <f t="shared" si="369"/>
        <v>8.2913752800000028E-5</v>
      </c>
    </row>
    <row r="345" spans="1:51" s="179" customFormat="1" x14ac:dyDescent="0.3">
      <c r="A345" s="169" t="s">
        <v>21</v>
      </c>
      <c r="B345" s="169" t="str">
        <f>B342</f>
        <v>Резервуар РВС (8252T0001)</v>
      </c>
      <c r="C345" s="171" t="s">
        <v>199</v>
      </c>
      <c r="D345" s="172" t="s">
        <v>84</v>
      </c>
      <c r="E345" s="173">
        <v>1E-4</v>
      </c>
      <c r="F345" s="186">
        <f>F342</f>
        <v>1</v>
      </c>
      <c r="G345" s="169">
        <v>0.1</v>
      </c>
      <c r="H345" s="174">
        <f t="shared" si="359"/>
        <v>1.0000000000000001E-5</v>
      </c>
      <c r="I345" s="187">
        <f>0.15*I342</f>
        <v>311.7</v>
      </c>
      <c r="J345" s="187">
        <f>I345</f>
        <v>311.7</v>
      </c>
      <c r="K345" s="190" t="s">
        <v>179</v>
      </c>
      <c r="L345" s="191">
        <v>45390</v>
      </c>
      <c r="M345" s="179" t="str">
        <f t="shared" si="360"/>
        <v>С4</v>
      </c>
      <c r="N345" s="179" t="str">
        <f t="shared" si="361"/>
        <v>Резервуар РВС (8252T0001)</v>
      </c>
      <c r="O345" s="179" t="str">
        <f t="shared" si="362"/>
        <v>Частичное-пожар</v>
      </c>
      <c r="P345" s="179" t="s">
        <v>83</v>
      </c>
      <c r="Q345" s="179" t="s">
        <v>83</v>
      </c>
      <c r="R345" s="179" t="s">
        <v>83</v>
      </c>
      <c r="S345" s="179" t="s">
        <v>83</v>
      </c>
      <c r="T345" s="179" t="s">
        <v>83</v>
      </c>
      <c r="U345" s="179" t="s">
        <v>83</v>
      </c>
      <c r="V345" s="179" t="s">
        <v>83</v>
      </c>
      <c r="W345" s="179" t="s">
        <v>83</v>
      </c>
      <c r="X345" s="179" t="s">
        <v>83</v>
      </c>
      <c r="Y345" s="179" t="s">
        <v>83</v>
      </c>
      <c r="Z345" s="179" t="s">
        <v>83</v>
      </c>
      <c r="AA345" s="179" t="s">
        <v>83</v>
      </c>
      <c r="AB345" s="179" t="s">
        <v>83</v>
      </c>
      <c r="AC345" s="179" t="s">
        <v>83</v>
      </c>
      <c r="AD345" s="179" t="s">
        <v>83</v>
      </c>
      <c r="AE345" s="179" t="s">
        <v>83</v>
      </c>
      <c r="AF345" s="179" t="s">
        <v>83</v>
      </c>
      <c r="AG345" s="179" t="s">
        <v>83</v>
      </c>
      <c r="AH345" s="179" t="s">
        <v>83</v>
      </c>
      <c r="AI345" s="179" t="s">
        <v>83</v>
      </c>
      <c r="AJ345" s="179">
        <v>0</v>
      </c>
      <c r="AK345" s="179">
        <v>2</v>
      </c>
      <c r="AL345" s="179">
        <f>0.1*$AL$2</f>
        <v>7.5000000000000002E-4</v>
      </c>
      <c r="AM345" s="179">
        <f>AM342</f>
        <v>2.7E-2</v>
      </c>
      <c r="AN345" s="179">
        <f>ROUNDUP(AN342/3,0)</f>
        <v>1</v>
      </c>
      <c r="AQ345" s="182">
        <f>AM345*I345+AL345</f>
        <v>8.4166499999999989</v>
      </c>
      <c r="AR345" s="182">
        <f t="shared" si="363"/>
        <v>0.84166499999999989</v>
      </c>
      <c r="AS345" s="183">
        <f t="shared" si="364"/>
        <v>0.5</v>
      </c>
      <c r="AT345" s="183">
        <f t="shared" si="365"/>
        <v>2.4395787499999999</v>
      </c>
      <c r="AU345" s="182">
        <f>10068.2*J345*POWER(10,-6)</f>
        <v>3.1382579399999999</v>
      </c>
      <c r="AV345" s="183">
        <f t="shared" si="366"/>
        <v>15.336151689999998</v>
      </c>
      <c r="AW345" s="184">
        <f t="shared" si="367"/>
        <v>0</v>
      </c>
      <c r="AX345" s="184">
        <f t="shared" si="368"/>
        <v>2.0000000000000002E-5</v>
      </c>
      <c r="AY345" s="184">
        <f t="shared" si="369"/>
        <v>1.5336151689999999E-4</v>
      </c>
    </row>
    <row r="346" spans="1:51" s="179" customFormat="1" x14ac:dyDescent="0.3">
      <c r="A346" s="169" t="s">
        <v>22</v>
      </c>
      <c r="B346" s="169" t="str">
        <f>B342</f>
        <v>Резервуар РВС (8252T0001)</v>
      </c>
      <c r="C346" s="171" t="s">
        <v>206</v>
      </c>
      <c r="D346" s="172" t="s">
        <v>84</v>
      </c>
      <c r="E346" s="185">
        <f>E345</f>
        <v>1E-4</v>
      </c>
      <c r="F346" s="186">
        <f>F342</f>
        <v>1</v>
      </c>
      <c r="G346" s="169">
        <v>4.5000000000000005E-2</v>
      </c>
      <c r="H346" s="174">
        <f t="shared" si="359"/>
        <v>4.500000000000001E-6</v>
      </c>
      <c r="I346" s="187">
        <f>0.15*I342</f>
        <v>311.7</v>
      </c>
      <c r="J346" s="187">
        <f>I345</f>
        <v>311.7</v>
      </c>
      <c r="K346" s="190" t="s">
        <v>180</v>
      </c>
      <c r="L346" s="191">
        <v>3</v>
      </c>
      <c r="M346" s="179" t="str">
        <f t="shared" si="360"/>
        <v>С5</v>
      </c>
      <c r="N346" s="179" t="str">
        <f t="shared" si="361"/>
        <v>Резервуар РВС (8252T0001)</v>
      </c>
      <c r="O346" s="179" t="str">
        <f t="shared" si="362"/>
        <v>Частичное-пожар</v>
      </c>
      <c r="P346" s="179" t="s">
        <v>83</v>
      </c>
      <c r="Q346" s="179" t="s">
        <v>83</v>
      </c>
      <c r="R346" s="179" t="s">
        <v>83</v>
      </c>
      <c r="S346" s="179" t="s">
        <v>83</v>
      </c>
      <c r="T346" s="179" t="s">
        <v>83</v>
      </c>
      <c r="U346" s="179" t="s">
        <v>83</v>
      </c>
      <c r="V346" s="179" t="s">
        <v>83</v>
      </c>
      <c r="W346" s="179" t="s">
        <v>83</v>
      </c>
      <c r="X346" s="179" t="s">
        <v>83</v>
      </c>
      <c r="Y346" s="179" t="s">
        <v>83</v>
      </c>
      <c r="Z346" s="179" t="s">
        <v>83</v>
      </c>
      <c r="AA346" s="179" t="s">
        <v>83</v>
      </c>
      <c r="AB346" s="179" t="s">
        <v>83</v>
      </c>
      <c r="AC346" s="179" t="s">
        <v>83</v>
      </c>
      <c r="AD346" s="179" t="s">
        <v>83</v>
      </c>
      <c r="AE346" s="179" t="s">
        <v>83</v>
      </c>
      <c r="AF346" s="179" t="s">
        <v>83</v>
      </c>
      <c r="AG346" s="179" t="s">
        <v>83</v>
      </c>
      <c r="AH346" s="179" t="s">
        <v>83</v>
      </c>
      <c r="AI346" s="179" t="s">
        <v>83</v>
      </c>
      <c r="AJ346" s="179">
        <v>0</v>
      </c>
      <c r="AK346" s="179">
        <v>1</v>
      </c>
      <c r="AL346" s="179">
        <f>0.1*$AL$2</f>
        <v>7.5000000000000002E-4</v>
      </c>
      <c r="AM346" s="179">
        <f>AM342</f>
        <v>2.7E-2</v>
      </c>
      <c r="AN346" s="179">
        <f>ROUNDUP(AN342/3,0)</f>
        <v>1</v>
      </c>
      <c r="AQ346" s="182">
        <f>AM346*I346+AL346</f>
        <v>8.4166499999999989</v>
      </c>
      <c r="AR346" s="182">
        <f t="shared" si="363"/>
        <v>0.84166499999999989</v>
      </c>
      <c r="AS346" s="183">
        <f t="shared" si="364"/>
        <v>0.25</v>
      </c>
      <c r="AT346" s="183">
        <f t="shared" si="365"/>
        <v>2.3770787499999999</v>
      </c>
      <c r="AU346" s="182">
        <f>10068.2*J346*POWER(10,-6)*10</f>
        <v>31.382579399999997</v>
      </c>
      <c r="AV346" s="183">
        <f t="shared" si="366"/>
        <v>43.267973149999996</v>
      </c>
      <c r="AW346" s="184">
        <f t="shared" si="367"/>
        <v>0</v>
      </c>
      <c r="AX346" s="184">
        <f t="shared" si="368"/>
        <v>4.500000000000001E-6</v>
      </c>
      <c r="AY346" s="184">
        <f t="shared" si="369"/>
        <v>1.9470587917500001E-4</v>
      </c>
    </row>
    <row r="347" spans="1:51" s="179" customFormat="1" ht="15" thickBot="1" x14ac:dyDescent="0.35">
      <c r="A347" s="169" t="s">
        <v>23</v>
      </c>
      <c r="B347" s="169" t="str">
        <f>B342</f>
        <v>Резервуар РВС (8252T0001)</v>
      </c>
      <c r="C347" s="171" t="s">
        <v>201</v>
      </c>
      <c r="D347" s="172" t="s">
        <v>61</v>
      </c>
      <c r="E347" s="185">
        <f>E345</f>
        <v>1E-4</v>
      </c>
      <c r="F347" s="186">
        <f>F342</f>
        <v>1</v>
      </c>
      <c r="G347" s="169">
        <v>0.85499999999999998</v>
      </c>
      <c r="H347" s="174">
        <f t="shared" si="359"/>
        <v>8.5500000000000005E-5</v>
      </c>
      <c r="I347" s="187">
        <f>0.15*I342</f>
        <v>311.7</v>
      </c>
      <c r="J347" s="169">
        <v>0</v>
      </c>
      <c r="K347" s="192" t="s">
        <v>191</v>
      </c>
      <c r="L347" s="192">
        <v>11</v>
      </c>
      <c r="M347" s="179" t="str">
        <f t="shared" si="360"/>
        <v>С6</v>
      </c>
      <c r="N347" s="179" t="str">
        <f t="shared" si="361"/>
        <v>Резервуар РВС (8252T0001)</v>
      </c>
      <c r="O347" s="179" t="str">
        <f t="shared" si="362"/>
        <v>Частичное-ликвидация</v>
      </c>
      <c r="P347" s="179" t="s">
        <v>83</v>
      </c>
      <c r="Q347" s="179" t="s">
        <v>83</v>
      </c>
      <c r="R347" s="179" t="s">
        <v>83</v>
      </c>
      <c r="S347" s="179" t="s">
        <v>83</v>
      </c>
      <c r="T347" s="179" t="s">
        <v>83</v>
      </c>
      <c r="U347" s="179" t="s">
        <v>83</v>
      </c>
      <c r="V347" s="179" t="s">
        <v>83</v>
      </c>
      <c r="W347" s="179" t="s">
        <v>83</v>
      </c>
      <c r="X347" s="179" t="s">
        <v>83</v>
      </c>
      <c r="Y347" s="179" t="s">
        <v>83</v>
      </c>
      <c r="Z347" s="179" t="s">
        <v>83</v>
      </c>
      <c r="AA347" s="179" t="s">
        <v>83</v>
      </c>
      <c r="AB347" s="179" t="s">
        <v>83</v>
      </c>
      <c r="AC347" s="179" t="s">
        <v>83</v>
      </c>
      <c r="AD347" s="179" t="s">
        <v>83</v>
      </c>
      <c r="AE347" s="179" t="s">
        <v>83</v>
      </c>
      <c r="AF347" s="179" t="s">
        <v>83</v>
      </c>
      <c r="AG347" s="179" t="s">
        <v>83</v>
      </c>
      <c r="AH347" s="179" t="s">
        <v>83</v>
      </c>
      <c r="AI347" s="179" t="s">
        <v>83</v>
      </c>
      <c r="AJ347" s="179">
        <v>0</v>
      </c>
      <c r="AK347" s="179">
        <v>0</v>
      </c>
      <c r="AL347" s="179">
        <f>0.1*$AL$2</f>
        <v>7.5000000000000002E-4</v>
      </c>
      <c r="AM347" s="179">
        <f>AM342</f>
        <v>2.7E-2</v>
      </c>
      <c r="AN347" s="179">
        <f>ROUNDUP(AN342/3,0)</f>
        <v>1</v>
      </c>
      <c r="AQ347" s="182">
        <f>AM347*I347*0.1+AL347</f>
        <v>0.84233999999999998</v>
      </c>
      <c r="AR347" s="182">
        <f t="shared" si="363"/>
        <v>8.4234000000000003E-2</v>
      </c>
      <c r="AS347" s="183">
        <f t="shared" si="364"/>
        <v>0</v>
      </c>
      <c r="AT347" s="183">
        <f t="shared" si="365"/>
        <v>0.2316435</v>
      </c>
      <c r="AU347" s="182">
        <f>1333*J346*POWER(10,-6)</f>
        <v>0.41549609999999998</v>
      </c>
      <c r="AV347" s="183">
        <f t="shared" si="366"/>
        <v>1.5737136</v>
      </c>
      <c r="AW347" s="184">
        <f t="shared" si="367"/>
        <v>0</v>
      </c>
      <c r="AX347" s="184">
        <f t="shared" si="368"/>
        <v>0</v>
      </c>
      <c r="AY347" s="184">
        <f t="shared" si="369"/>
        <v>1.3455251280000002E-4</v>
      </c>
    </row>
    <row r="348" spans="1:51" s="179" customFormat="1" x14ac:dyDescent="0.3">
      <c r="A348" s="180"/>
      <c r="B348" s="180"/>
      <c r="D348" s="271"/>
      <c r="E348" s="272"/>
      <c r="F348" s="273"/>
      <c r="G348" s="180"/>
      <c r="H348" s="184"/>
      <c r="I348" s="183"/>
      <c r="J348" s="180"/>
      <c r="K348" s="180"/>
      <c r="L348" s="180"/>
      <c r="AQ348" s="182"/>
      <c r="AR348" s="182"/>
      <c r="AS348" s="183"/>
      <c r="AT348" s="183"/>
      <c r="AU348" s="182"/>
      <c r="AV348" s="183"/>
      <c r="AW348" s="184"/>
      <c r="AX348" s="184"/>
      <c r="AY348" s="184"/>
    </row>
    <row r="349" spans="1:51" s="179" customFormat="1" x14ac:dyDescent="0.3">
      <c r="A349" s="180"/>
      <c r="B349" s="180"/>
      <c r="D349" s="271"/>
      <c r="E349" s="272"/>
      <c r="F349" s="273"/>
      <c r="G349" s="180"/>
      <c r="H349" s="184"/>
      <c r="I349" s="183"/>
      <c r="J349" s="180"/>
      <c r="K349" s="180"/>
      <c r="L349" s="180"/>
      <c r="AQ349" s="182"/>
      <c r="AR349" s="182"/>
      <c r="AS349" s="183"/>
      <c r="AT349" s="183"/>
      <c r="AU349" s="182"/>
      <c r="AV349" s="183"/>
      <c r="AW349" s="184"/>
      <c r="AX349" s="184"/>
      <c r="AY349" s="184"/>
    </row>
    <row r="350" spans="1:51" s="179" customFormat="1" x14ac:dyDescent="0.3">
      <c r="A350" s="180"/>
      <c r="B350" s="180"/>
      <c r="D350" s="271"/>
      <c r="E350" s="272"/>
      <c r="F350" s="273"/>
      <c r="G350" s="180"/>
      <c r="H350" s="184"/>
      <c r="I350" s="183"/>
      <c r="J350" s="180"/>
      <c r="K350" s="180"/>
      <c r="L350" s="180"/>
      <c r="AQ350" s="182"/>
      <c r="AR350" s="182"/>
      <c r="AS350" s="183"/>
      <c r="AT350" s="183"/>
      <c r="AU350" s="182"/>
      <c r="AV350" s="183"/>
      <c r="AW350" s="184"/>
      <c r="AX350" s="184"/>
      <c r="AY350" s="184"/>
    </row>
    <row r="351" spans="1:51" ht="15" thickBot="1" x14ac:dyDescent="0.35"/>
    <row r="352" spans="1:51" s="179" customFormat="1" ht="15" thickBot="1" x14ac:dyDescent="0.35">
      <c r="A352" s="169" t="s">
        <v>18</v>
      </c>
      <c r="B352" s="170" t="s">
        <v>626</v>
      </c>
      <c r="C352" s="171" t="s">
        <v>196</v>
      </c>
      <c r="D352" s="172" t="s">
        <v>59</v>
      </c>
      <c r="E352" s="173">
        <v>1.0000000000000001E-5</v>
      </c>
      <c r="F352" s="170">
        <v>1</v>
      </c>
      <c r="G352" s="169">
        <v>0.1</v>
      </c>
      <c r="H352" s="174">
        <f t="shared" ref="H352:H357" si="370">E352*F352*G352</f>
        <v>1.0000000000000002E-6</v>
      </c>
      <c r="I352" s="175">
        <v>1184</v>
      </c>
      <c r="J352" s="176">
        <f>I352</f>
        <v>1184</v>
      </c>
      <c r="K352" s="177" t="s">
        <v>175</v>
      </c>
      <c r="L352" s="178">
        <v>2100</v>
      </c>
      <c r="M352" s="179" t="str">
        <f t="shared" ref="M352:M357" si="371">A352</f>
        <v>С1</v>
      </c>
      <c r="N352" s="179" t="str">
        <f t="shared" ref="N352:N357" si="372">B352</f>
        <v>Резервуар РВС (8701Т0001)</v>
      </c>
      <c r="O352" s="179" t="str">
        <f t="shared" ref="O352:O357" si="373">D352</f>
        <v>Полное-пожар</v>
      </c>
      <c r="P352" s="179">
        <v>47.1</v>
      </c>
      <c r="Q352" s="179">
        <v>64.099999999999994</v>
      </c>
      <c r="R352" s="179">
        <v>90.1</v>
      </c>
      <c r="S352" s="179">
        <v>161.69999999999999</v>
      </c>
      <c r="T352" s="179" t="s">
        <v>83</v>
      </c>
      <c r="U352" s="179" t="s">
        <v>83</v>
      </c>
      <c r="V352" s="179" t="s">
        <v>83</v>
      </c>
      <c r="W352" s="179" t="s">
        <v>83</v>
      </c>
      <c r="X352" s="179" t="s">
        <v>83</v>
      </c>
      <c r="Y352" s="179" t="s">
        <v>83</v>
      </c>
      <c r="Z352" s="179" t="s">
        <v>83</v>
      </c>
      <c r="AA352" s="179" t="s">
        <v>83</v>
      </c>
      <c r="AB352" s="179" t="s">
        <v>83</v>
      </c>
      <c r="AC352" s="179" t="s">
        <v>83</v>
      </c>
      <c r="AD352" s="179" t="s">
        <v>83</v>
      </c>
      <c r="AE352" s="179" t="s">
        <v>83</v>
      </c>
      <c r="AF352" s="179" t="s">
        <v>83</v>
      </c>
      <c r="AG352" s="179" t="s">
        <v>83</v>
      </c>
      <c r="AH352" s="179" t="s">
        <v>83</v>
      </c>
      <c r="AI352" s="179" t="s">
        <v>83</v>
      </c>
      <c r="AJ352" s="180">
        <v>1</v>
      </c>
      <c r="AK352" s="180">
        <v>2</v>
      </c>
      <c r="AL352" s="181">
        <v>0.75</v>
      </c>
      <c r="AM352" s="181">
        <v>2.7E-2</v>
      </c>
      <c r="AN352" s="181">
        <v>3</v>
      </c>
      <c r="AQ352" s="182">
        <f>AM352*I352+AL352</f>
        <v>32.718000000000004</v>
      </c>
      <c r="AR352" s="182">
        <f t="shared" ref="AR352:AR357" si="374">0.1*AQ352</f>
        <v>3.2718000000000007</v>
      </c>
      <c r="AS352" s="183">
        <f t="shared" ref="AS352:AS357" si="375">AJ352*3+0.25*AK352</f>
        <v>3.5</v>
      </c>
      <c r="AT352" s="183">
        <f t="shared" ref="AT352:AT357" si="376">SUM(AQ352:AS352)/4</f>
        <v>9.8724500000000006</v>
      </c>
      <c r="AU352" s="182">
        <f>10068.2*J352*POWER(10,-6)</f>
        <v>11.9207488</v>
      </c>
      <c r="AV352" s="183">
        <f t="shared" ref="AV352:AV357" si="377">AU352+AT352+AS352+AR352+AQ352</f>
        <v>61.282998800000001</v>
      </c>
      <c r="AW352" s="184">
        <f t="shared" ref="AW352:AW357" si="378">AJ352*H352</f>
        <v>1.0000000000000002E-6</v>
      </c>
      <c r="AX352" s="184">
        <f t="shared" ref="AX352:AX357" si="379">H352*AK352</f>
        <v>2.0000000000000003E-6</v>
      </c>
      <c r="AY352" s="184">
        <f t="shared" ref="AY352:AY357" si="380">H352*AV352</f>
        <v>6.128299880000001E-5</v>
      </c>
    </row>
    <row r="353" spans="1:51" s="179" customFormat="1" ht="15" thickBot="1" x14ac:dyDescent="0.35">
      <c r="A353" s="169" t="s">
        <v>19</v>
      </c>
      <c r="B353" s="169" t="str">
        <f>B352</f>
        <v>Резервуар РВС (8701Т0001)</v>
      </c>
      <c r="C353" s="171" t="s">
        <v>197</v>
      </c>
      <c r="D353" s="172" t="s">
        <v>62</v>
      </c>
      <c r="E353" s="185">
        <f>E352</f>
        <v>1.0000000000000001E-5</v>
      </c>
      <c r="F353" s="186">
        <f>F352</f>
        <v>1</v>
      </c>
      <c r="G353" s="169">
        <v>0.18000000000000002</v>
      </c>
      <c r="H353" s="174">
        <f t="shared" si="370"/>
        <v>1.8000000000000003E-6</v>
      </c>
      <c r="I353" s="187">
        <f>I352</f>
        <v>1184</v>
      </c>
      <c r="J353" s="418">
        <f>POWER(10,-6)*55*SQRT(100)*3600*L352/1000*0.05</f>
        <v>0.20789999999999997</v>
      </c>
      <c r="K353" s="177" t="s">
        <v>176</v>
      </c>
      <c r="L353" s="178">
        <v>0</v>
      </c>
      <c r="M353" s="179" t="str">
        <f t="shared" si="371"/>
        <v>С2</v>
      </c>
      <c r="N353" s="179" t="str">
        <f t="shared" si="372"/>
        <v>Резервуар РВС (8701Т0001)</v>
      </c>
      <c r="O353" s="179" t="str">
        <f t="shared" si="373"/>
        <v>Полное-взрыв</v>
      </c>
      <c r="P353" s="179" t="s">
        <v>83</v>
      </c>
      <c r="Q353" s="179" t="s">
        <v>83</v>
      </c>
      <c r="R353" s="179" t="s">
        <v>83</v>
      </c>
      <c r="S353" s="179" t="s">
        <v>83</v>
      </c>
      <c r="T353" s="179">
        <v>0</v>
      </c>
      <c r="U353" s="179">
        <v>0</v>
      </c>
      <c r="V353" s="179">
        <v>64.599999999999994</v>
      </c>
      <c r="W353" s="179">
        <v>216.1</v>
      </c>
      <c r="X353" s="179">
        <v>562.6</v>
      </c>
      <c r="Y353" s="179" t="s">
        <v>83</v>
      </c>
      <c r="Z353" s="179" t="s">
        <v>83</v>
      </c>
      <c r="AA353" s="179" t="s">
        <v>83</v>
      </c>
      <c r="AB353" s="179" t="s">
        <v>83</v>
      </c>
      <c r="AC353" s="179" t="s">
        <v>83</v>
      </c>
      <c r="AD353" s="179" t="s">
        <v>83</v>
      </c>
      <c r="AE353" s="179" t="s">
        <v>83</v>
      </c>
      <c r="AF353" s="179" t="s">
        <v>83</v>
      </c>
      <c r="AG353" s="179" t="s">
        <v>83</v>
      </c>
      <c r="AH353" s="179" t="s">
        <v>83</v>
      </c>
      <c r="AI353" s="179" t="s">
        <v>83</v>
      </c>
      <c r="AJ353" s="180">
        <v>2</v>
      </c>
      <c r="AK353" s="180">
        <v>2</v>
      </c>
      <c r="AL353" s="179">
        <f>AL352</f>
        <v>0.75</v>
      </c>
      <c r="AM353" s="179">
        <f>AM352</f>
        <v>2.7E-2</v>
      </c>
      <c r="AN353" s="179">
        <f>AN352</f>
        <v>3</v>
      </c>
      <c r="AQ353" s="182">
        <f>AM353*I353+AL353</f>
        <v>32.718000000000004</v>
      </c>
      <c r="AR353" s="182">
        <f t="shared" si="374"/>
        <v>3.2718000000000007</v>
      </c>
      <c r="AS353" s="183">
        <f t="shared" si="375"/>
        <v>6.5</v>
      </c>
      <c r="AT353" s="183">
        <f t="shared" si="376"/>
        <v>10.622450000000001</v>
      </c>
      <c r="AU353" s="182">
        <f>10068.2*J353*POWER(10,-6)*10</f>
        <v>2.0931787799999997E-2</v>
      </c>
      <c r="AV353" s="183">
        <f t="shared" si="377"/>
        <v>53.133181787800005</v>
      </c>
      <c r="AW353" s="184">
        <f t="shared" si="378"/>
        <v>3.6000000000000007E-6</v>
      </c>
      <c r="AX353" s="184">
        <f t="shared" si="379"/>
        <v>3.6000000000000007E-6</v>
      </c>
      <c r="AY353" s="184">
        <f t="shared" si="380"/>
        <v>9.5639727218040029E-5</v>
      </c>
    </row>
    <row r="354" spans="1:51" s="179" customFormat="1" x14ac:dyDescent="0.3">
      <c r="A354" s="169" t="s">
        <v>20</v>
      </c>
      <c r="B354" s="169" t="str">
        <f>B352</f>
        <v>Резервуар РВС (8701Т0001)</v>
      </c>
      <c r="C354" s="171" t="s">
        <v>198</v>
      </c>
      <c r="D354" s="172" t="s">
        <v>60</v>
      </c>
      <c r="E354" s="185">
        <f>E352</f>
        <v>1.0000000000000001E-5</v>
      </c>
      <c r="F354" s="186">
        <f>F352</f>
        <v>1</v>
      </c>
      <c r="G354" s="169">
        <v>0.72000000000000008</v>
      </c>
      <c r="H354" s="174">
        <f t="shared" si="370"/>
        <v>7.2000000000000014E-6</v>
      </c>
      <c r="I354" s="187">
        <f>I352</f>
        <v>1184</v>
      </c>
      <c r="J354" s="189">
        <v>0</v>
      </c>
      <c r="K354" s="177" t="s">
        <v>177</v>
      </c>
      <c r="L354" s="178">
        <v>0</v>
      </c>
      <c r="M354" s="179" t="str">
        <f t="shared" si="371"/>
        <v>С3</v>
      </c>
      <c r="N354" s="179" t="str">
        <f t="shared" si="372"/>
        <v>Резервуар РВС (8701Т0001)</v>
      </c>
      <c r="O354" s="179" t="str">
        <f t="shared" si="373"/>
        <v>Полное-ликвидация</v>
      </c>
      <c r="P354" s="179" t="s">
        <v>83</v>
      </c>
      <c r="Q354" s="179" t="s">
        <v>83</v>
      </c>
      <c r="R354" s="179" t="s">
        <v>83</v>
      </c>
      <c r="S354" s="179" t="s">
        <v>83</v>
      </c>
      <c r="T354" s="179" t="s">
        <v>83</v>
      </c>
      <c r="U354" s="179" t="s">
        <v>83</v>
      </c>
      <c r="V354" s="179" t="s">
        <v>83</v>
      </c>
      <c r="W354" s="179" t="s">
        <v>83</v>
      </c>
      <c r="X354" s="179" t="s">
        <v>83</v>
      </c>
      <c r="Y354" s="179" t="s">
        <v>83</v>
      </c>
      <c r="Z354" s="179" t="s">
        <v>83</v>
      </c>
      <c r="AA354" s="179" t="s">
        <v>83</v>
      </c>
      <c r="AB354" s="179" t="s">
        <v>83</v>
      </c>
      <c r="AC354" s="179" t="s">
        <v>83</v>
      </c>
      <c r="AD354" s="179" t="s">
        <v>83</v>
      </c>
      <c r="AE354" s="179" t="s">
        <v>83</v>
      </c>
      <c r="AF354" s="179" t="s">
        <v>83</v>
      </c>
      <c r="AG354" s="179" t="s">
        <v>83</v>
      </c>
      <c r="AH354" s="179" t="s">
        <v>83</v>
      </c>
      <c r="AI354" s="179" t="s">
        <v>83</v>
      </c>
      <c r="AJ354" s="179">
        <v>0</v>
      </c>
      <c r="AK354" s="179">
        <v>0</v>
      </c>
      <c r="AL354" s="179">
        <f>AL352</f>
        <v>0.75</v>
      </c>
      <c r="AM354" s="179">
        <f>AM352</f>
        <v>2.7E-2</v>
      </c>
      <c r="AN354" s="179">
        <f>AN352</f>
        <v>3</v>
      </c>
      <c r="AQ354" s="182">
        <f>AM354*I354*0.1+AL354</f>
        <v>3.9468000000000001</v>
      </c>
      <c r="AR354" s="182">
        <f t="shared" si="374"/>
        <v>0.39468000000000003</v>
      </c>
      <c r="AS354" s="183">
        <f t="shared" si="375"/>
        <v>0</v>
      </c>
      <c r="AT354" s="183">
        <f t="shared" si="376"/>
        <v>1.0853699999999999</v>
      </c>
      <c r="AU354" s="182">
        <f>1333*J353*POWER(10,-6)</f>
        <v>2.7713069999999997E-4</v>
      </c>
      <c r="AV354" s="183">
        <f t="shared" si="377"/>
        <v>5.4271271307000006</v>
      </c>
      <c r="AW354" s="184">
        <f t="shared" si="378"/>
        <v>0</v>
      </c>
      <c r="AX354" s="184">
        <f t="shared" si="379"/>
        <v>0</v>
      </c>
      <c r="AY354" s="184">
        <f t="shared" si="380"/>
        <v>3.9075315341040011E-5</v>
      </c>
    </row>
    <row r="355" spans="1:51" s="179" customFormat="1" x14ac:dyDescent="0.3">
      <c r="A355" s="169" t="s">
        <v>21</v>
      </c>
      <c r="B355" s="169" t="str">
        <f>B352</f>
        <v>Резервуар РВС (8701Т0001)</v>
      </c>
      <c r="C355" s="171" t="s">
        <v>199</v>
      </c>
      <c r="D355" s="172" t="s">
        <v>84</v>
      </c>
      <c r="E355" s="173">
        <v>1E-4</v>
      </c>
      <c r="F355" s="186">
        <f>F352</f>
        <v>1</v>
      </c>
      <c r="G355" s="169">
        <v>0.1</v>
      </c>
      <c r="H355" s="174">
        <f t="shared" si="370"/>
        <v>1.0000000000000001E-5</v>
      </c>
      <c r="I355" s="187">
        <f>0.15*I352</f>
        <v>177.6</v>
      </c>
      <c r="J355" s="176">
        <f>I355</f>
        <v>177.6</v>
      </c>
      <c r="K355" s="190" t="s">
        <v>179</v>
      </c>
      <c r="L355" s="191">
        <v>45390</v>
      </c>
      <c r="M355" s="179" t="str">
        <f t="shared" si="371"/>
        <v>С4</v>
      </c>
      <c r="N355" s="179" t="str">
        <f t="shared" si="372"/>
        <v>Резервуар РВС (8701Т0001)</v>
      </c>
      <c r="O355" s="179" t="str">
        <f t="shared" si="373"/>
        <v>Частичное-пожар</v>
      </c>
      <c r="P355" s="179">
        <v>18.600000000000001</v>
      </c>
      <c r="Q355" s="179">
        <v>25.8</v>
      </c>
      <c r="R355" s="179">
        <v>36.9</v>
      </c>
      <c r="S355" s="179">
        <v>68.8</v>
      </c>
      <c r="T355" s="179" t="s">
        <v>83</v>
      </c>
      <c r="U355" s="179" t="s">
        <v>83</v>
      </c>
      <c r="V355" s="179" t="s">
        <v>83</v>
      </c>
      <c r="W355" s="179" t="s">
        <v>83</v>
      </c>
      <c r="X355" s="179" t="s">
        <v>83</v>
      </c>
      <c r="Y355" s="179" t="s">
        <v>83</v>
      </c>
      <c r="Z355" s="179" t="s">
        <v>83</v>
      </c>
      <c r="AA355" s="179" t="s">
        <v>83</v>
      </c>
      <c r="AB355" s="179" t="s">
        <v>83</v>
      </c>
      <c r="AC355" s="179" t="s">
        <v>83</v>
      </c>
      <c r="AD355" s="179" t="s">
        <v>83</v>
      </c>
      <c r="AE355" s="179" t="s">
        <v>83</v>
      </c>
      <c r="AF355" s="179" t="s">
        <v>83</v>
      </c>
      <c r="AG355" s="179" t="s">
        <v>83</v>
      </c>
      <c r="AH355" s="179" t="s">
        <v>83</v>
      </c>
      <c r="AI355" s="179" t="s">
        <v>83</v>
      </c>
      <c r="AJ355" s="179">
        <v>0</v>
      </c>
      <c r="AK355" s="179">
        <v>2</v>
      </c>
      <c r="AL355" s="179">
        <f>0.1*$AL$2</f>
        <v>7.5000000000000002E-4</v>
      </c>
      <c r="AM355" s="179">
        <f>AM352</f>
        <v>2.7E-2</v>
      </c>
      <c r="AN355" s="179">
        <f>ROUNDUP(AN352/3,0)</f>
        <v>1</v>
      </c>
      <c r="AQ355" s="182">
        <f>AM355*I355+AL355</f>
        <v>4.7959499999999995</v>
      </c>
      <c r="AR355" s="182">
        <f t="shared" si="374"/>
        <v>0.47959499999999999</v>
      </c>
      <c r="AS355" s="183">
        <f t="shared" si="375"/>
        <v>0.5</v>
      </c>
      <c r="AT355" s="183">
        <f t="shared" si="376"/>
        <v>1.4438862499999998</v>
      </c>
      <c r="AU355" s="182">
        <f>10068.2*J355*POWER(10,-6)</f>
        <v>1.78811232</v>
      </c>
      <c r="AV355" s="183">
        <f t="shared" si="377"/>
        <v>9.0075435699999993</v>
      </c>
      <c r="AW355" s="184">
        <f t="shared" si="378"/>
        <v>0</v>
      </c>
      <c r="AX355" s="184">
        <f t="shared" si="379"/>
        <v>2.0000000000000002E-5</v>
      </c>
      <c r="AY355" s="184">
        <f t="shared" si="380"/>
        <v>9.0075435699999999E-5</v>
      </c>
    </row>
    <row r="356" spans="1:51" s="179" customFormat="1" x14ac:dyDescent="0.3">
      <c r="A356" s="169" t="s">
        <v>22</v>
      </c>
      <c r="B356" s="169" t="str">
        <f>B352</f>
        <v>Резервуар РВС (8701Т0001)</v>
      </c>
      <c r="C356" s="171" t="s">
        <v>200</v>
      </c>
      <c r="D356" s="172" t="s">
        <v>165</v>
      </c>
      <c r="E356" s="185">
        <f>E355</f>
        <v>1E-4</v>
      </c>
      <c r="F356" s="186">
        <f>F352</f>
        <v>1</v>
      </c>
      <c r="G356" s="169">
        <v>4.5000000000000005E-2</v>
      </c>
      <c r="H356" s="174">
        <f t="shared" si="370"/>
        <v>4.500000000000001E-6</v>
      </c>
      <c r="I356" s="187">
        <f>0.15*I352</f>
        <v>177.6</v>
      </c>
      <c r="J356" s="176">
        <f>0.15*J353</f>
        <v>3.1184999999999994E-2</v>
      </c>
      <c r="K356" s="190" t="s">
        <v>180</v>
      </c>
      <c r="L356" s="191">
        <v>3</v>
      </c>
      <c r="M356" s="179" t="str">
        <f t="shared" si="371"/>
        <v>С5</v>
      </c>
      <c r="N356" s="179" t="str">
        <f t="shared" si="372"/>
        <v>Резервуар РВС (8701Т0001)</v>
      </c>
      <c r="O356" s="179" t="str">
        <f t="shared" si="373"/>
        <v>Частичное-пожар-вспышка</v>
      </c>
      <c r="P356" s="179" t="s">
        <v>83</v>
      </c>
      <c r="Q356" s="179" t="s">
        <v>83</v>
      </c>
      <c r="R356" s="179" t="s">
        <v>83</v>
      </c>
      <c r="S356" s="179" t="s">
        <v>83</v>
      </c>
      <c r="T356" s="179" t="s">
        <v>83</v>
      </c>
      <c r="U356" s="179" t="s">
        <v>83</v>
      </c>
      <c r="V356" s="179" t="s">
        <v>83</v>
      </c>
      <c r="W356" s="179" t="s">
        <v>83</v>
      </c>
      <c r="X356" s="179" t="s">
        <v>83</v>
      </c>
      <c r="Y356" s="179" t="s">
        <v>83</v>
      </c>
      <c r="Z356" s="179" t="s">
        <v>83</v>
      </c>
      <c r="AA356" s="179">
        <v>15.35</v>
      </c>
      <c r="AB356" s="179">
        <v>18.420000000000002</v>
      </c>
      <c r="AC356" s="179" t="s">
        <v>83</v>
      </c>
      <c r="AD356" s="179" t="s">
        <v>83</v>
      </c>
      <c r="AE356" s="179" t="s">
        <v>83</v>
      </c>
      <c r="AF356" s="179" t="s">
        <v>83</v>
      </c>
      <c r="AG356" s="179" t="s">
        <v>83</v>
      </c>
      <c r="AH356" s="179" t="s">
        <v>83</v>
      </c>
      <c r="AI356" s="179" t="s">
        <v>83</v>
      </c>
      <c r="AJ356" s="179">
        <v>0</v>
      </c>
      <c r="AK356" s="179">
        <v>1</v>
      </c>
      <c r="AL356" s="179">
        <f>0.1*$AL$2</f>
        <v>7.5000000000000002E-4</v>
      </c>
      <c r="AM356" s="179">
        <f>AM352</f>
        <v>2.7E-2</v>
      </c>
      <c r="AN356" s="179">
        <f>ROUNDUP(AN352/3,0)</f>
        <v>1</v>
      </c>
      <c r="AQ356" s="182">
        <f>AM356*I356+AL356</f>
        <v>4.7959499999999995</v>
      </c>
      <c r="AR356" s="182">
        <f t="shared" si="374"/>
        <v>0.47959499999999999</v>
      </c>
      <c r="AS356" s="183">
        <f t="shared" si="375"/>
        <v>0.25</v>
      </c>
      <c r="AT356" s="183">
        <f t="shared" si="376"/>
        <v>1.3813862499999998</v>
      </c>
      <c r="AU356" s="182">
        <f>10068.2*J356*POWER(10,-6)*10</f>
        <v>3.1397681699999996E-3</v>
      </c>
      <c r="AV356" s="183">
        <f t="shared" si="377"/>
        <v>6.9100710181699991</v>
      </c>
      <c r="AW356" s="184">
        <f t="shared" si="378"/>
        <v>0</v>
      </c>
      <c r="AX356" s="184">
        <f t="shared" si="379"/>
        <v>4.500000000000001E-6</v>
      </c>
      <c r="AY356" s="184">
        <f t="shared" si="380"/>
        <v>3.1095319581765002E-5</v>
      </c>
    </row>
    <row r="357" spans="1:51" s="179" customFormat="1" ht="15" thickBot="1" x14ac:dyDescent="0.35">
      <c r="A357" s="169" t="s">
        <v>23</v>
      </c>
      <c r="B357" s="169" t="str">
        <f>B352</f>
        <v>Резервуар РВС (8701Т0001)</v>
      </c>
      <c r="C357" s="171" t="s">
        <v>201</v>
      </c>
      <c r="D357" s="172" t="s">
        <v>61</v>
      </c>
      <c r="E357" s="185">
        <f>E355</f>
        <v>1E-4</v>
      </c>
      <c r="F357" s="186">
        <f>F352</f>
        <v>1</v>
      </c>
      <c r="G357" s="169">
        <v>0.85499999999999998</v>
      </c>
      <c r="H357" s="174">
        <f t="shared" si="370"/>
        <v>8.5500000000000005E-5</v>
      </c>
      <c r="I357" s="187">
        <f>0.15*I352</f>
        <v>177.6</v>
      </c>
      <c r="J357" s="189">
        <v>0</v>
      </c>
      <c r="K357" s="192" t="s">
        <v>191</v>
      </c>
      <c r="L357" s="192">
        <v>9</v>
      </c>
      <c r="M357" s="179" t="str">
        <f t="shared" si="371"/>
        <v>С6</v>
      </c>
      <c r="N357" s="179" t="str">
        <f t="shared" si="372"/>
        <v>Резервуар РВС (8701Т0001)</v>
      </c>
      <c r="O357" s="179" t="str">
        <f t="shared" si="373"/>
        <v>Частичное-ликвидация</v>
      </c>
      <c r="P357" s="179" t="s">
        <v>83</v>
      </c>
      <c r="Q357" s="179" t="s">
        <v>83</v>
      </c>
      <c r="R357" s="179" t="s">
        <v>83</v>
      </c>
      <c r="S357" s="179" t="s">
        <v>83</v>
      </c>
      <c r="T357" s="179" t="s">
        <v>83</v>
      </c>
      <c r="U357" s="179" t="s">
        <v>83</v>
      </c>
      <c r="V357" s="179" t="s">
        <v>83</v>
      </c>
      <c r="W357" s="179" t="s">
        <v>83</v>
      </c>
      <c r="X357" s="179" t="s">
        <v>83</v>
      </c>
      <c r="Y357" s="179" t="s">
        <v>83</v>
      </c>
      <c r="Z357" s="179" t="s">
        <v>83</v>
      </c>
      <c r="AA357" s="179" t="s">
        <v>83</v>
      </c>
      <c r="AB357" s="179" t="s">
        <v>83</v>
      </c>
      <c r="AC357" s="179" t="s">
        <v>83</v>
      </c>
      <c r="AD357" s="179" t="s">
        <v>83</v>
      </c>
      <c r="AE357" s="179" t="s">
        <v>83</v>
      </c>
      <c r="AF357" s="179" t="s">
        <v>83</v>
      </c>
      <c r="AG357" s="179" t="s">
        <v>83</v>
      </c>
      <c r="AH357" s="179" t="s">
        <v>83</v>
      </c>
      <c r="AI357" s="179" t="s">
        <v>83</v>
      </c>
      <c r="AJ357" s="179">
        <v>0</v>
      </c>
      <c r="AK357" s="179">
        <v>0</v>
      </c>
      <c r="AL357" s="179">
        <f>0.1*$AL$2</f>
        <v>7.5000000000000002E-4</v>
      </c>
      <c r="AM357" s="179">
        <f>AM352</f>
        <v>2.7E-2</v>
      </c>
      <c r="AN357" s="179">
        <f>ROUNDUP(AN352/3,0)</f>
        <v>1</v>
      </c>
      <c r="AQ357" s="182">
        <f>AM357*I357*0.1+AL357</f>
        <v>0.48026999999999992</v>
      </c>
      <c r="AR357" s="182">
        <f t="shared" si="374"/>
        <v>4.8026999999999993E-2</v>
      </c>
      <c r="AS357" s="183">
        <f t="shared" si="375"/>
        <v>0</v>
      </c>
      <c r="AT357" s="183">
        <f t="shared" si="376"/>
        <v>0.13207424999999998</v>
      </c>
      <c r="AU357" s="182">
        <f>1333*J356*POWER(10,-6)</f>
        <v>4.1569604999999989E-5</v>
      </c>
      <c r="AV357" s="183">
        <f t="shared" si="377"/>
        <v>0.66041281960499987</v>
      </c>
      <c r="AW357" s="184">
        <f t="shared" si="378"/>
        <v>0</v>
      </c>
      <c r="AX357" s="184">
        <f t="shared" si="379"/>
        <v>0</v>
      </c>
      <c r="AY357" s="184">
        <f t="shared" si="380"/>
        <v>5.6465296076227489E-5</v>
      </c>
    </row>
    <row r="358" spans="1:51" s="179" customFormat="1" x14ac:dyDescent="0.3">
      <c r="A358" s="180"/>
      <c r="B358" s="180"/>
      <c r="D358" s="271"/>
      <c r="E358" s="272"/>
      <c r="F358" s="273"/>
      <c r="G358" s="180"/>
      <c r="H358" s="184"/>
      <c r="I358" s="183"/>
      <c r="J358" s="180"/>
      <c r="K358" s="180"/>
      <c r="L358" s="180"/>
      <c r="AQ358" s="182"/>
      <c r="AR358" s="182"/>
      <c r="AS358" s="183"/>
      <c r="AT358" s="183"/>
      <c r="AU358" s="182"/>
      <c r="AV358" s="183"/>
      <c r="AW358" s="184"/>
      <c r="AX358" s="184"/>
      <c r="AY358" s="184"/>
    </row>
    <row r="359" spans="1:51" s="179" customFormat="1" x14ac:dyDescent="0.3">
      <c r="A359" s="180"/>
      <c r="B359" s="180"/>
      <c r="D359" s="271"/>
      <c r="E359" s="272"/>
      <c r="F359" s="273"/>
      <c r="G359" s="180"/>
      <c r="H359" s="184"/>
      <c r="I359" s="183"/>
      <c r="J359" s="180"/>
      <c r="K359" s="180"/>
      <c r="L359" s="180"/>
      <c r="AQ359" s="182"/>
      <c r="AR359" s="182"/>
      <c r="AS359" s="183"/>
      <c r="AT359" s="183"/>
      <c r="AU359" s="182"/>
      <c r="AV359" s="183"/>
      <c r="AW359" s="184"/>
      <c r="AX359" s="184"/>
      <c r="AY359" s="184"/>
    </row>
    <row r="360" spans="1:51" s="179" customFormat="1" x14ac:dyDescent="0.3">
      <c r="A360" s="180"/>
      <c r="B360" s="180"/>
      <c r="D360" s="271"/>
      <c r="E360" s="272"/>
      <c r="F360" s="273"/>
      <c r="G360" s="180"/>
      <c r="H360" s="184"/>
      <c r="I360" s="183"/>
      <c r="J360" s="180"/>
      <c r="K360" s="180"/>
      <c r="L360" s="180"/>
      <c r="AQ360" s="182"/>
      <c r="AR360" s="182"/>
      <c r="AS360" s="183"/>
      <c r="AT360" s="183"/>
      <c r="AU360" s="182"/>
      <c r="AV360" s="183"/>
      <c r="AW360" s="184"/>
      <c r="AX360" s="184"/>
      <c r="AY360" s="184"/>
    </row>
    <row r="361" spans="1:51" ht="15" thickBot="1" x14ac:dyDescent="0.35"/>
    <row r="362" spans="1:51" s="179" customFormat="1" ht="15" thickBot="1" x14ac:dyDescent="0.35">
      <c r="A362" s="169" t="s">
        <v>18</v>
      </c>
      <c r="B362" s="170" t="s">
        <v>627</v>
      </c>
      <c r="C362" s="171" t="s">
        <v>196</v>
      </c>
      <c r="D362" s="172" t="s">
        <v>59</v>
      </c>
      <c r="E362" s="173">
        <v>1.0000000000000001E-5</v>
      </c>
      <c r="F362" s="170">
        <v>1</v>
      </c>
      <c r="G362" s="169">
        <v>0.1</v>
      </c>
      <c r="H362" s="174">
        <f t="shared" ref="H362:H367" si="381">E362*F362*G362</f>
        <v>1.0000000000000002E-6</v>
      </c>
      <c r="I362" s="175">
        <v>2840</v>
      </c>
      <c r="J362" s="176">
        <f>I362</f>
        <v>2840</v>
      </c>
      <c r="K362" s="177" t="s">
        <v>175</v>
      </c>
      <c r="L362" s="178">
        <v>5100</v>
      </c>
      <c r="M362" s="179" t="str">
        <f t="shared" ref="M362:M367" si="382">A362</f>
        <v>С1</v>
      </c>
      <c r="N362" s="179" t="str">
        <f t="shared" ref="N362:N367" si="383">B362</f>
        <v>Резервуар РВС (8702T0001)</v>
      </c>
      <c r="O362" s="179" t="str">
        <f t="shared" ref="O362:O367" si="384">D362</f>
        <v>Полное-пожар</v>
      </c>
      <c r="P362" s="179">
        <v>47.1</v>
      </c>
      <c r="Q362" s="179">
        <v>64.099999999999994</v>
      </c>
      <c r="R362" s="179">
        <v>90.1</v>
      </c>
      <c r="S362" s="179">
        <v>161.69999999999999</v>
      </c>
      <c r="T362" s="179" t="s">
        <v>83</v>
      </c>
      <c r="U362" s="179" t="s">
        <v>83</v>
      </c>
      <c r="V362" s="179" t="s">
        <v>83</v>
      </c>
      <c r="W362" s="179" t="s">
        <v>83</v>
      </c>
      <c r="X362" s="179" t="s">
        <v>83</v>
      </c>
      <c r="Y362" s="179" t="s">
        <v>83</v>
      </c>
      <c r="Z362" s="179" t="s">
        <v>83</v>
      </c>
      <c r="AA362" s="179" t="s">
        <v>83</v>
      </c>
      <c r="AB362" s="179" t="s">
        <v>83</v>
      </c>
      <c r="AC362" s="179" t="s">
        <v>83</v>
      </c>
      <c r="AD362" s="179" t="s">
        <v>83</v>
      </c>
      <c r="AE362" s="179" t="s">
        <v>83</v>
      </c>
      <c r="AF362" s="179" t="s">
        <v>83</v>
      </c>
      <c r="AG362" s="179" t="s">
        <v>83</v>
      </c>
      <c r="AH362" s="179" t="s">
        <v>83</v>
      </c>
      <c r="AI362" s="179" t="s">
        <v>83</v>
      </c>
      <c r="AJ362" s="180">
        <v>1</v>
      </c>
      <c r="AK362" s="180">
        <v>2</v>
      </c>
      <c r="AL362" s="181">
        <v>0.75</v>
      </c>
      <c r="AM362" s="181">
        <v>2.7E-2</v>
      </c>
      <c r="AN362" s="181">
        <v>3</v>
      </c>
      <c r="AQ362" s="182">
        <f>AM362*I362+AL362</f>
        <v>77.429999999999993</v>
      </c>
      <c r="AR362" s="182">
        <f t="shared" ref="AR362:AR367" si="385">0.1*AQ362</f>
        <v>7.7429999999999994</v>
      </c>
      <c r="AS362" s="183">
        <f t="shared" ref="AS362:AS367" si="386">AJ362*3+0.25*AK362</f>
        <v>3.5</v>
      </c>
      <c r="AT362" s="183">
        <f t="shared" ref="AT362:AT367" si="387">SUM(AQ362:AS362)/4</f>
        <v>22.168249999999997</v>
      </c>
      <c r="AU362" s="182">
        <f>10068.2*J362*POWER(10,-6)</f>
        <v>28.593688000000004</v>
      </c>
      <c r="AV362" s="183">
        <f t="shared" ref="AV362:AV367" si="388">AU362+AT362+AS362+AR362+AQ362</f>
        <v>139.43493799999999</v>
      </c>
      <c r="AW362" s="184">
        <f t="shared" ref="AW362:AW367" si="389">AJ362*H362</f>
        <v>1.0000000000000002E-6</v>
      </c>
      <c r="AX362" s="184">
        <f t="shared" ref="AX362:AX367" si="390">H362*AK362</f>
        <v>2.0000000000000003E-6</v>
      </c>
      <c r="AY362" s="184">
        <f t="shared" ref="AY362:AY367" si="391">H362*AV362</f>
        <v>1.3943493800000001E-4</v>
      </c>
    </row>
    <row r="363" spans="1:51" s="179" customFormat="1" ht="15" thickBot="1" x14ac:dyDescent="0.35">
      <c r="A363" s="169" t="s">
        <v>19</v>
      </c>
      <c r="B363" s="169" t="str">
        <f>B362</f>
        <v>Резервуар РВС (8702T0001)</v>
      </c>
      <c r="C363" s="171" t="s">
        <v>197</v>
      </c>
      <c r="D363" s="172" t="s">
        <v>62</v>
      </c>
      <c r="E363" s="185">
        <f>E362</f>
        <v>1.0000000000000001E-5</v>
      </c>
      <c r="F363" s="186">
        <f>F362</f>
        <v>1</v>
      </c>
      <c r="G363" s="169">
        <v>0.18000000000000002</v>
      </c>
      <c r="H363" s="174">
        <f t="shared" si="381"/>
        <v>1.8000000000000003E-6</v>
      </c>
      <c r="I363" s="187">
        <f>I362</f>
        <v>2840</v>
      </c>
      <c r="J363" s="418">
        <f>POWER(10,-6)*55*SQRT(100)*3600*L362/1000*0.05</f>
        <v>0.50490000000000002</v>
      </c>
      <c r="K363" s="177" t="s">
        <v>176</v>
      </c>
      <c r="L363" s="178">
        <v>0</v>
      </c>
      <c r="M363" s="179" t="str">
        <f t="shared" si="382"/>
        <v>С2</v>
      </c>
      <c r="N363" s="179" t="str">
        <f t="shared" si="383"/>
        <v>Резервуар РВС (8702T0001)</v>
      </c>
      <c r="O363" s="179" t="str">
        <f t="shared" si="384"/>
        <v>Полное-взрыв</v>
      </c>
      <c r="P363" s="179" t="s">
        <v>83</v>
      </c>
      <c r="Q363" s="179" t="s">
        <v>83</v>
      </c>
      <c r="R363" s="179" t="s">
        <v>83</v>
      </c>
      <c r="S363" s="179" t="s">
        <v>83</v>
      </c>
      <c r="T363" s="179">
        <v>0</v>
      </c>
      <c r="U363" s="179">
        <v>0</v>
      </c>
      <c r="V363" s="179">
        <v>64.599999999999994</v>
      </c>
      <c r="W363" s="179">
        <v>216.1</v>
      </c>
      <c r="X363" s="179">
        <v>562.6</v>
      </c>
      <c r="Y363" s="179" t="s">
        <v>83</v>
      </c>
      <c r="Z363" s="179" t="s">
        <v>83</v>
      </c>
      <c r="AA363" s="179" t="s">
        <v>83</v>
      </c>
      <c r="AB363" s="179" t="s">
        <v>83</v>
      </c>
      <c r="AC363" s="179" t="s">
        <v>83</v>
      </c>
      <c r="AD363" s="179" t="s">
        <v>83</v>
      </c>
      <c r="AE363" s="179" t="s">
        <v>83</v>
      </c>
      <c r="AF363" s="179" t="s">
        <v>83</v>
      </c>
      <c r="AG363" s="179" t="s">
        <v>83</v>
      </c>
      <c r="AH363" s="179" t="s">
        <v>83</v>
      </c>
      <c r="AI363" s="179" t="s">
        <v>83</v>
      </c>
      <c r="AJ363" s="180">
        <v>2</v>
      </c>
      <c r="AK363" s="180">
        <v>2</v>
      </c>
      <c r="AL363" s="179">
        <f>AL362</f>
        <v>0.75</v>
      </c>
      <c r="AM363" s="179">
        <f>AM362</f>
        <v>2.7E-2</v>
      </c>
      <c r="AN363" s="179">
        <f>AN362</f>
        <v>3</v>
      </c>
      <c r="AQ363" s="182">
        <f>AM363*I363+AL363</f>
        <v>77.429999999999993</v>
      </c>
      <c r="AR363" s="182">
        <f t="shared" si="385"/>
        <v>7.7429999999999994</v>
      </c>
      <c r="AS363" s="183">
        <f t="shared" si="386"/>
        <v>6.5</v>
      </c>
      <c r="AT363" s="183">
        <f t="shared" si="387"/>
        <v>22.918249999999997</v>
      </c>
      <c r="AU363" s="182">
        <f>10068.2*J363*POWER(10,-6)*10</f>
        <v>5.0834341799999995E-2</v>
      </c>
      <c r="AV363" s="183">
        <f t="shared" si="388"/>
        <v>114.6420843418</v>
      </c>
      <c r="AW363" s="184">
        <f t="shared" si="389"/>
        <v>3.6000000000000007E-6</v>
      </c>
      <c r="AX363" s="184">
        <f t="shared" si="390"/>
        <v>3.6000000000000007E-6</v>
      </c>
      <c r="AY363" s="184">
        <f t="shared" si="391"/>
        <v>2.0635575181524005E-4</v>
      </c>
    </row>
    <row r="364" spans="1:51" s="179" customFormat="1" x14ac:dyDescent="0.3">
      <c r="A364" s="169" t="s">
        <v>20</v>
      </c>
      <c r="B364" s="169" t="str">
        <f>B362</f>
        <v>Резервуар РВС (8702T0001)</v>
      </c>
      <c r="C364" s="171" t="s">
        <v>198</v>
      </c>
      <c r="D364" s="172" t="s">
        <v>60</v>
      </c>
      <c r="E364" s="185">
        <f>E362</f>
        <v>1.0000000000000001E-5</v>
      </c>
      <c r="F364" s="186">
        <f>F362</f>
        <v>1</v>
      </c>
      <c r="G364" s="169">
        <v>0.72000000000000008</v>
      </c>
      <c r="H364" s="174">
        <f t="shared" si="381"/>
        <v>7.2000000000000014E-6</v>
      </c>
      <c r="I364" s="187">
        <f>I362</f>
        <v>2840</v>
      </c>
      <c r="J364" s="189">
        <v>0</v>
      </c>
      <c r="K364" s="177" t="s">
        <v>177</v>
      </c>
      <c r="L364" s="178">
        <v>0</v>
      </c>
      <c r="M364" s="179" t="str">
        <f t="shared" si="382"/>
        <v>С3</v>
      </c>
      <c r="N364" s="179" t="str">
        <f t="shared" si="383"/>
        <v>Резервуар РВС (8702T0001)</v>
      </c>
      <c r="O364" s="179" t="str">
        <f t="shared" si="384"/>
        <v>Полное-ликвидация</v>
      </c>
      <c r="P364" s="179" t="s">
        <v>83</v>
      </c>
      <c r="Q364" s="179" t="s">
        <v>83</v>
      </c>
      <c r="R364" s="179" t="s">
        <v>83</v>
      </c>
      <c r="S364" s="179" t="s">
        <v>83</v>
      </c>
      <c r="T364" s="179" t="s">
        <v>83</v>
      </c>
      <c r="U364" s="179" t="s">
        <v>83</v>
      </c>
      <c r="V364" s="179" t="s">
        <v>83</v>
      </c>
      <c r="W364" s="179" t="s">
        <v>83</v>
      </c>
      <c r="X364" s="179" t="s">
        <v>83</v>
      </c>
      <c r="Y364" s="179" t="s">
        <v>83</v>
      </c>
      <c r="Z364" s="179" t="s">
        <v>83</v>
      </c>
      <c r="AA364" s="179" t="s">
        <v>83</v>
      </c>
      <c r="AB364" s="179" t="s">
        <v>83</v>
      </c>
      <c r="AC364" s="179" t="s">
        <v>83</v>
      </c>
      <c r="AD364" s="179" t="s">
        <v>83</v>
      </c>
      <c r="AE364" s="179" t="s">
        <v>83</v>
      </c>
      <c r="AF364" s="179" t="s">
        <v>83</v>
      </c>
      <c r="AG364" s="179" t="s">
        <v>83</v>
      </c>
      <c r="AH364" s="179" t="s">
        <v>83</v>
      </c>
      <c r="AI364" s="179" t="s">
        <v>83</v>
      </c>
      <c r="AJ364" s="179">
        <v>0</v>
      </c>
      <c r="AK364" s="179">
        <v>0</v>
      </c>
      <c r="AL364" s="179">
        <f>AL362</f>
        <v>0.75</v>
      </c>
      <c r="AM364" s="179">
        <f>AM362</f>
        <v>2.7E-2</v>
      </c>
      <c r="AN364" s="179">
        <f>AN362</f>
        <v>3</v>
      </c>
      <c r="AQ364" s="182">
        <f>AM364*I364*0.1+AL364</f>
        <v>8.4179999999999993</v>
      </c>
      <c r="AR364" s="182">
        <f t="shared" si="385"/>
        <v>0.84179999999999999</v>
      </c>
      <c r="AS364" s="183">
        <f t="shared" si="386"/>
        <v>0</v>
      </c>
      <c r="AT364" s="183">
        <f t="shared" si="387"/>
        <v>2.3149499999999996</v>
      </c>
      <c r="AU364" s="182">
        <f>1333*J363*POWER(10,-6)</f>
        <v>6.7303169999999995E-4</v>
      </c>
      <c r="AV364" s="183">
        <f t="shared" si="388"/>
        <v>11.575423031699998</v>
      </c>
      <c r="AW364" s="184">
        <f t="shared" si="389"/>
        <v>0</v>
      </c>
      <c r="AX364" s="184">
        <f t="shared" si="390"/>
        <v>0</v>
      </c>
      <c r="AY364" s="184">
        <f t="shared" si="391"/>
        <v>8.3343045828239998E-5</v>
      </c>
    </row>
    <row r="365" spans="1:51" s="179" customFormat="1" x14ac:dyDescent="0.3">
      <c r="A365" s="169" t="s">
        <v>21</v>
      </c>
      <c r="B365" s="169" t="str">
        <f>B362</f>
        <v>Резервуар РВС (8702T0001)</v>
      </c>
      <c r="C365" s="171" t="s">
        <v>199</v>
      </c>
      <c r="D365" s="172" t="s">
        <v>84</v>
      </c>
      <c r="E365" s="173">
        <v>1E-4</v>
      </c>
      <c r="F365" s="186">
        <f>F362</f>
        <v>1</v>
      </c>
      <c r="G365" s="169">
        <v>0.1</v>
      </c>
      <c r="H365" s="174">
        <f t="shared" si="381"/>
        <v>1.0000000000000001E-5</v>
      </c>
      <c r="I365" s="187">
        <f>0.15*I362</f>
        <v>426</v>
      </c>
      <c r="J365" s="176">
        <f>I365</f>
        <v>426</v>
      </c>
      <c r="K365" s="190" t="s">
        <v>179</v>
      </c>
      <c r="L365" s="191">
        <v>45390</v>
      </c>
      <c r="M365" s="179" t="str">
        <f t="shared" si="382"/>
        <v>С4</v>
      </c>
      <c r="N365" s="179" t="str">
        <f t="shared" si="383"/>
        <v>Резервуар РВС (8702T0001)</v>
      </c>
      <c r="O365" s="179" t="str">
        <f t="shared" si="384"/>
        <v>Частичное-пожар</v>
      </c>
      <c r="P365" s="179">
        <v>18.600000000000001</v>
      </c>
      <c r="Q365" s="179">
        <v>25.8</v>
      </c>
      <c r="R365" s="179">
        <v>36.9</v>
      </c>
      <c r="S365" s="179">
        <v>68.8</v>
      </c>
      <c r="T365" s="179" t="s">
        <v>83</v>
      </c>
      <c r="U365" s="179" t="s">
        <v>83</v>
      </c>
      <c r="V365" s="179" t="s">
        <v>83</v>
      </c>
      <c r="W365" s="179" t="s">
        <v>83</v>
      </c>
      <c r="X365" s="179" t="s">
        <v>83</v>
      </c>
      <c r="Y365" s="179" t="s">
        <v>83</v>
      </c>
      <c r="Z365" s="179" t="s">
        <v>83</v>
      </c>
      <c r="AA365" s="179" t="s">
        <v>83</v>
      </c>
      <c r="AB365" s="179" t="s">
        <v>83</v>
      </c>
      <c r="AC365" s="179" t="s">
        <v>83</v>
      </c>
      <c r="AD365" s="179" t="s">
        <v>83</v>
      </c>
      <c r="AE365" s="179" t="s">
        <v>83</v>
      </c>
      <c r="AF365" s="179" t="s">
        <v>83</v>
      </c>
      <c r="AG365" s="179" t="s">
        <v>83</v>
      </c>
      <c r="AH365" s="179" t="s">
        <v>83</v>
      </c>
      <c r="AI365" s="179" t="s">
        <v>83</v>
      </c>
      <c r="AJ365" s="179">
        <v>0</v>
      </c>
      <c r="AK365" s="179">
        <v>2</v>
      </c>
      <c r="AL365" s="179">
        <f>0.1*$AL$2</f>
        <v>7.5000000000000002E-4</v>
      </c>
      <c r="AM365" s="179">
        <f>AM362</f>
        <v>2.7E-2</v>
      </c>
      <c r="AN365" s="179">
        <f>ROUNDUP(AN362/3,0)</f>
        <v>1</v>
      </c>
      <c r="AQ365" s="182">
        <f>AM365*I365+AL365</f>
        <v>11.502750000000001</v>
      </c>
      <c r="AR365" s="182">
        <f t="shared" si="385"/>
        <v>1.1502750000000002</v>
      </c>
      <c r="AS365" s="183">
        <f t="shared" si="386"/>
        <v>0.5</v>
      </c>
      <c r="AT365" s="183">
        <f t="shared" si="387"/>
        <v>3.2882562500000003</v>
      </c>
      <c r="AU365" s="182">
        <f>10068.2*J365*POWER(10,-6)</f>
        <v>4.2890531999999997</v>
      </c>
      <c r="AV365" s="183">
        <f t="shared" si="388"/>
        <v>20.730334450000001</v>
      </c>
      <c r="AW365" s="184">
        <f t="shared" si="389"/>
        <v>0</v>
      </c>
      <c r="AX365" s="184">
        <f t="shared" si="390"/>
        <v>2.0000000000000002E-5</v>
      </c>
      <c r="AY365" s="184">
        <f t="shared" si="391"/>
        <v>2.0730334450000002E-4</v>
      </c>
    </row>
    <row r="366" spans="1:51" s="179" customFormat="1" x14ac:dyDescent="0.3">
      <c r="A366" s="169" t="s">
        <v>22</v>
      </c>
      <c r="B366" s="169" t="str">
        <f>B362</f>
        <v>Резервуар РВС (8702T0001)</v>
      </c>
      <c r="C366" s="171" t="s">
        <v>200</v>
      </c>
      <c r="D366" s="172" t="s">
        <v>165</v>
      </c>
      <c r="E366" s="185">
        <f>E365</f>
        <v>1E-4</v>
      </c>
      <c r="F366" s="186">
        <f>F362</f>
        <v>1</v>
      </c>
      <c r="G366" s="169">
        <v>4.5000000000000005E-2</v>
      </c>
      <c r="H366" s="174">
        <f t="shared" si="381"/>
        <v>4.500000000000001E-6</v>
      </c>
      <c r="I366" s="187">
        <f>0.15*I362</f>
        <v>426</v>
      </c>
      <c r="J366" s="176">
        <f>0.15*J363</f>
        <v>7.5734999999999997E-2</v>
      </c>
      <c r="K366" s="190" t="s">
        <v>180</v>
      </c>
      <c r="L366" s="191">
        <v>3</v>
      </c>
      <c r="M366" s="179" t="str">
        <f t="shared" si="382"/>
        <v>С5</v>
      </c>
      <c r="N366" s="179" t="str">
        <f t="shared" si="383"/>
        <v>Резервуар РВС (8702T0001)</v>
      </c>
      <c r="O366" s="179" t="str">
        <f t="shared" si="384"/>
        <v>Частичное-пожар-вспышка</v>
      </c>
      <c r="P366" s="179" t="s">
        <v>83</v>
      </c>
      <c r="Q366" s="179" t="s">
        <v>83</v>
      </c>
      <c r="R366" s="179" t="s">
        <v>83</v>
      </c>
      <c r="S366" s="179" t="s">
        <v>83</v>
      </c>
      <c r="T366" s="179" t="s">
        <v>83</v>
      </c>
      <c r="U366" s="179" t="s">
        <v>83</v>
      </c>
      <c r="V366" s="179" t="s">
        <v>83</v>
      </c>
      <c r="W366" s="179" t="s">
        <v>83</v>
      </c>
      <c r="X366" s="179" t="s">
        <v>83</v>
      </c>
      <c r="Y366" s="179" t="s">
        <v>83</v>
      </c>
      <c r="Z366" s="179" t="s">
        <v>83</v>
      </c>
      <c r="AA366" s="179">
        <v>15.35</v>
      </c>
      <c r="AB366" s="179">
        <v>18.420000000000002</v>
      </c>
      <c r="AC366" s="179" t="s">
        <v>83</v>
      </c>
      <c r="AD366" s="179" t="s">
        <v>83</v>
      </c>
      <c r="AE366" s="179" t="s">
        <v>83</v>
      </c>
      <c r="AF366" s="179" t="s">
        <v>83</v>
      </c>
      <c r="AG366" s="179" t="s">
        <v>83</v>
      </c>
      <c r="AH366" s="179" t="s">
        <v>83</v>
      </c>
      <c r="AI366" s="179" t="s">
        <v>83</v>
      </c>
      <c r="AJ366" s="179">
        <v>0</v>
      </c>
      <c r="AK366" s="179">
        <v>1</v>
      </c>
      <c r="AL366" s="179">
        <f>0.1*$AL$2</f>
        <v>7.5000000000000002E-4</v>
      </c>
      <c r="AM366" s="179">
        <f>AM362</f>
        <v>2.7E-2</v>
      </c>
      <c r="AN366" s="179">
        <f>ROUNDUP(AN362/3,0)</f>
        <v>1</v>
      </c>
      <c r="AQ366" s="182">
        <f>AM366*I366+AL366</f>
        <v>11.502750000000001</v>
      </c>
      <c r="AR366" s="182">
        <f t="shared" si="385"/>
        <v>1.1502750000000002</v>
      </c>
      <c r="AS366" s="183">
        <f t="shared" si="386"/>
        <v>0.25</v>
      </c>
      <c r="AT366" s="183">
        <f t="shared" si="387"/>
        <v>3.2257562500000003</v>
      </c>
      <c r="AU366" s="182">
        <f>10068.2*J366*POWER(10,-6)*10</f>
        <v>7.6251512699999999E-3</v>
      </c>
      <c r="AV366" s="183">
        <f t="shared" si="388"/>
        <v>16.136406401270001</v>
      </c>
      <c r="AW366" s="184">
        <f t="shared" si="389"/>
        <v>0</v>
      </c>
      <c r="AX366" s="184">
        <f t="shared" si="390"/>
        <v>4.500000000000001E-6</v>
      </c>
      <c r="AY366" s="184">
        <f t="shared" si="391"/>
        <v>7.2613828805715021E-5</v>
      </c>
    </row>
    <row r="367" spans="1:51" s="179" customFormat="1" ht="15" thickBot="1" x14ac:dyDescent="0.35">
      <c r="A367" s="169" t="s">
        <v>23</v>
      </c>
      <c r="B367" s="169" t="str">
        <f>B362</f>
        <v>Резервуар РВС (8702T0001)</v>
      </c>
      <c r="C367" s="171" t="s">
        <v>201</v>
      </c>
      <c r="D367" s="172" t="s">
        <v>61</v>
      </c>
      <c r="E367" s="185">
        <f>E365</f>
        <v>1E-4</v>
      </c>
      <c r="F367" s="186">
        <f>F362</f>
        <v>1</v>
      </c>
      <c r="G367" s="169">
        <v>0.85499999999999998</v>
      </c>
      <c r="H367" s="174">
        <f t="shared" si="381"/>
        <v>8.5500000000000005E-5</v>
      </c>
      <c r="I367" s="187">
        <f>0.15*I362</f>
        <v>426</v>
      </c>
      <c r="J367" s="189">
        <v>0</v>
      </c>
      <c r="K367" s="192" t="s">
        <v>191</v>
      </c>
      <c r="L367" s="192">
        <v>9</v>
      </c>
      <c r="M367" s="179" t="str">
        <f t="shared" si="382"/>
        <v>С6</v>
      </c>
      <c r="N367" s="179" t="str">
        <f t="shared" si="383"/>
        <v>Резервуар РВС (8702T0001)</v>
      </c>
      <c r="O367" s="179" t="str">
        <f t="shared" si="384"/>
        <v>Частичное-ликвидация</v>
      </c>
      <c r="P367" s="179" t="s">
        <v>83</v>
      </c>
      <c r="Q367" s="179" t="s">
        <v>83</v>
      </c>
      <c r="R367" s="179" t="s">
        <v>83</v>
      </c>
      <c r="S367" s="179" t="s">
        <v>83</v>
      </c>
      <c r="T367" s="179" t="s">
        <v>83</v>
      </c>
      <c r="U367" s="179" t="s">
        <v>83</v>
      </c>
      <c r="V367" s="179" t="s">
        <v>83</v>
      </c>
      <c r="W367" s="179" t="s">
        <v>83</v>
      </c>
      <c r="X367" s="179" t="s">
        <v>83</v>
      </c>
      <c r="Y367" s="179" t="s">
        <v>83</v>
      </c>
      <c r="Z367" s="179" t="s">
        <v>83</v>
      </c>
      <c r="AA367" s="179" t="s">
        <v>83</v>
      </c>
      <c r="AB367" s="179" t="s">
        <v>83</v>
      </c>
      <c r="AC367" s="179" t="s">
        <v>83</v>
      </c>
      <c r="AD367" s="179" t="s">
        <v>83</v>
      </c>
      <c r="AE367" s="179" t="s">
        <v>83</v>
      </c>
      <c r="AF367" s="179" t="s">
        <v>83</v>
      </c>
      <c r="AG367" s="179" t="s">
        <v>83</v>
      </c>
      <c r="AH367" s="179" t="s">
        <v>83</v>
      </c>
      <c r="AI367" s="179" t="s">
        <v>83</v>
      </c>
      <c r="AJ367" s="179">
        <v>0</v>
      </c>
      <c r="AK367" s="179">
        <v>0</v>
      </c>
      <c r="AL367" s="179">
        <f>0.1*$AL$2</f>
        <v>7.5000000000000002E-4</v>
      </c>
      <c r="AM367" s="179">
        <f>AM362</f>
        <v>2.7E-2</v>
      </c>
      <c r="AN367" s="179">
        <f>ROUNDUP(AN362/3,0)</f>
        <v>1</v>
      </c>
      <c r="AQ367" s="182">
        <f>AM367*I367*0.1+AL367</f>
        <v>1.1509500000000001</v>
      </c>
      <c r="AR367" s="182">
        <f t="shared" si="385"/>
        <v>0.11509500000000002</v>
      </c>
      <c r="AS367" s="183">
        <f t="shared" si="386"/>
        <v>0</v>
      </c>
      <c r="AT367" s="183">
        <f t="shared" si="387"/>
        <v>0.31651125000000002</v>
      </c>
      <c r="AU367" s="182">
        <f>1333*J366*POWER(10,-6)</f>
        <v>1.0095475499999999E-4</v>
      </c>
      <c r="AV367" s="183">
        <f t="shared" si="388"/>
        <v>1.5826572047550003</v>
      </c>
      <c r="AW367" s="184">
        <f t="shared" si="389"/>
        <v>0</v>
      </c>
      <c r="AX367" s="184">
        <f t="shared" si="390"/>
        <v>0</v>
      </c>
      <c r="AY367" s="184">
        <f t="shared" si="391"/>
        <v>1.3531719100655254E-4</v>
      </c>
    </row>
    <row r="368" spans="1:51" s="179" customFormat="1" x14ac:dyDescent="0.3">
      <c r="A368" s="180"/>
      <c r="B368" s="180"/>
      <c r="D368" s="271"/>
      <c r="E368" s="272"/>
      <c r="F368" s="273"/>
      <c r="G368" s="180"/>
      <c r="H368" s="184"/>
      <c r="I368" s="183"/>
      <c r="J368" s="180"/>
      <c r="K368" s="180"/>
      <c r="L368" s="180"/>
      <c r="AQ368" s="182"/>
      <c r="AR368" s="182"/>
      <c r="AS368" s="183"/>
      <c r="AT368" s="183"/>
      <c r="AU368" s="182"/>
      <c r="AV368" s="183"/>
      <c r="AW368" s="184"/>
      <c r="AX368" s="184"/>
      <c r="AY368" s="184"/>
    </row>
    <row r="369" spans="1:51" s="179" customFormat="1" x14ac:dyDescent="0.3">
      <c r="A369" s="180"/>
      <c r="B369" s="180"/>
      <c r="D369" s="271"/>
      <c r="E369" s="272"/>
      <c r="F369" s="273"/>
      <c r="G369" s="180"/>
      <c r="H369" s="184"/>
      <c r="I369" s="183"/>
      <c r="J369" s="180"/>
      <c r="K369" s="180"/>
      <c r="L369" s="180"/>
      <c r="AQ369" s="182"/>
      <c r="AR369" s="182"/>
      <c r="AS369" s="183"/>
      <c r="AT369" s="183"/>
      <c r="AU369" s="182"/>
      <c r="AV369" s="183"/>
      <c r="AW369" s="184"/>
      <c r="AX369" s="184"/>
      <c r="AY369" s="184"/>
    </row>
    <row r="370" spans="1:51" s="179" customFormat="1" x14ac:dyDescent="0.3">
      <c r="A370" s="180"/>
      <c r="B370" s="180"/>
      <c r="D370" s="271"/>
      <c r="E370" s="272"/>
      <c r="F370" s="273"/>
      <c r="G370" s="180"/>
      <c r="H370" s="184"/>
      <c r="I370" s="183"/>
      <c r="J370" s="180"/>
      <c r="K370" s="180"/>
      <c r="L370" s="180"/>
      <c r="AQ370" s="182"/>
      <c r="AR370" s="182"/>
      <c r="AS370" s="183"/>
      <c r="AT370" s="183"/>
      <c r="AU370" s="182"/>
      <c r="AV370" s="183"/>
      <c r="AW370" s="184"/>
      <c r="AX370" s="184"/>
      <c r="AY370" s="184"/>
    </row>
    <row r="371" spans="1:51" ht="15" thickBot="1" x14ac:dyDescent="0.35"/>
    <row r="372" spans="1:51" s="179" customFormat="1" ht="15" thickBot="1" x14ac:dyDescent="0.35">
      <c r="A372" s="169" t="s">
        <v>18</v>
      </c>
      <c r="B372" s="170" t="s">
        <v>628</v>
      </c>
      <c r="C372" s="171" t="s">
        <v>196</v>
      </c>
      <c r="D372" s="172" t="s">
        <v>59</v>
      </c>
      <c r="E372" s="173">
        <v>1.0000000000000001E-5</v>
      </c>
      <c r="F372" s="170">
        <v>1</v>
      </c>
      <c r="G372" s="169">
        <v>0.1</v>
      </c>
      <c r="H372" s="174">
        <f t="shared" ref="H372:H377" si="392">E372*F372*G372</f>
        <v>1.0000000000000002E-6</v>
      </c>
      <c r="I372" s="175">
        <v>2840</v>
      </c>
      <c r="J372" s="176">
        <f>I372</f>
        <v>2840</v>
      </c>
      <c r="K372" s="177" t="s">
        <v>175</v>
      </c>
      <c r="L372" s="178">
        <v>4200</v>
      </c>
      <c r="M372" s="179" t="str">
        <f t="shared" ref="M372:M377" si="393">A372</f>
        <v>С1</v>
      </c>
      <c r="N372" s="179" t="str">
        <f t="shared" ref="N372:N377" si="394">B372</f>
        <v>Резервуар РВС (8716T0001)</v>
      </c>
      <c r="O372" s="179" t="str">
        <f t="shared" ref="O372:O377" si="395">D372</f>
        <v>Полное-пожар</v>
      </c>
      <c r="P372" s="179">
        <v>47.1</v>
      </c>
      <c r="Q372" s="179">
        <v>64.099999999999994</v>
      </c>
      <c r="R372" s="179">
        <v>90.1</v>
      </c>
      <c r="S372" s="179">
        <v>161.69999999999999</v>
      </c>
      <c r="T372" s="179" t="s">
        <v>83</v>
      </c>
      <c r="U372" s="179" t="s">
        <v>83</v>
      </c>
      <c r="V372" s="179" t="s">
        <v>83</v>
      </c>
      <c r="W372" s="179" t="s">
        <v>83</v>
      </c>
      <c r="X372" s="179" t="s">
        <v>83</v>
      </c>
      <c r="Y372" s="179" t="s">
        <v>83</v>
      </c>
      <c r="Z372" s="179" t="s">
        <v>83</v>
      </c>
      <c r="AA372" s="179" t="s">
        <v>83</v>
      </c>
      <c r="AB372" s="179" t="s">
        <v>83</v>
      </c>
      <c r="AC372" s="179" t="s">
        <v>83</v>
      </c>
      <c r="AD372" s="179" t="s">
        <v>83</v>
      </c>
      <c r="AE372" s="179" t="s">
        <v>83</v>
      </c>
      <c r="AF372" s="179" t="s">
        <v>83</v>
      </c>
      <c r="AG372" s="179" t="s">
        <v>83</v>
      </c>
      <c r="AH372" s="179" t="s">
        <v>83</v>
      </c>
      <c r="AI372" s="179" t="s">
        <v>83</v>
      </c>
      <c r="AJ372" s="180">
        <v>1</v>
      </c>
      <c r="AK372" s="180">
        <v>2</v>
      </c>
      <c r="AL372" s="181">
        <v>0.75</v>
      </c>
      <c r="AM372" s="181">
        <v>2.7E-2</v>
      </c>
      <c r="AN372" s="181">
        <v>3</v>
      </c>
      <c r="AQ372" s="182">
        <f>AM372*I372+AL372</f>
        <v>77.429999999999993</v>
      </c>
      <c r="AR372" s="182">
        <f t="shared" ref="AR372:AR377" si="396">0.1*AQ372</f>
        <v>7.7429999999999994</v>
      </c>
      <c r="AS372" s="183">
        <f t="shared" ref="AS372:AS377" si="397">AJ372*3+0.25*AK372</f>
        <v>3.5</v>
      </c>
      <c r="AT372" s="183">
        <f t="shared" ref="AT372:AT377" si="398">SUM(AQ372:AS372)/4</f>
        <v>22.168249999999997</v>
      </c>
      <c r="AU372" s="182">
        <f>10068.2*J372*POWER(10,-6)</f>
        <v>28.593688000000004</v>
      </c>
      <c r="AV372" s="183">
        <f t="shared" ref="AV372:AV377" si="399">AU372+AT372+AS372+AR372+AQ372</f>
        <v>139.43493799999999</v>
      </c>
      <c r="AW372" s="184">
        <f t="shared" ref="AW372:AW377" si="400">AJ372*H372</f>
        <v>1.0000000000000002E-6</v>
      </c>
      <c r="AX372" s="184">
        <f t="shared" ref="AX372:AX377" si="401">H372*AK372</f>
        <v>2.0000000000000003E-6</v>
      </c>
      <c r="AY372" s="184">
        <f t="shared" ref="AY372:AY377" si="402">H372*AV372</f>
        <v>1.3943493800000001E-4</v>
      </c>
    </row>
    <row r="373" spans="1:51" s="179" customFormat="1" ht="15" thickBot="1" x14ac:dyDescent="0.35">
      <c r="A373" s="169" t="s">
        <v>19</v>
      </c>
      <c r="B373" s="169" t="str">
        <f>B372</f>
        <v>Резервуар РВС (8716T0001)</v>
      </c>
      <c r="C373" s="171" t="s">
        <v>197</v>
      </c>
      <c r="D373" s="172" t="s">
        <v>62</v>
      </c>
      <c r="E373" s="185">
        <f>E372</f>
        <v>1.0000000000000001E-5</v>
      </c>
      <c r="F373" s="186">
        <f>F372</f>
        <v>1</v>
      </c>
      <c r="G373" s="169">
        <v>0.18000000000000002</v>
      </c>
      <c r="H373" s="174">
        <f t="shared" si="392"/>
        <v>1.8000000000000003E-6</v>
      </c>
      <c r="I373" s="187">
        <f>I372</f>
        <v>2840</v>
      </c>
      <c r="J373" s="418">
        <f>POWER(10,-6)*55*SQRT(100)*3600*L372/1000*0.05</f>
        <v>0.41579999999999995</v>
      </c>
      <c r="K373" s="177" t="s">
        <v>176</v>
      </c>
      <c r="L373" s="178">
        <v>0</v>
      </c>
      <c r="M373" s="179" t="str">
        <f t="shared" si="393"/>
        <v>С2</v>
      </c>
      <c r="N373" s="179" t="str">
        <f t="shared" si="394"/>
        <v>Резервуар РВС (8716T0001)</v>
      </c>
      <c r="O373" s="179" t="str">
        <f t="shared" si="395"/>
        <v>Полное-взрыв</v>
      </c>
      <c r="P373" s="179" t="s">
        <v>83</v>
      </c>
      <c r="Q373" s="179" t="s">
        <v>83</v>
      </c>
      <c r="R373" s="179" t="s">
        <v>83</v>
      </c>
      <c r="S373" s="179" t="s">
        <v>83</v>
      </c>
      <c r="T373" s="179">
        <v>0</v>
      </c>
      <c r="U373" s="179">
        <v>0</v>
      </c>
      <c r="V373" s="179">
        <v>64.599999999999994</v>
      </c>
      <c r="W373" s="179">
        <v>216.1</v>
      </c>
      <c r="X373" s="179">
        <v>562.6</v>
      </c>
      <c r="Y373" s="179" t="s">
        <v>83</v>
      </c>
      <c r="Z373" s="179" t="s">
        <v>83</v>
      </c>
      <c r="AA373" s="179" t="s">
        <v>83</v>
      </c>
      <c r="AB373" s="179" t="s">
        <v>83</v>
      </c>
      <c r="AC373" s="179" t="s">
        <v>83</v>
      </c>
      <c r="AD373" s="179" t="s">
        <v>83</v>
      </c>
      <c r="AE373" s="179" t="s">
        <v>83</v>
      </c>
      <c r="AF373" s="179" t="s">
        <v>83</v>
      </c>
      <c r="AG373" s="179" t="s">
        <v>83</v>
      </c>
      <c r="AH373" s="179" t="s">
        <v>83</v>
      </c>
      <c r="AI373" s="179" t="s">
        <v>83</v>
      </c>
      <c r="AJ373" s="180">
        <v>2</v>
      </c>
      <c r="AK373" s="180">
        <v>2</v>
      </c>
      <c r="AL373" s="179">
        <f>AL372</f>
        <v>0.75</v>
      </c>
      <c r="AM373" s="179">
        <f>AM372</f>
        <v>2.7E-2</v>
      </c>
      <c r="AN373" s="179">
        <f>AN372</f>
        <v>3</v>
      </c>
      <c r="AQ373" s="182">
        <f>AM373*I373+AL373</f>
        <v>77.429999999999993</v>
      </c>
      <c r="AR373" s="182">
        <f t="shared" si="396"/>
        <v>7.7429999999999994</v>
      </c>
      <c r="AS373" s="183">
        <f t="shared" si="397"/>
        <v>6.5</v>
      </c>
      <c r="AT373" s="183">
        <f t="shared" si="398"/>
        <v>22.918249999999997</v>
      </c>
      <c r="AU373" s="182">
        <f>10068.2*J373*POWER(10,-6)*10</f>
        <v>4.1863575599999994E-2</v>
      </c>
      <c r="AV373" s="183">
        <f t="shared" si="399"/>
        <v>114.63311357559999</v>
      </c>
      <c r="AW373" s="184">
        <f t="shared" si="400"/>
        <v>3.6000000000000007E-6</v>
      </c>
      <c r="AX373" s="184">
        <f t="shared" si="401"/>
        <v>3.6000000000000007E-6</v>
      </c>
      <c r="AY373" s="184">
        <f t="shared" si="402"/>
        <v>2.0633960443608004E-4</v>
      </c>
    </row>
    <row r="374" spans="1:51" s="179" customFormat="1" x14ac:dyDescent="0.3">
      <c r="A374" s="169" t="s">
        <v>20</v>
      </c>
      <c r="B374" s="169" t="str">
        <f>B372</f>
        <v>Резервуар РВС (8716T0001)</v>
      </c>
      <c r="C374" s="171" t="s">
        <v>198</v>
      </c>
      <c r="D374" s="172" t="s">
        <v>60</v>
      </c>
      <c r="E374" s="185">
        <f>E372</f>
        <v>1.0000000000000001E-5</v>
      </c>
      <c r="F374" s="186">
        <f>F372</f>
        <v>1</v>
      </c>
      <c r="G374" s="169">
        <v>0.72000000000000008</v>
      </c>
      <c r="H374" s="174">
        <f t="shared" si="392"/>
        <v>7.2000000000000014E-6</v>
      </c>
      <c r="I374" s="187">
        <f>I372</f>
        <v>2840</v>
      </c>
      <c r="J374" s="189">
        <v>0</v>
      </c>
      <c r="K374" s="177" t="s">
        <v>177</v>
      </c>
      <c r="L374" s="178">
        <v>0</v>
      </c>
      <c r="M374" s="179" t="str">
        <f t="shared" si="393"/>
        <v>С3</v>
      </c>
      <c r="N374" s="179" t="str">
        <f t="shared" si="394"/>
        <v>Резервуар РВС (8716T0001)</v>
      </c>
      <c r="O374" s="179" t="str">
        <f t="shared" si="395"/>
        <v>Полное-ликвидация</v>
      </c>
      <c r="P374" s="179" t="s">
        <v>83</v>
      </c>
      <c r="Q374" s="179" t="s">
        <v>83</v>
      </c>
      <c r="R374" s="179" t="s">
        <v>83</v>
      </c>
      <c r="S374" s="179" t="s">
        <v>83</v>
      </c>
      <c r="T374" s="179" t="s">
        <v>83</v>
      </c>
      <c r="U374" s="179" t="s">
        <v>83</v>
      </c>
      <c r="V374" s="179" t="s">
        <v>83</v>
      </c>
      <c r="W374" s="179" t="s">
        <v>83</v>
      </c>
      <c r="X374" s="179" t="s">
        <v>83</v>
      </c>
      <c r="Y374" s="179" t="s">
        <v>83</v>
      </c>
      <c r="Z374" s="179" t="s">
        <v>83</v>
      </c>
      <c r="AA374" s="179" t="s">
        <v>83</v>
      </c>
      <c r="AB374" s="179" t="s">
        <v>83</v>
      </c>
      <c r="AC374" s="179" t="s">
        <v>83</v>
      </c>
      <c r="AD374" s="179" t="s">
        <v>83</v>
      </c>
      <c r="AE374" s="179" t="s">
        <v>83</v>
      </c>
      <c r="AF374" s="179" t="s">
        <v>83</v>
      </c>
      <c r="AG374" s="179" t="s">
        <v>83</v>
      </c>
      <c r="AH374" s="179" t="s">
        <v>83</v>
      </c>
      <c r="AI374" s="179" t="s">
        <v>83</v>
      </c>
      <c r="AJ374" s="179">
        <v>0</v>
      </c>
      <c r="AK374" s="179">
        <v>0</v>
      </c>
      <c r="AL374" s="179">
        <f>AL372</f>
        <v>0.75</v>
      </c>
      <c r="AM374" s="179">
        <f>AM372</f>
        <v>2.7E-2</v>
      </c>
      <c r="AN374" s="179">
        <f>AN372</f>
        <v>3</v>
      </c>
      <c r="AQ374" s="182">
        <f>AM374*I374*0.1+AL374</f>
        <v>8.4179999999999993</v>
      </c>
      <c r="AR374" s="182">
        <f t="shared" si="396"/>
        <v>0.84179999999999999</v>
      </c>
      <c r="AS374" s="183">
        <f t="shared" si="397"/>
        <v>0</v>
      </c>
      <c r="AT374" s="183">
        <f t="shared" si="398"/>
        <v>2.3149499999999996</v>
      </c>
      <c r="AU374" s="182">
        <f>1333*J373*POWER(10,-6)</f>
        <v>5.5426139999999993E-4</v>
      </c>
      <c r="AV374" s="183">
        <f t="shared" si="399"/>
        <v>11.575304261399999</v>
      </c>
      <c r="AW374" s="184">
        <f t="shared" si="400"/>
        <v>0</v>
      </c>
      <c r="AX374" s="184">
        <f t="shared" si="401"/>
        <v>0</v>
      </c>
      <c r="AY374" s="184">
        <f t="shared" si="402"/>
        <v>8.3342190682080005E-5</v>
      </c>
    </row>
    <row r="375" spans="1:51" s="179" customFormat="1" x14ac:dyDescent="0.3">
      <c r="A375" s="169" t="s">
        <v>21</v>
      </c>
      <c r="B375" s="169" t="str">
        <f>B372</f>
        <v>Резервуар РВС (8716T0001)</v>
      </c>
      <c r="C375" s="171" t="s">
        <v>199</v>
      </c>
      <c r="D375" s="172" t="s">
        <v>84</v>
      </c>
      <c r="E375" s="173">
        <v>1E-4</v>
      </c>
      <c r="F375" s="186">
        <f>F372</f>
        <v>1</v>
      </c>
      <c r="G375" s="169">
        <v>0.1</v>
      </c>
      <c r="H375" s="174">
        <f t="shared" si="392"/>
        <v>1.0000000000000001E-5</v>
      </c>
      <c r="I375" s="187">
        <f>0.15*I372</f>
        <v>426</v>
      </c>
      <c r="J375" s="176">
        <f>I375</f>
        <v>426</v>
      </c>
      <c r="K375" s="190" t="s">
        <v>179</v>
      </c>
      <c r="L375" s="191">
        <v>45390</v>
      </c>
      <c r="M375" s="179" t="str">
        <f t="shared" si="393"/>
        <v>С4</v>
      </c>
      <c r="N375" s="179" t="str">
        <f t="shared" si="394"/>
        <v>Резервуар РВС (8716T0001)</v>
      </c>
      <c r="O375" s="179" t="str">
        <f t="shared" si="395"/>
        <v>Частичное-пожар</v>
      </c>
      <c r="P375" s="179">
        <v>18.600000000000001</v>
      </c>
      <c r="Q375" s="179">
        <v>25.8</v>
      </c>
      <c r="R375" s="179">
        <v>36.9</v>
      </c>
      <c r="S375" s="179">
        <v>68.8</v>
      </c>
      <c r="T375" s="179" t="s">
        <v>83</v>
      </c>
      <c r="U375" s="179" t="s">
        <v>83</v>
      </c>
      <c r="V375" s="179" t="s">
        <v>83</v>
      </c>
      <c r="W375" s="179" t="s">
        <v>83</v>
      </c>
      <c r="X375" s="179" t="s">
        <v>83</v>
      </c>
      <c r="Y375" s="179" t="s">
        <v>83</v>
      </c>
      <c r="Z375" s="179" t="s">
        <v>83</v>
      </c>
      <c r="AA375" s="179" t="s">
        <v>83</v>
      </c>
      <c r="AB375" s="179" t="s">
        <v>83</v>
      </c>
      <c r="AC375" s="179" t="s">
        <v>83</v>
      </c>
      <c r="AD375" s="179" t="s">
        <v>83</v>
      </c>
      <c r="AE375" s="179" t="s">
        <v>83</v>
      </c>
      <c r="AF375" s="179" t="s">
        <v>83</v>
      </c>
      <c r="AG375" s="179" t="s">
        <v>83</v>
      </c>
      <c r="AH375" s="179" t="s">
        <v>83</v>
      </c>
      <c r="AI375" s="179" t="s">
        <v>83</v>
      </c>
      <c r="AJ375" s="179">
        <v>0</v>
      </c>
      <c r="AK375" s="179">
        <v>2</v>
      </c>
      <c r="AL375" s="179">
        <f>0.1*$AL$2</f>
        <v>7.5000000000000002E-4</v>
      </c>
      <c r="AM375" s="179">
        <f>AM372</f>
        <v>2.7E-2</v>
      </c>
      <c r="AN375" s="179">
        <f>ROUNDUP(AN372/3,0)</f>
        <v>1</v>
      </c>
      <c r="AQ375" s="182">
        <f>AM375*I375+AL375</f>
        <v>11.502750000000001</v>
      </c>
      <c r="AR375" s="182">
        <f t="shared" si="396"/>
        <v>1.1502750000000002</v>
      </c>
      <c r="AS375" s="183">
        <f t="shared" si="397"/>
        <v>0.5</v>
      </c>
      <c r="AT375" s="183">
        <f t="shared" si="398"/>
        <v>3.2882562500000003</v>
      </c>
      <c r="AU375" s="182">
        <f>10068.2*J375*POWER(10,-6)</f>
        <v>4.2890531999999997</v>
      </c>
      <c r="AV375" s="183">
        <f t="shared" si="399"/>
        <v>20.730334450000001</v>
      </c>
      <c r="AW375" s="184">
        <f t="shared" si="400"/>
        <v>0</v>
      </c>
      <c r="AX375" s="184">
        <f t="shared" si="401"/>
        <v>2.0000000000000002E-5</v>
      </c>
      <c r="AY375" s="184">
        <f t="shared" si="402"/>
        <v>2.0730334450000002E-4</v>
      </c>
    </row>
    <row r="376" spans="1:51" s="179" customFormat="1" x14ac:dyDescent="0.3">
      <c r="A376" s="169" t="s">
        <v>22</v>
      </c>
      <c r="B376" s="169" t="str">
        <f>B372</f>
        <v>Резервуар РВС (8716T0001)</v>
      </c>
      <c r="C376" s="171" t="s">
        <v>200</v>
      </c>
      <c r="D376" s="172" t="s">
        <v>165</v>
      </c>
      <c r="E376" s="185">
        <f>E375</f>
        <v>1E-4</v>
      </c>
      <c r="F376" s="186">
        <f>F372</f>
        <v>1</v>
      </c>
      <c r="G376" s="169">
        <v>4.5000000000000005E-2</v>
      </c>
      <c r="H376" s="174">
        <f t="shared" si="392"/>
        <v>4.500000000000001E-6</v>
      </c>
      <c r="I376" s="187">
        <f>0.15*I372</f>
        <v>426</v>
      </c>
      <c r="J376" s="176">
        <f>0.15*J373</f>
        <v>6.2369999999999988E-2</v>
      </c>
      <c r="K376" s="190" t="s">
        <v>180</v>
      </c>
      <c r="L376" s="191">
        <v>3</v>
      </c>
      <c r="M376" s="179" t="str">
        <f t="shared" si="393"/>
        <v>С5</v>
      </c>
      <c r="N376" s="179" t="str">
        <f t="shared" si="394"/>
        <v>Резервуар РВС (8716T0001)</v>
      </c>
      <c r="O376" s="179" t="str">
        <f t="shared" si="395"/>
        <v>Частичное-пожар-вспышка</v>
      </c>
      <c r="P376" s="179" t="s">
        <v>83</v>
      </c>
      <c r="Q376" s="179" t="s">
        <v>83</v>
      </c>
      <c r="R376" s="179" t="s">
        <v>83</v>
      </c>
      <c r="S376" s="179" t="s">
        <v>83</v>
      </c>
      <c r="T376" s="179" t="s">
        <v>83</v>
      </c>
      <c r="U376" s="179" t="s">
        <v>83</v>
      </c>
      <c r="V376" s="179" t="s">
        <v>83</v>
      </c>
      <c r="W376" s="179" t="s">
        <v>83</v>
      </c>
      <c r="X376" s="179" t="s">
        <v>83</v>
      </c>
      <c r="Y376" s="179" t="s">
        <v>83</v>
      </c>
      <c r="Z376" s="179" t="s">
        <v>83</v>
      </c>
      <c r="AA376" s="179">
        <v>15.35</v>
      </c>
      <c r="AB376" s="179">
        <v>18.420000000000002</v>
      </c>
      <c r="AC376" s="179" t="s">
        <v>83</v>
      </c>
      <c r="AD376" s="179" t="s">
        <v>83</v>
      </c>
      <c r="AE376" s="179" t="s">
        <v>83</v>
      </c>
      <c r="AF376" s="179" t="s">
        <v>83</v>
      </c>
      <c r="AG376" s="179" t="s">
        <v>83</v>
      </c>
      <c r="AH376" s="179" t="s">
        <v>83</v>
      </c>
      <c r="AI376" s="179" t="s">
        <v>83</v>
      </c>
      <c r="AJ376" s="179">
        <v>0</v>
      </c>
      <c r="AK376" s="179">
        <v>1</v>
      </c>
      <c r="AL376" s="179">
        <f>0.1*$AL$2</f>
        <v>7.5000000000000002E-4</v>
      </c>
      <c r="AM376" s="179">
        <f>AM372</f>
        <v>2.7E-2</v>
      </c>
      <c r="AN376" s="179">
        <f>ROUNDUP(AN372/3,0)</f>
        <v>1</v>
      </c>
      <c r="AQ376" s="182">
        <f>AM376*I376+AL376</f>
        <v>11.502750000000001</v>
      </c>
      <c r="AR376" s="182">
        <f t="shared" si="396"/>
        <v>1.1502750000000002</v>
      </c>
      <c r="AS376" s="183">
        <f t="shared" si="397"/>
        <v>0.25</v>
      </c>
      <c r="AT376" s="183">
        <f t="shared" si="398"/>
        <v>3.2257562500000003</v>
      </c>
      <c r="AU376" s="182">
        <f>10068.2*J376*POWER(10,-6)*10</f>
        <v>6.2795363399999991E-3</v>
      </c>
      <c r="AV376" s="183">
        <f t="shared" si="399"/>
        <v>16.135060786340002</v>
      </c>
      <c r="AW376" s="184">
        <f t="shared" si="400"/>
        <v>0</v>
      </c>
      <c r="AX376" s="184">
        <f t="shared" si="401"/>
        <v>4.500000000000001E-6</v>
      </c>
      <c r="AY376" s="184">
        <f t="shared" si="402"/>
        <v>7.2607773538530028E-5</v>
      </c>
    </row>
    <row r="377" spans="1:51" s="179" customFormat="1" ht="15" thickBot="1" x14ac:dyDescent="0.35">
      <c r="A377" s="169" t="s">
        <v>23</v>
      </c>
      <c r="B377" s="169" t="str">
        <f>B372</f>
        <v>Резервуар РВС (8716T0001)</v>
      </c>
      <c r="C377" s="171" t="s">
        <v>201</v>
      </c>
      <c r="D377" s="172" t="s">
        <v>61</v>
      </c>
      <c r="E377" s="185">
        <f>E375</f>
        <v>1E-4</v>
      </c>
      <c r="F377" s="186">
        <f>F372</f>
        <v>1</v>
      </c>
      <c r="G377" s="169">
        <v>0.85499999999999998</v>
      </c>
      <c r="H377" s="174">
        <f t="shared" si="392"/>
        <v>8.5500000000000005E-5</v>
      </c>
      <c r="I377" s="187">
        <f>0.15*I372</f>
        <v>426</v>
      </c>
      <c r="J377" s="189">
        <v>0</v>
      </c>
      <c r="K377" s="192" t="s">
        <v>191</v>
      </c>
      <c r="L377" s="192">
        <v>9</v>
      </c>
      <c r="M377" s="179" t="str">
        <f t="shared" si="393"/>
        <v>С6</v>
      </c>
      <c r="N377" s="179" t="str">
        <f t="shared" si="394"/>
        <v>Резервуар РВС (8716T0001)</v>
      </c>
      <c r="O377" s="179" t="str">
        <f t="shared" si="395"/>
        <v>Частичное-ликвидация</v>
      </c>
      <c r="P377" s="179" t="s">
        <v>83</v>
      </c>
      <c r="Q377" s="179" t="s">
        <v>83</v>
      </c>
      <c r="R377" s="179" t="s">
        <v>83</v>
      </c>
      <c r="S377" s="179" t="s">
        <v>83</v>
      </c>
      <c r="T377" s="179" t="s">
        <v>83</v>
      </c>
      <c r="U377" s="179" t="s">
        <v>83</v>
      </c>
      <c r="V377" s="179" t="s">
        <v>83</v>
      </c>
      <c r="W377" s="179" t="s">
        <v>83</v>
      </c>
      <c r="X377" s="179" t="s">
        <v>83</v>
      </c>
      <c r="Y377" s="179" t="s">
        <v>83</v>
      </c>
      <c r="Z377" s="179" t="s">
        <v>83</v>
      </c>
      <c r="AA377" s="179" t="s">
        <v>83</v>
      </c>
      <c r="AB377" s="179" t="s">
        <v>83</v>
      </c>
      <c r="AC377" s="179" t="s">
        <v>83</v>
      </c>
      <c r="AD377" s="179" t="s">
        <v>83</v>
      </c>
      <c r="AE377" s="179" t="s">
        <v>83</v>
      </c>
      <c r="AF377" s="179" t="s">
        <v>83</v>
      </c>
      <c r="AG377" s="179" t="s">
        <v>83</v>
      </c>
      <c r="AH377" s="179" t="s">
        <v>83</v>
      </c>
      <c r="AI377" s="179" t="s">
        <v>83</v>
      </c>
      <c r="AJ377" s="179">
        <v>0</v>
      </c>
      <c r="AK377" s="179">
        <v>0</v>
      </c>
      <c r="AL377" s="179">
        <f>0.1*$AL$2</f>
        <v>7.5000000000000002E-4</v>
      </c>
      <c r="AM377" s="179">
        <f>AM372</f>
        <v>2.7E-2</v>
      </c>
      <c r="AN377" s="179">
        <f>ROUNDUP(AN372/3,0)</f>
        <v>1</v>
      </c>
      <c r="AQ377" s="182">
        <f>AM377*I377*0.1+AL377</f>
        <v>1.1509500000000001</v>
      </c>
      <c r="AR377" s="182">
        <f t="shared" si="396"/>
        <v>0.11509500000000002</v>
      </c>
      <c r="AS377" s="183">
        <f t="shared" si="397"/>
        <v>0</v>
      </c>
      <c r="AT377" s="183">
        <f t="shared" si="398"/>
        <v>0.31651125000000002</v>
      </c>
      <c r="AU377" s="182">
        <f>1333*J376*POWER(10,-6)</f>
        <v>8.3139209999999979E-5</v>
      </c>
      <c r="AV377" s="183">
        <f t="shared" si="399"/>
        <v>1.5826393892100001</v>
      </c>
      <c r="AW377" s="184">
        <f t="shared" si="400"/>
        <v>0</v>
      </c>
      <c r="AX377" s="184">
        <f t="shared" si="401"/>
        <v>0</v>
      </c>
      <c r="AY377" s="184">
        <f t="shared" si="402"/>
        <v>1.3531566777745502E-4</v>
      </c>
    </row>
    <row r="378" spans="1:51" s="179" customFormat="1" x14ac:dyDescent="0.3">
      <c r="A378" s="180"/>
      <c r="B378" s="180"/>
      <c r="D378" s="271"/>
      <c r="E378" s="272"/>
      <c r="F378" s="273"/>
      <c r="G378" s="180"/>
      <c r="H378" s="184"/>
      <c r="I378" s="183"/>
      <c r="J378" s="180"/>
      <c r="K378" s="180"/>
      <c r="L378" s="180"/>
      <c r="AQ378" s="182"/>
      <c r="AR378" s="182"/>
      <c r="AS378" s="183"/>
      <c r="AT378" s="183"/>
      <c r="AU378" s="182"/>
      <c r="AV378" s="183"/>
      <c r="AW378" s="184"/>
      <c r="AX378" s="184"/>
      <c r="AY378" s="184"/>
    </row>
    <row r="379" spans="1:51" s="179" customFormat="1" x14ac:dyDescent="0.3">
      <c r="A379" s="180"/>
      <c r="B379" s="180"/>
      <c r="D379" s="271"/>
      <c r="E379" s="272"/>
      <c r="F379" s="273"/>
      <c r="G379" s="180"/>
      <c r="H379" s="184"/>
      <c r="I379" s="183"/>
      <c r="J379" s="180"/>
      <c r="K379" s="180"/>
      <c r="L379" s="180"/>
      <c r="AQ379" s="182"/>
      <c r="AR379" s="182"/>
      <c r="AS379" s="183"/>
      <c r="AT379" s="183"/>
      <c r="AU379" s="182"/>
      <c r="AV379" s="183"/>
      <c r="AW379" s="184"/>
      <c r="AX379" s="184"/>
      <c r="AY379" s="184"/>
    </row>
    <row r="380" spans="1:51" s="179" customFormat="1" x14ac:dyDescent="0.3">
      <c r="A380" s="180"/>
      <c r="B380" s="180"/>
      <c r="D380" s="271"/>
      <c r="E380" s="272"/>
      <c r="F380" s="273"/>
      <c r="G380" s="180"/>
      <c r="H380" s="184"/>
      <c r="I380" s="183"/>
      <c r="J380" s="180"/>
      <c r="K380" s="180"/>
      <c r="L380" s="180"/>
      <c r="AQ380" s="182"/>
      <c r="AR380" s="182"/>
      <c r="AS380" s="183"/>
      <c r="AT380" s="183"/>
      <c r="AU380" s="182"/>
      <c r="AV380" s="183"/>
      <c r="AW380" s="184"/>
      <c r="AX380" s="184"/>
      <c r="AY380" s="184"/>
    </row>
    <row r="381" spans="1:51" ht="15" thickBot="1" x14ac:dyDescent="0.35"/>
    <row r="382" spans="1:51" ht="15" thickBot="1" x14ac:dyDescent="0.35">
      <c r="A382" s="48" t="s">
        <v>18</v>
      </c>
      <c r="B382" s="294" t="s">
        <v>629</v>
      </c>
      <c r="C382" s="166" t="s">
        <v>159</v>
      </c>
      <c r="D382" s="49" t="s">
        <v>59</v>
      </c>
      <c r="E382" s="153">
        <v>9.9999999999999995E-8</v>
      </c>
      <c r="F382" s="150">
        <v>100</v>
      </c>
      <c r="G382" s="48">
        <v>0.2</v>
      </c>
      <c r="H382" s="50">
        <f t="shared" ref="H382:H387" si="403">E382*F382*G382</f>
        <v>1.9999999999999999E-6</v>
      </c>
      <c r="I382" s="151">
        <v>0.68</v>
      </c>
      <c r="J382" s="149">
        <f>I382</f>
        <v>0.68</v>
      </c>
      <c r="K382" s="159" t="s">
        <v>175</v>
      </c>
      <c r="L382" s="164">
        <f>J382*20</f>
        <v>13.600000000000001</v>
      </c>
      <c r="M382" s="92" t="str">
        <f t="shared" ref="M382:M387" si="404">A382</f>
        <v>С1</v>
      </c>
      <c r="N382" s="92" t="str">
        <f t="shared" ref="N382:N387" si="405">B382</f>
        <v>Трубопровод дренажного продукта рег. № 115</v>
      </c>
      <c r="O382" s="92" t="str">
        <f t="shared" ref="O382:O387" si="406">D382</f>
        <v>Полное-пожар</v>
      </c>
      <c r="P382" s="92">
        <v>17.100000000000001</v>
      </c>
      <c r="Q382" s="92">
        <v>23.5</v>
      </c>
      <c r="R382" s="92">
        <v>33.1</v>
      </c>
      <c r="S382" s="92">
        <v>61.2</v>
      </c>
      <c r="T382" s="92" t="s">
        <v>83</v>
      </c>
      <c r="U382" s="92" t="s">
        <v>83</v>
      </c>
      <c r="V382" s="92" t="s">
        <v>83</v>
      </c>
      <c r="W382" s="92" t="s">
        <v>83</v>
      </c>
      <c r="X382" s="92" t="s">
        <v>83</v>
      </c>
      <c r="Y382" s="92" t="s">
        <v>83</v>
      </c>
      <c r="Z382" s="92" t="s">
        <v>83</v>
      </c>
      <c r="AA382" s="92" t="s">
        <v>83</v>
      </c>
      <c r="AB382" s="92" t="s">
        <v>83</v>
      </c>
      <c r="AC382" s="92" t="s">
        <v>83</v>
      </c>
      <c r="AD382" s="92" t="s">
        <v>83</v>
      </c>
      <c r="AE382" s="92" t="s">
        <v>83</v>
      </c>
      <c r="AF382" s="92" t="s">
        <v>83</v>
      </c>
      <c r="AG382" s="92" t="s">
        <v>83</v>
      </c>
      <c r="AH382" s="92" t="s">
        <v>83</v>
      </c>
      <c r="AI382" s="92" t="s">
        <v>83</v>
      </c>
      <c r="AJ382" s="52">
        <v>1</v>
      </c>
      <c r="AK382" s="52">
        <v>2</v>
      </c>
      <c r="AL382" s="152">
        <v>0.75</v>
      </c>
      <c r="AM382" s="152">
        <v>2.7E-2</v>
      </c>
      <c r="AN382" s="152">
        <v>3</v>
      </c>
      <c r="AO382" s="92"/>
      <c r="AP382" s="92"/>
      <c r="AQ382" s="93">
        <f>AM382*I382+AL382</f>
        <v>0.76836000000000004</v>
      </c>
      <c r="AR382" s="93">
        <f t="shared" ref="AR382:AR387" si="407">0.1*AQ382</f>
        <v>7.6836000000000015E-2</v>
      </c>
      <c r="AS382" s="94">
        <f t="shared" ref="AS382:AS387" si="408">AJ382*3+0.25*AK382</f>
        <v>3.5</v>
      </c>
      <c r="AT382" s="94">
        <f t="shared" ref="AT382:AT387" si="409">SUM(AQ382:AS382)/4</f>
        <v>1.0862989999999999</v>
      </c>
      <c r="AU382" s="93">
        <f>10068.2*J382*POWER(10,-6)</f>
        <v>6.8463760000000004E-3</v>
      </c>
      <c r="AV382" s="94">
        <f t="shared" ref="AV382:AV387" si="410">AU382+AT382+AS382+AR382+AQ382</f>
        <v>5.4383413760000003</v>
      </c>
      <c r="AW382" s="95">
        <f t="shared" ref="AW382:AW387" si="411">AJ382*H382</f>
        <v>1.9999999999999999E-6</v>
      </c>
      <c r="AX382" s="95">
        <f t="shared" ref="AX382:AX387" si="412">H382*AK382</f>
        <v>3.9999999999999998E-6</v>
      </c>
      <c r="AY382" s="95">
        <f t="shared" ref="AY382:AY387" si="413">H382*AV382</f>
        <v>1.0876682752000001E-5</v>
      </c>
    </row>
    <row r="383" spans="1:51" ht="15" thickBot="1" x14ac:dyDescent="0.35">
      <c r="A383" s="48" t="s">
        <v>19</v>
      </c>
      <c r="B383" s="48" t="str">
        <f>B382</f>
        <v>Трубопровод дренажного продукта рег. № 115</v>
      </c>
      <c r="C383" s="166" t="s">
        <v>174</v>
      </c>
      <c r="D383" s="49" t="s">
        <v>59</v>
      </c>
      <c r="E383" s="154">
        <f>E382</f>
        <v>9.9999999999999995E-8</v>
      </c>
      <c r="F383" s="155">
        <f>F382</f>
        <v>100</v>
      </c>
      <c r="G383" s="48">
        <v>0.04</v>
      </c>
      <c r="H383" s="50">
        <f t="shared" si="403"/>
        <v>3.9999999999999998E-7</v>
      </c>
      <c r="I383" s="149">
        <f>I382</f>
        <v>0.68</v>
      </c>
      <c r="J383" s="149">
        <f>I382</f>
        <v>0.68</v>
      </c>
      <c r="K383" s="159" t="s">
        <v>176</v>
      </c>
      <c r="L383" s="164">
        <v>0</v>
      </c>
      <c r="M383" s="92" t="str">
        <f t="shared" si="404"/>
        <v>С2</v>
      </c>
      <c r="N383" s="92" t="str">
        <f t="shared" si="405"/>
        <v>Трубопровод дренажного продукта рег. № 115</v>
      </c>
      <c r="O383" s="92" t="str">
        <f t="shared" si="406"/>
        <v>Полное-пожар</v>
      </c>
      <c r="P383" s="92">
        <v>17.100000000000001</v>
      </c>
      <c r="Q383" s="92">
        <v>23.5</v>
      </c>
      <c r="R383" s="92">
        <v>33.1</v>
      </c>
      <c r="S383" s="92">
        <v>61.2</v>
      </c>
      <c r="T383" s="92" t="s">
        <v>83</v>
      </c>
      <c r="U383" s="92" t="s">
        <v>83</v>
      </c>
      <c r="V383" s="92" t="s">
        <v>83</v>
      </c>
      <c r="W383" s="92" t="s">
        <v>83</v>
      </c>
      <c r="X383" s="92" t="s">
        <v>83</v>
      </c>
      <c r="Y383" s="92" t="s">
        <v>83</v>
      </c>
      <c r="Z383" s="92" t="s">
        <v>83</v>
      </c>
      <c r="AA383" s="92" t="s">
        <v>83</v>
      </c>
      <c r="AB383" s="92" t="s">
        <v>83</v>
      </c>
      <c r="AC383" s="92" t="s">
        <v>83</v>
      </c>
      <c r="AD383" s="92" t="s">
        <v>83</v>
      </c>
      <c r="AE383" s="92" t="s">
        <v>83</v>
      </c>
      <c r="AF383" s="92" t="s">
        <v>83</v>
      </c>
      <c r="AG383" s="92" t="s">
        <v>83</v>
      </c>
      <c r="AH383" s="92" t="s">
        <v>83</v>
      </c>
      <c r="AI383" s="92" t="s">
        <v>83</v>
      </c>
      <c r="AJ383" s="52">
        <v>2</v>
      </c>
      <c r="AK383" s="52">
        <v>2</v>
      </c>
      <c r="AL383" s="92">
        <f>AL382</f>
        <v>0.75</v>
      </c>
      <c r="AM383" s="92">
        <f>AM382</f>
        <v>2.7E-2</v>
      </c>
      <c r="AN383" s="92">
        <f>AN382</f>
        <v>3</v>
      </c>
      <c r="AO383" s="92"/>
      <c r="AP383" s="92"/>
      <c r="AQ383" s="93">
        <f>AM383*I383+AL383</f>
        <v>0.76836000000000004</v>
      </c>
      <c r="AR383" s="93">
        <f t="shared" si="407"/>
        <v>7.6836000000000015E-2</v>
      </c>
      <c r="AS383" s="94">
        <f t="shared" si="408"/>
        <v>6.5</v>
      </c>
      <c r="AT383" s="94">
        <f t="shared" si="409"/>
        <v>1.8362989999999999</v>
      </c>
      <c r="AU383" s="93">
        <f>10068.2*J383*POWER(10,-6)*10</f>
        <v>6.8463759999999999E-2</v>
      </c>
      <c r="AV383" s="94">
        <f t="shared" si="410"/>
        <v>9.2499587600000002</v>
      </c>
      <c r="AW383" s="95">
        <f t="shared" si="411"/>
        <v>7.9999999999999996E-7</v>
      </c>
      <c r="AX383" s="95">
        <f t="shared" si="412"/>
        <v>7.9999999999999996E-7</v>
      </c>
      <c r="AY383" s="95">
        <f t="shared" si="413"/>
        <v>3.699983504E-6</v>
      </c>
    </row>
    <row r="384" spans="1:51" x14ac:dyDescent="0.3">
      <c r="A384" s="48" t="s">
        <v>20</v>
      </c>
      <c r="B384" s="48" t="str">
        <f>B382</f>
        <v>Трубопровод дренажного продукта рег. № 115</v>
      </c>
      <c r="C384" s="166" t="s">
        <v>161</v>
      </c>
      <c r="D384" s="49" t="s">
        <v>60</v>
      </c>
      <c r="E384" s="154">
        <f>E382</f>
        <v>9.9999999999999995E-8</v>
      </c>
      <c r="F384" s="155">
        <f>F382</f>
        <v>100</v>
      </c>
      <c r="G384" s="48">
        <v>0.76</v>
      </c>
      <c r="H384" s="50">
        <f t="shared" si="403"/>
        <v>7.5999999999999992E-6</v>
      </c>
      <c r="I384" s="149">
        <f>I382</f>
        <v>0.68</v>
      </c>
      <c r="J384" s="48">
        <v>0</v>
      </c>
      <c r="K384" s="159" t="s">
        <v>177</v>
      </c>
      <c r="L384" s="164">
        <v>0</v>
      </c>
      <c r="M384" s="92" t="str">
        <f t="shared" si="404"/>
        <v>С3</v>
      </c>
      <c r="N384" s="92" t="str">
        <f t="shared" si="405"/>
        <v>Трубопровод дренажного продукта рег. № 115</v>
      </c>
      <c r="O384" s="92" t="str">
        <f t="shared" si="406"/>
        <v>Полное-ликвидация</v>
      </c>
      <c r="P384" s="92" t="s">
        <v>83</v>
      </c>
      <c r="Q384" s="92" t="s">
        <v>83</v>
      </c>
      <c r="R384" s="92" t="s">
        <v>83</v>
      </c>
      <c r="S384" s="92" t="s">
        <v>83</v>
      </c>
      <c r="T384" s="92" t="s">
        <v>83</v>
      </c>
      <c r="U384" s="92" t="s">
        <v>83</v>
      </c>
      <c r="V384" s="92" t="s">
        <v>83</v>
      </c>
      <c r="W384" s="92" t="s">
        <v>83</v>
      </c>
      <c r="X384" s="92" t="s">
        <v>83</v>
      </c>
      <c r="Y384" s="92" t="s">
        <v>83</v>
      </c>
      <c r="Z384" s="92" t="s">
        <v>83</v>
      </c>
      <c r="AA384" s="92" t="s">
        <v>83</v>
      </c>
      <c r="AB384" s="92" t="s">
        <v>83</v>
      </c>
      <c r="AC384" s="92" t="s">
        <v>83</v>
      </c>
      <c r="AD384" s="92" t="s">
        <v>83</v>
      </c>
      <c r="AE384" s="92" t="s">
        <v>83</v>
      </c>
      <c r="AF384" s="92" t="s">
        <v>83</v>
      </c>
      <c r="AG384" s="92" t="s">
        <v>83</v>
      </c>
      <c r="AH384" s="92" t="s">
        <v>83</v>
      </c>
      <c r="AI384" s="92" t="s">
        <v>83</v>
      </c>
      <c r="AJ384" s="92">
        <v>0</v>
      </c>
      <c r="AK384" s="92">
        <v>0</v>
      </c>
      <c r="AL384" s="92">
        <f>AL382</f>
        <v>0.75</v>
      </c>
      <c r="AM384" s="92">
        <f>AM382</f>
        <v>2.7E-2</v>
      </c>
      <c r="AN384" s="92">
        <f>AN382</f>
        <v>3</v>
      </c>
      <c r="AO384" s="92"/>
      <c r="AP384" s="92"/>
      <c r="AQ384" s="93">
        <f>AM384*I384*0.1+AL384</f>
        <v>0.75183599999999995</v>
      </c>
      <c r="AR384" s="93">
        <f t="shared" si="407"/>
        <v>7.5183600000000003E-2</v>
      </c>
      <c r="AS384" s="94">
        <f t="shared" si="408"/>
        <v>0</v>
      </c>
      <c r="AT384" s="94">
        <f t="shared" si="409"/>
        <v>0.20675489999999999</v>
      </c>
      <c r="AU384" s="93">
        <f>1333*J383*POWER(10,-6)</f>
        <v>9.0644E-4</v>
      </c>
      <c r="AV384" s="94">
        <f t="shared" si="410"/>
        <v>1.0346809399999999</v>
      </c>
      <c r="AW384" s="95">
        <f t="shared" si="411"/>
        <v>0</v>
      </c>
      <c r="AX384" s="95">
        <f t="shared" si="412"/>
        <v>0</v>
      </c>
      <c r="AY384" s="95">
        <f t="shared" si="413"/>
        <v>7.8635751439999975E-6</v>
      </c>
    </row>
    <row r="385" spans="1:51" x14ac:dyDescent="0.3">
      <c r="A385" s="48" t="s">
        <v>21</v>
      </c>
      <c r="B385" s="48" t="str">
        <f>B382</f>
        <v>Трубопровод дренажного продукта рег. № 115</v>
      </c>
      <c r="C385" s="166" t="s">
        <v>162</v>
      </c>
      <c r="D385" s="49" t="s">
        <v>84</v>
      </c>
      <c r="E385" s="153">
        <v>5.0000000000000004E-6</v>
      </c>
      <c r="F385" s="155">
        <f>F382</f>
        <v>100</v>
      </c>
      <c r="G385" s="48">
        <v>0.2</v>
      </c>
      <c r="H385" s="50">
        <f t="shared" si="403"/>
        <v>1E-4</v>
      </c>
      <c r="I385" s="149">
        <f>0.15*I382</f>
        <v>0.10200000000000001</v>
      </c>
      <c r="J385" s="149">
        <f>I385</f>
        <v>0.10200000000000001</v>
      </c>
      <c r="K385" s="161" t="s">
        <v>179</v>
      </c>
      <c r="L385" s="165">
        <v>45390</v>
      </c>
      <c r="M385" s="92" t="str">
        <f t="shared" si="404"/>
        <v>С4</v>
      </c>
      <c r="N385" s="92" t="str">
        <f t="shared" si="405"/>
        <v>Трубопровод дренажного продукта рег. № 115</v>
      </c>
      <c r="O385" s="92" t="str">
        <f t="shared" si="406"/>
        <v>Частичное-пожар</v>
      </c>
      <c r="P385" s="92">
        <v>12.8</v>
      </c>
      <c r="Q385" s="92">
        <v>16.399999999999999</v>
      </c>
      <c r="R385" s="92">
        <v>21.7</v>
      </c>
      <c r="S385" s="92">
        <v>37.299999999999997</v>
      </c>
      <c r="T385" s="92" t="s">
        <v>83</v>
      </c>
      <c r="U385" s="92" t="s">
        <v>83</v>
      </c>
      <c r="V385" s="92" t="s">
        <v>83</v>
      </c>
      <c r="W385" s="92" t="s">
        <v>83</v>
      </c>
      <c r="X385" s="92" t="s">
        <v>83</v>
      </c>
      <c r="Y385" s="92" t="s">
        <v>83</v>
      </c>
      <c r="Z385" s="92" t="s">
        <v>83</v>
      </c>
      <c r="AA385" s="92" t="s">
        <v>83</v>
      </c>
      <c r="AB385" s="92" t="s">
        <v>83</v>
      </c>
      <c r="AC385" s="92" t="s">
        <v>83</v>
      </c>
      <c r="AD385" s="92" t="s">
        <v>83</v>
      </c>
      <c r="AE385" s="92" t="s">
        <v>83</v>
      </c>
      <c r="AF385" s="92" t="s">
        <v>83</v>
      </c>
      <c r="AG385" s="92" t="s">
        <v>83</v>
      </c>
      <c r="AH385" s="92" t="s">
        <v>83</v>
      </c>
      <c r="AI385" s="92" t="s">
        <v>83</v>
      </c>
      <c r="AJ385" s="92">
        <v>0</v>
      </c>
      <c r="AK385" s="92">
        <v>2</v>
      </c>
      <c r="AL385" s="92">
        <f>0.1*$AL$2</f>
        <v>7.5000000000000002E-4</v>
      </c>
      <c r="AM385" s="92">
        <f>AM382</f>
        <v>2.7E-2</v>
      </c>
      <c r="AN385" s="92">
        <f>ROUNDUP(AN382/3,0)</f>
        <v>1</v>
      </c>
      <c r="AO385" s="92"/>
      <c r="AP385" s="92"/>
      <c r="AQ385" s="93">
        <f>AM385*I385+AL385</f>
        <v>3.5040000000000002E-3</v>
      </c>
      <c r="AR385" s="93">
        <f t="shared" si="407"/>
        <v>3.5040000000000006E-4</v>
      </c>
      <c r="AS385" s="94">
        <f t="shared" si="408"/>
        <v>0.5</v>
      </c>
      <c r="AT385" s="94">
        <f t="shared" si="409"/>
        <v>0.12596360000000001</v>
      </c>
      <c r="AU385" s="93">
        <f>10068.2*J385*POWER(10,-6)</f>
        <v>1.0269564000000002E-3</v>
      </c>
      <c r="AV385" s="94">
        <f t="shared" si="410"/>
        <v>0.63084495639999993</v>
      </c>
      <c r="AW385" s="95">
        <f t="shared" si="411"/>
        <v>0</v>
      </c>
      <c r="AX385" s="95">
        <f t="shared" si="412"/>
        <v>2.0000000000000001E-4</v>
      </c>
      <c r="AY385" s="95">
        <f t="shared" si="413"/>
        <v>6.3084495639999997E-5</v>
      </c>
    </row>
    <row r="386" spans="1:51" x14ac:dyDescent="0.3">
      <c r="A386" s="48" t="s">
        <v>22</v>
      </c>
      <c r="B386" s="48" t="str">
        <f>B382</f>
        <v>Трубопровод дренажного продукта рег. № 115</v>
      </c>
      <c r="C386" s="166" t="s">
        <v>190</v>
      </c>
      <c r="D386" s="49" t="s">
        <v>84</v>
      </c>
      <c r="E386" s="154">
        <f>E385</f>
        <v>5.0000000000000004E-6</v>
      </c>
      <c r="F386" s="155">
        <f>F382</f>
        <v>100</v>
      </c>
      <c r="G386" s="48">
        <v>0.04</v>
      </c>
      <c r="H386" s="50">
        <f t="shared" si="403"/>
        <v>2.0000000000000002E-5</v>
      </c>
      <c r="I386" s="149">
        <f>0.15*I382</f>
        <v>0.10200000000000001</v>
      </c>
      <c r="J386" s="149">
        <f>I385</f>
        <v>0.10200000000000001</v>
      </c>
      <c r="K386" s="161" t="s">
        <v>180</v>
      </c>
      <c r="L386" s="165">
        <v>3</v>
      </c>
      <c r="M386" s="92" t="str">
        <f t="shared" si="404"/>
        <v>С5</v>
      </c>
      <c r="N386" s="92" t="str">
        <f t="shared" si="405"/>
        <v>Трубопровод дренажного продукта рег. № 115</v>
      </c>
      <c r="O386" s="92" t="str">
        <f t="shared" si="406"/>
        <v>Частичное-пожар</v>
      </c>
      <c r="P386" s="92">
        <v>12.8</v>
      </c>
      <c r="Q386" s="92">
        <v>16.399999999999999</v>
      </c>
      <c r="R386" s="92">
        <v>21.7</v>
      </c>
      <c r="S386" s="92">
        <v>37.299999999999997</v>
      </c>
      <c r="T386" s="92" t="s">
        <v>83</v>
      </c>
      <c r="U386" s="92" t="s">
        <v>83</v>
      </c>
      <c r="V386" s="92" t="s">
        <v>83</v>
      </c>
      <c r="W386" s="92" t="s">
        <v>83</v>
      </c>
      <c r="X386" s="92" t="s">
        <v>83</v>
      </c>
      <c r="Y386" s="92" t="s">
        <v>83</v>
      </c>
      <c r="Z386" s="92" t="s">
        <v>83</v>
      </c>
      <c r="AA386" s="92" t="s">
        <v>83</v>
      </c>
      <c r="AB386" s="92" t="s">
        <v>83</v>
      </c>
      <c r="AC386" s="92" t="s">
        <v>83</v>
      </c>
      <c r="AD386" s="92" t="s">
        <v>83</v>
      </c>
      <c r="AE386" s="92" t="s">
        <v>83</v>
      </c>
      <c r="AF386" s="92" t="s">
        <v>83</v>
      </c>
      <c r="AG386" s="92" t="s">
        <v>83</v>
      </c>
      <c r="AH386" s="92" t="s">
        <v>83</v>
      </c>
      <c r="AI386" s="92" t="s">
        <v>83</v>
      </c>
      <c r="AJ386" s="92">
        <v>0</v>
      </c>
      <c r="AK386" s="92">
        <v>1</v>
      </c>
      <c r="AL386" s="92">
        <f>0.1*$AL$2</f>
        <v>7.5000000000000002E-4</v>
      </c>
      <c r="AM386" s="92">
        <f>AM382</f>
        <v>2.7E-2</v>
      </c>
      <c r="AN386" s="92">
        <f>ROUNDUP(AN382/3,0)</f>
        <v>1</v>
      </c>
      <c r="AO386" s="92"/>
      <c r="AP386" s="92"/>
      <c r="AQ386" s="93">
        <f>AM386*I386+AL386</f>
        <v>3.5040000000000002E-3</v>
      </c>
      <c r="AR386" s="93">
        <f t="shared" si="407"/>
        <v>3.5040000000000006E-4</v>
      </c>
      <c r="AS386" s="94">
        <f t="shared" si="408"/>
        <v>0.25</v>
      </c>
      <c r="AT386" s="94">
        <f t="shared" si="409"/>
        <v>6.3463599999999995E-2</v>
      </c>
      <c r="AU386" s="93">
        <f>10068.2*J386*POWER(10,-6)*10</f>
        <v>1.0269564000000002E-2</v>
      </c>
      <c r="AV386" s="94">
        <f t="shared" si="410"/>
        <v>0.32758756399999994</v>
      </c>
      <c r="AW386" s="95">
        <f t="shared" si="411"/>
        <v>0</v>
      </c>
      <c r="AX386" s="95">
        <f t="shared" si="412"/>
        <v>2.0000000000000002E-5</v>
      </c>
      <c r="AY386" s="95">
        <f t="shared" si="413"/>
        <v>6.5517512799999991E-6</v>
      </c>
    </row>
    <row r="387" spans="1:51" ht="15" thickBot="1" x14ac:dyDescent="0.35">
      <c r="A387" s="48" t="s">
        <v>23</v>
      </c>
      <c r="B387" s="48" t="str">
        <f>B382</f>
        <v>Трубопровод дренажного продукта рег. № 115</v>
      </c>
      <c r="C387" s="166" t="s">
        <v>164</v>
      </c>
      <c r="D387" s="49" t="s">
        <v>61</v>
      </c>
      <c r="E387" s="154">
        <f>E385</f>
        <v>5.0000000000000004E-6</v>
      </c>
      <c r="F387" s="155">
        <f>F382</f>
        <v>100</v>
      </c>
      <c r="G387" s="48">
        <v>0.76</v>
      </c>
      <c r="H387" s="50">
        <f t="shared" si="403"/>
        <v>3.8000000000000002E-4</v>
      </c>
      <c r="I387" s="149">
        <f>0.15*I382</f>
        <v>0.10200000000000001</v>
      </c>
      <c r="J387" s="48">
        <v>0</v>
      </c>
      <c r="K387" s="162" t="s">
        <v>191</v>
      </c>
      <c r="L387" s="168">
        <v>3</v>
      </c>
      <c r="M387" s="92" t="str">
        <f t="shared" si="404"/>
        <v>С6</v>
      </c>
      <c r="N387" s="92" t="str">
        <f t="shared" si="405"/>
        <v>Трубопровод дренажного продукта рег. № 115</v>
      </c>
      <c r="O387" s="92" t="str">
        <f t="shared" si="406"/>
        <v>Частичное-ликвидация</v>
      </c>
      <c r="P387" s="92" t="s">
        <v>83</v>
      </c>
      <c r="Q387" s="92" t="s">
        <v>83</v>
      </c>
      <c r="R387" s="92" t="s">
        <v>83</v>
      </c>
      <c r="S387" s="92" t="s">
        <v>83</v>
      </c>
      <c r="T387" s="92" t="s">
        <v>83</v>
      </c>
      <c r="U387" s="92" t="s">
        <v>83</v>
      </c>
      <c r="V387" s="92" t="s">
        <v>83</v>
      </c>
      <c r="W387" s="92" t="s">
        <v>83</v>
      </c>
      <c r="X387" s="92" t="s">
        <v>83</v>
      </c>
      <c r="Y387" s="92" t="s">
        <v>83</v>
      </c>
      <c r="Z387" s="92" t="s">
        <v>83</v>
      </c>
      <c r="AA387" s="92" t="s">
        <v>83</v>
      </c>
      <c r="AB387" s="92" t="s">
        <v>83</v>
      </c>
      <c r="AC387" s="92" t="s">
        <v>83</v>
      </c>
      <c r="AD387" s="92" t="s">
        <v>83</v>
      </c>
      <c r="AE387" s="92" t="s">
        <v>83</v>
      </c>
      <c r="AF387" s="92" t="s">
        <v>83</v>
      </c>
      <c r="AG387" s="92" t="s">
        <v>83</v>
      </c>
      <c r="AH387" s="92" t="s">
        <v>83</v>
      </c>
      <c r="AI387" s="92" t="s">
        <v>83</v>
      </c>
      <c r="AJ387" s="92">
        <v>0</v>
      </c>
      <c r="AK387" s="92">
        <v>0</v>
      </c>
      <c r="AL387" s="92">
        <f>0.1*$AL$2</f>
        <v>7.5000000000000002E-4</v>
      </c>
      <c r="AM387" s="92">
        <f>AM382</f>
        <v>2.7E-2</v>
      </c>
      <c r="AN387" s="92">
        <f>ROUNDUP(AN382/3,0)</f>
        <v>1</v>
      </c>
      <c r="AO387" s="92"/>
      <c r="AP387" s="92"/>
      <c r="AQ387" s="93">
        <f>AM387*I387*0.1+AL387</f>
        <v>1.0254000000000001E-3</v>
      </c>
      <c r="AR387" s="93">
        <f t="shared" si="407"/>
        <v>1.0254000000000002E-4</v>
      </c>
      <c r="AS387" s="94">
        <f t="shared" si="408"/>
        <v>0</v>
      </c>
      <c r="AT387" s="94">
        <f t="shared" si="409"/>
        <v>2.81985E-4</v>
      </c>
      <c r="AU387" s="93">
        <f>1333*J386*POWER(10,-6)</f>
        <v>1.3596600000000001E-4</v>
      </c>
      <c r="AV387" s="94">
        <f t="shared" si="410"/>
        <v>1.5458910000000002E-3</v>
      </c>
      <c r="AW387" s="95">
        <f t="shared" si="411"/>
        <v>0</v>
      </c>
      <c r="AX387" s="95">
        <f t="shared" si="412"/>
        <v>0</v>
      </c>
      <c r="AY387" s="95">
        <f t="shared" si="413"/>
        <v>5.8743858000000006E-7</v>
      </c>
    </row>
    <row r="388" spans="1:51" x14ac:dyDescent="0.3">
      <c r="A388" s="48"/>
      <c r="B388" s="48"/>
      <c r="C388" s="166"/>
      <c r="D388" s="49"/>
      <c r="E388" s="154"/>
      <c r="F388" s="155"/>
      <c r="G388" s="48"/>
      <c r="H388" s="50"/>
      <c r="I388" s="149"/>
      <c r="J388" s="48"/>
      <c r="K388" s="278"/>
      <c r="L388" s="279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92"/>
      <c r="AO388" s="92"/>
      <c r="AP388" s="92"/>
      <c r="AQ388" s="93"/>
      <c r="AR388" s="93"/>
      <c r="AS388" s="94"/>
      <c r="AT388" s="94"/>
      <c r="AU388" s="93"/>
      <c r="AV388" s="94"/>
      <c r="AW388" s="95"/>
      <c r="AX388" s="95"/>
      <c r="AY388" s="95"/>
    </row>
    <row r="389" spans="1:51" s="267" customFormat="1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</row>
    <row r="390" spans="1:51" s="267" customFormat="1" x14ac:dyDescent="0.3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</row>
    <row r="391" spans="1:51" ht="15" thickBot="1" x14ac:dyDescent="0.35"/>
    <row r="392" spans="1:51" s="179" customFormat="1" ht="15" thickBot="1" x14ac:dyDescent="0.35">
      <c r="A392" s="169" t="s">
        <v>18</v>
      </c>
      <c r="B392" s="170" t="s">
        <v>630</v>
      </c>
      <c r="C392" s="171" t="s">
        <v>196</v>
      </c>
      <c r="D392" s="172" t="s">
        <v>59</v>
      </c>
      <c r="E392" s="173">
        <v>1.0000000000000001E-5</v>
      </c>
      <c r="F392" s="170">
        <v>1</v>
      </c>
      <c r="G392" s="169">
        <v>0.1</v>
      </c>
      <c r="H392" s="174">
        <f t="shared" ref="H392:H397" si="414">E392*F392*G392</f>
        <v>1.0000000000000002E-6</v>
      </c>
      <c r="I392" s="175">
        <v>1136</v>
      </c>
      <c r="J392" s="176">
        <f>I392</f>
        <v>1136</v>
      </c>
      <c r="K392" s="177" t="s">
        <v>175</v>
      </c>
      <c r="L392" s="178">
        <v>3000</v>
      </c>
      <c r="M392" s="179" t="str">
        <f t="shared" ref="M392:M397" si="415">A392</f>
        <v>С1</v>
      </c>
      <c r="N392" s="179" t="str">
        <f t="shared" ref="N392:N397" si="416">B392</f>
        <v>Резервуар РВС (8717T0004)</v>
      </c>
      <c r="O392" s="179" t="str">
        <f t="shared" ref="O392:O397" si="417">D392</f>
        <v>Полное-пожар</v>
      </c>
      <c r="P392" s="179">
        <v>47.1</v>
      </c>
      <c r="Q392" s="179">
        <v>64.099999999999994</v>
      </c>
      <c r="R392" s="179">
        <v>90.1</v>
      </c>
      <c r="S392" s="179">
        <v>161.69999999999999</v>
      </c>
      <c r="T392" s="179" t="s">
        <v>83</v>
      </c>
      <c r="U392" s="179" t="s">
        <v>83</v>
      </c>
      <c r="V392" s="179" t="s">
        <v>83</v>
      </c>
      <c r="W392" s="179" t="s">
        <v>83</v>
      </c>
      <c r="X392" s="179" t="s">
        <v>83</v>
      </c>
      <c r="Y392" s="179" t="s">
        <v>83</v>
      </c>
      <c r="Z392" s="179" t="s">
        <v>83</v>
      </c>
      <c r="AA392" s="179" t="s">
        <v>83</v>
      </c>
      <c r="AB392" s="179" t="s">
        <v>83</v>
      </c>
      <c r="AC392" s="179" t="s">
        <v>83</v>
      </c>
      <c r="AD392" s="179" t="s">
        <v>83</v>
      </c>
      <c r="AE392" s="179" t="s">
        <v>83</v>
      </c>
      <c r="AF392" s="179" t="s">
        <v>83</v>
      </c>
      <c r="AG392" s="179" t="s">
        <v>83</v>
      </c>
      <c r="AH392" s="179" t="s">
        <v>83</v>
      </c>
      <c r="AI392" s="179" t="s">
        <v>83</v>
      </c>
      <c r="AJ392" s="180">
        <v>1</v>
      </c>
      <c r="AK392" s="180">
        <v>2</v>
      </c>
      <c r="AL392" s="181">
        <v>0.75</v>
      </c>
      <c r="AM392" s="181">
        <v>2.7E-2</v>
      </c>
      <c r="AN392" s="181">
        <v>3</v>
      </c>
      <c r="AQ392" s="182">
        <f>AM392*I392+AL392</f>
        <v>31.422000000000001</v>
      </c>
      <c r="AR392" s="182">
        <f t="shared" ref="AR392:AR397" si="418">0.1*AQ392</f>
        <v>3.1422000000000003</v>
      </c>
      <c r="AS392" s="183">
        <f t="shared" ref="AS392:AS397" si="419">AJ392*3+0.25*AK392</f>
        <v>3.5</v>
      </c>
      <c r="AT392" s="183">
        <f t="shared" ref="AT392:AT397" si="420">SUM(AQ392:AS392)/4</f>
        <v>9.5160499999999999</v>
      </c>
      <c r="AU392" s="182">
        <f>10068.2*J392*POWER(10,-6)</f>
        <v>11.4374752</v>
      </c>
      <c r="AV392" s="183">
        <f t="shared" ref="AV392:AV397" si="421">AU392+AT392+AS392+AR392+AQ392</f>
        <v>59.017725200000001</v>
      </c>
      <c r="AW392" s="184">
        <f t="shared" ref="AW392:AW397" si="422">AJ392*H392</f>
        <v>1.0000000000000002E-6</v>
      </c>
      <c r="AX392" s="184">
        <f t="shared" ref="AX392:AX397" si="423">H392*AK392</f>
        <v>2.0000000000000003E-6</v>
      </c>
      <c r="AY392" s="184">
        <f t="shared" ref="AY392:AY397" si="424">H392*AV392</f>
        <v>5.9017725200000007E-5</v>
      </c>
    </row>
    <row r="393" spans="1:51" s="179" customFormat="1" ht="15" thickBot="1" x14ac:dyDescent="0.35">
      <c r="A393" s="169" t="s">
        <v>19</v>
      </c>
      <c r="B393" s="169" t="str">
        <f>B392</f>
        <v>Резервуар РВС (8717T0004)</v>
      </c>
      <c r="C393" s="171" t="s">
        <v>197</v>
      </c>
      <c r="D393" s="172" t="s">
        <v>62</v>
      </c>
      <c r="E393" s="185">
        <f>E392</f>
        <v>1.0000000000000001E-5</v>
      </c>
      <c r="F393" s="186">
        <f>F392</f>
        <v>1</v>
      </c>
      <c r="G393" s="169">
        <v>0.18000000000000002</v>
      </c>
      <c r="H393" s="174">
        <f t="shared" si="414"/>
        <v>1.8000000000000003E-6</v>
      </c>
      <c r="I393" s="187">
        <f>I392</f>
        <v>1136</v>
      </c>
      <c r="J393" s="418">
        <f>POWER(10,-6)*55*SQRT(100)*3600*L392/1000*0.05</f>
        <v>0.29699999999999999</v>
      </c>
      <c r="K393" s="177" t="s">
        <v>176</v>
      </c>
      <c r="L393" s="178">
        <v>0</v>
      </c>
      <c r="M393" s="179" t="str">
        <f t="shared" si="415"/>
        <v>С2</v>
      </c>
      <c r="N393" s="179" t="str">
        <f t="shared" si="416"/>
        <v>Резервуар РВС (8717T0004)</v>
      </c>
      <c r="O393" s="179" t="str">
        <f t="shared" si="417"/>
        <v>Полное-взрыв</v>
      </c>
      <c r="P393" s="179" t="s">
        <v>83</v>
      </c>
      <c r="Q393" s="179" t="s">
        <v>83</v>
      </c>
      <c r="R393" s="179" t="s">
        <v>83</v>
      </c>
      <c r="S393" s="179" t="s">
        <v>83</v>
      </c>
      <c r="T393" s="179">
        <v>0</v>
      </c>
      <c r="U393" s="179">
        <v>0</v>
      </c>
      <c r="V393" s="179">
        <v>64.599999999999994</v>
      </c>
      <c r="W393" s="179">
        <v>216.1</v>
      </c>
      <c r="X393" s="179">
        <v>562.6</v>
      </c>
      <c r="Y393" s="179" t="s">
        <v>83</v>
      </c>
      <c r="Z393" s="179" t="s">
        <v>83</v>
      </c>
      <c r="AA393" s="179" t="s">
        <v>83</v>
      </c>
      <c r="AB393" s="179" t="s">
        <v>83</v>
      </c>
      <c r="AC393" s="179" t="s">
        <v>83</v>
      </c>
      <c r="AD393" s="179" t="s">
        <v>83</v>
      </c>
      <c r="AE393" s="179" t="s">
        <v>83</v>
      </c>
      <c r="AF393" s="179" t="s">
        <v>83</v>
      </c>
      <c r="AG393" s="179" t="s">
        <v>83</v>
      </c>
      <c r="AH393" s="179" t="s">
        <v>83</v>
      </c>
      <c r="AI393" s="179" t="s">
        <v>83</v>
      </c>
      <c r="AJ393" s="180">
        <v>2</v>
      </c>
      <c r="AK393" s="180">
        <v>2</v>
      </c>
      <c r="AL393" s="179">
        <f>AL392</f>
        <v>0.75</v>
      </c>
      <c r="AM393" s="179">
        <f>AM392</f>
        <v>2.7E-2</v>
      </c>
      <c r="AN393" s="179">
        <f>AN392</f>
        <v>3</v>
      </c>
      <c r="AQ393" s="182">
        <f>AM393*I393+AL393</f>
        <v>31.422000000000001</v>
      </c>
      <c r="AR393" s="182">
        <f t="shared" si="418"/>
        <v>3.1422000000000003</v>
      </c>
      <c r="AS393" s="183">
        <f t="shared" si="419"/>
        <v>6.5</v>
      </c>
      <c r="AT393" s="183">
        <f t="shared" si="420"/>
        <v>10.26605</v>
      </c>
      <c r="AU393" s="182">
        <f>10068.2*J393*POWER(10,-6)*10</f>
        <v>2.9902553999999998E-2</v>
      </c>
      <c r="AV393" s="183">
        <f t="shared" si="421"/>
        <v>51.360152553999995</v>
      </c>
      <c r="AW393" s="184">
        <f t="shared" si="422"/>
        <v>3.6000000000000007E-6</v>
      </c>
      <c r="AX393" s="184">
        <f t="shared" si="423"/>
        <v>3.6000000000000007E-6</v>
      </c>
      <c r="AY393" s="184">
        <f t="shared" si="424"/>
        <v>9.2448274597200006E-5</v>
      </c>
    </row>
    <row r="394" spans="1:51" s="179" customFormat="1" x14ac:dyDescent="0.3">
      <c r="A394" s="169" t="s">
        <v>20</v>
      </c>
      <c r="B394" s="169" t="str">
        <f>B392</f>
        <v>Резервуар РВС (8717T0004)</v>
      </c>
      <c r="C394" s="171" t="s">
        <v>198</v>
      </c>
      <c r="D394" s="172" t="s">
        <v>60</v>
      </c>
      <c r="E394" s="185">
        <f>E392</f>
        <v>1.0000000000000001E-5</v>
      </c>
      <c r="F394" s="186">
        <f>F392</f>
        <v>1</v>
      </c>
      <c r="G394" s="169">
        <v>0.72000000000000008</v>
      </c>
      <c r="H394" s="174">
        <f t="shared" si="414"/>
        <v>7.2000000000000014E-6</v>
      </c>
      <c r="I394" s="187">
        <f>I392</f>
        <v>1136</v>
      </c>
      <c r="J394" s="189">
        <v>0</v>
      </c>
      <c r="K394" s="177" t="s">
        <v>177</v>
      </c>
      <c r="L394" s="178">
        <v>0</v>
      </c>
      <c r="M394" s="179" t="str">
        <f t="shared" si="415"/>
        <v>С3</v>
      </c>
      <c r="N394" s="179" t="str">
        <f t="shared" si="416"/>
        <v>Резервуар РВС (8717T0004)</v>
      </c>
      <c r="O394" s="179" t="str">
        <f t="shared" si="417"/>
        <v>Полное-ликвидация</v>
      </c>
      <c r="P394" s="179" t="s">
        <v>83</v>
      </c>
      <c r="Q394" s="179" t="s">
        <v>83</v>
      </c>
      <c r="R394" s="179" t="s">
        <v>83</v>
      </c>
      <c r="S394" s="179" t="s">
        <v>83</v>
      </c>
      <c r="T394" s="179" t="s">
        <v>83</v>
      </c>
      <c r="U394" s="179" t="s">
        <v>83</v>
      </c>
      <c r="V394" s="179" t="s">
        <v>83</v>
      </c>
      <c r="W394" s="179" t="s">
        <v>83</v>
      </c>
      <c r="X394" s="179" t="s">
        <v>83</v>
      </c>
      <c r="Y394" s="179" t="s">
        <v>83</v>
      </c>
      <c r="Z394" s="179" t="s">
        <v>83</v>
      </c>
      <c r="AA394" s="179" t="s">
        <v>83</v>
      </c>
      <c r="AB394" s="179" t="s">
        <v>83</v>
      </c>
      <c r="AC394" s="179" t="s">
        <v>83</v>
      </c>
      <c r="AD394" s="179" t="s">
        <v>83</v>
      </c>
      <c r="AE394" s="179" t="s">
        <v>83</v>
      </c>
      <c r="AF394" s="179" t="s">
        <v>83</v>
      </c>
      <c r="AG394" s="179" t="s">
        <v>83</v>
      </c>
      <c r="AH394" s="179" t="s">
        <v>83</v>
      </c>
      <c r="AI394" s="179" t="s">
        <v>83</v>
      </c>
      <c r="AJ394" s="179">
        <v>0</v>
      </c>
      <c r="AK394" s="179">
        <v>0</v>
      </c>
      <c r="AL394" s="179">
        <f>AL392</f>
        <v>0.75</v>
      </c>
      <c r="AM394" s="179">
        <f>AM392</f>
        <v>2.7E-2</v>
      </c>
      <c r="AN394" s="179">
        <f>AN392</f>
        <v>3</v>
      </c>
      <c r="AQ394" s="182">
        <f>AM394*I394*0.1+AL394</f>
        <v>3.8172000000000001</v>
      </c>
      <c r="AR394" s="182">
        <f t="shared" si="418"/>
        <v>0.38172000000000006</v>
      </c>
      <c r="AS394" s="183">
        <f t="shared" si="419"/>
        <v>0</v>
      </c>
      <c r="AT394" s="183">
        <f t="shared" si="420"/>
        <v>1.0497300000000001</v>
      </c>
      <c r="AU394" s="182">
        <f>1333*J393*POWER(10,-6)</f>
        <v>3.9590099999999994E-4</v>
      </c>
      <c r="AV394" s="183">
        <f t="shared" si="421"/>
        <v>5.2490459010000006</v>
      </c>
      <c r="AW394" s="184">
        <f t="shared" si="422"/>
        <v>0</v>
      </c>
      <c r="AX394" s="184">
        <f t="shared" si="423"/>
        <v>0</v>
      </c>
      <c r="AY394" s="184">
        <f t="shared" si="424"/>
        <v>3.7793130487200013E-5</v>
      </c>
    </row>
    <row r="395" spans="1:51" s="179" customFormat="1" x14ac:dyDescent="0.3">
      <c r="A395" s="169" t="s">
        <v>21</v>
      </c>
      <c r="B395" s="169" t="str">
        <f>B392</f>
        <v>Резервуар РВС (8717T0004)</v>
      </c>
      <c r="C395" s="171" t="s">
        <v>199</v>
      </c>
      <c r="D395" s="172" t="s">
        <v>84</v>
      </c>
      <c r="E395" s="173">
        <v>1E-4</v>
      </c>
      <c r="F395" s="186">
        <f>F392</f>
        <v>1</v>
      </c>
      <c r="G395" s="169">
        <v>0.1</v>
      </c>
      <c r="H395" s="174">
        <f t="shared" si="414"/>
        <v>1.0000000000000001E-5</v>
      </c>
      <c r="I395" s="187">
        <f>0.15*I392</f>
        <v>170.4</v>
      </c>
      <c r="J395" s="176">
        <f>I395</f>
        <v>170.4</v>
      </c>
      <c r="K395" s="190" t="s">
        <v>179</v>
      </c>
      <c r="L395" s="191">
        <v>45390</v>
      </c>
      <c r="M395" s="179" t="str">
        <f t="shared" si="415"/>
        <v>С4</v>
      </c>
      <c r="N395" s="179" t="str">
        <f t="shared" si="416"/>
        <v>Резервуар РВС (8717T0004)</v>
      </c>
      <c r="O395" s="179" t="str">
        <f t="shared" si="417"/>
        <v>Частичное-пожар</v>
      </c>
      <c r="P395" s="179">
        <v>18.600000000000001</v>
      </c>
      <c r="Q395" s="179">
        <v>25.8</v>
      </c>
      <c r="R395" s="179">
        <v>36.9</v>
      </c>
      <c r="S395" s="179">
        <v>68.8</v>
      </c>
      <c r="T395" s="179" t="s">
        <v>83</v>
      </c>
      <c r="U395" s="179" t="s">
        <v>83</v>
      </c>
      <c r="V395" s="179" t="s">
        <v>83</v>
      </c>
      <c r="W395" s="179" t="s">
        <v>83</v>
      </c>
      <c r="X395" s="179" t="s">
        <v>83</v>
      </c>
      <c r="Y395" s="179" t="s">
        <v>83</v>
      </c>
      <c r="Z395" s="179" t="s">
        <v>83</v>
      </c>
      <c r="AA395" s="179" t="s">
        <v>83</v>
      </c>
      <c r="AB395" s="179" t="s">
        <v>83</v>
      </c>
      <c r="AC395" s="179" t="s">
        <v>83</v>
      </c>
      <c r="AD395" s="179" t="s">
        <v>83</v>
      </c>
      <c r="AE395" s="179" t="s">
        <v>83</v>
      </c>
      <c r="AF395" s="179" t="s">
        <v>83</v>
      </c>
      <c r="AG395" s="179" t="s">
        <v>83</v>
      </c>
      <c r="AH395" s="179" t="s">
        <v>83</v>
      </c>
      <c r="AI395" s="179" t="s">
        <v>83</v>
      </c>
      <c r="AJ395" s="179">
        <v>0</v>
      </c>
      <c r="AK395" s="179">
        <v>2</v>
      </c>
      <c r="AL395" s="179">
        <f>0.1*$AL$2</f>
        <v>7.5000000000000002E-4</v>
      </c>
      <c r="AM395" s="179">
        <f>AM392</f>
        <v>2.7E-2</v>
      </c>
      <c r="AN395" s="179">
        <f>ROUNDUP(AN392/3,0)</f>
        <v>1</v>
      </c>
      <c r="AQ395" s="182">
        <f>AM395*I395+AL395</f>
        <v>4.6015500000000005</v>
      </c>
      <c r="AR395" s="182">
        <f t="shared" si="418"/>
        <v>0.46015500000000009</v>
      </c>
      <c r="AS395" s="183">
        <f t="shared" si="419"/>
        <v>0.5</v>
      </c>
      <c r="AT395" s="183">
        <f t="shared" si="420"/>
        <v>1.3904262500000002</v>
      </c>
      <c r="AU395" s="182">
        <f>10068.2*J395*POWER(10,-6)</f>
        <v>1.7156212800000001</v>
      </c>
      <c r="AV395" s="183">
        <f t="shared" si="421"/>
        <v>8.6677525300000013</v>
      </c>
      <c r="AW395" s="184">
        <f t="shared" si="422"/>
        <v>0</v>
      </c>
      <c r="AX395" s="184">
        <f t="shared" si="423"/>
        <v>2.0000000000000002E-5</v>
      </c>
      <c r="AY395" s="184">
        <f t="shared" si="424"/>
        <v>8.6677525300000015E-5</v>
      </c>
    </row>
    <row r="396" spans="1:51" s="179" customFormat="1" x14ac:dyDescent="0.3">
      <c r="A396" s="169" t="s">
        <v>22</v>
      </c>
      <c r="B396" s="169" t="str">
        <f>B392</f>
        <v>Резервуар РВС (8717T0004)</v>
      </c>
      <c r="C396" s="171" t="s">
        <v>200</v>
      </c>
      <c r="D396" s="172" t="s">
        <v>165</v>
      </c>
      <c r="E396" s="185">
        <f>E395</f>
        <v>1E-4</v>
      </c>
      <c r="F396" s="186">
        <f>F392</f>
        <v>1</v>
      </c>
      <c r="G396" s="169">
        <v>4.5000000000000005E-2</v>
      </c>
      <c r="H396" s="174">
        <f t="shared" si="414"/>
        <v>4.500000000000001E-6</v>
      </c>
      <c r="I396" s="187">
        <f>0.15*I392</f>
        <v>170.4</v>
      </c>
      <c r="J396" s="176">
        <f>0.15*J393</f>
        <v>4.4549999999999999E-2</v>
      </c>
      <c r="K396" s="190" t="s">
        <v>180</v>
      </c>
      <c r="L396" s="191">
        <v>3</v>
      </c>
      <c r="M396" s="179" t="str">
        <f t="shared" si="415"/>
        <v>С5</v>
      </c>
      <c r="N396" s="179" t="str">
        <f t="shared" si="416"/>
        <v>Резервуар РВС (8717T0004)</v>
      </c>
      <c r="O396" s="179" t="str">
        <f t="shared" si="417"/>
        <v>Частичное-пожар-вспышка</v>
      </c>
      <c r="P396" s="179" t="s">
        <v>83</v>
      </c>
      <c r="Q396" s="179" t="s">
        <v>83</v>
      </c>
      <c r="R396" s="179" t="s">
        <v>83</v>
      </c>
      <c r="S396" s="179" t="s">
        <v>83</v>
      </c>
      <c r="T396" s="179" t="s">
        <v>83</v>
      </c>
      <c r="U396" s="179" t="s">
        <v>83</v>
      </c>
      <c r="V396" s="179" t="s">
        <v>83</v>
      </c>
      <c r="W396" s="179" t="s">
        <v>83</v>
      </c>
      <c r="X396" s="179" t="s">
        <v>83</v>
      </c>
      <c r="Y396" s="179" t="s">
        <v>83</v>
      </c>
      <c r="Z396" s="179" t="s">
        <v>83</v>
      </c>
      <c r="AA396" s="179">
        <v>15.35</v>
      </c>
      <c r="AB396" s="179">
        <v>18.420000000000002</v>
      </c>
      <c r="AC396" s="179" t="s">
        <v>83</v>
      </c>
      <c r="AD396" s="179" t="s">
        <v>83</v>
      </c>
      <c r="AE396" s="179" t="s">
        <v>83</v>
      </c>
      <c r="AF396" s="179" t="s">
        <v>83</v>
      </c>
      <c r="AG396" s="179" t="s">
        <v>83</v>
      </c>
      <c r="AH396" s="179" t="s">
        <v>83</v>
      </c>
      <c r="AI396" s="179" t="s">
        <v>83</v>
      </c>
      <c r="AJ396" s="179">
        <v>0</v>
      </c>
      <c r="AK396" s="179">
        <v>1</v>
      </c>
      <c r="AL396" s="179">
        <f>0.1*$AL$2</f>
        <v>7.5000000000000002E-4</v>
      </c>
      <c r="AM396" s="179">
        <f>AM392</f>
        <v>2.7E-2</v>
      </c>
      <c r="AN396" s="179">
        <f>ROUNDUP(AN392/3,0)</f>
        <v>1</v>
      </c>
      <c r="AQ396" s="182">
        <f>AM396*I396+AL396</f>
        <v>4.6015500000000005</v>
      </c>
      <c r="AR396" s="182">
        <f t="shared" si="418"/>
        <v>0.46015500000000009</v>
      </c>
      <c r="AS396" s="183">
        <f t="shared" si="419"/>
        <v>0.25</v>
      </c>
      <c r="AT396" s="183">
        <f t="shared" si="420"/>
        <v>1.3279262500000002</v>
      </c>
      <c r="AU396" s="182">
        <f>10068.2*J396*POWER(10,-6)*10</f>
        <v>4.4853831000000004E-3</v>
      </c>
      <c r="AV396" s="183">
        <f t="shared" si="421"/>
        <v>6.6441166331000012</v>
      </c>
      <c r="AW396" s="184">
        <f t="shared" si="422"/>
        <v>0</v>
      </c>
      <c r="AX396" s="184">
        <f t="shared" si="423"/>
        <v>4.500000000000001E-6</v>
      </c>
      <c r="AY396" s="184">
        <f t="shared" si="424"/>
        <v>2.9898524848950011E-5</v>
      </c>
    </row>
    <row r="397" spans="1:51" s="179" customFormat="1" ht="15" thickBot="1" x14ac:dyDescent="0.35">
      <c r="A397" s="169" t="s">
        <v>23</v>
      </c>
      <c r="B397" s="169" t="str">
        <f>B392</f>
        <v>Резервуар РВС (8717T0004)</v>
      </c>
      <c r="C397" s="171" t="s">
        <v>201</v>
      </c>
      <c r="D397" s="172" t="s">
        <v>61</v>
      </c>
      <c r="E397" s="185">
        <f>E395</f>
        <v>1E-4</v>
      </c>
      <c r="F397" s="186">
        <f>F392</f>
        <v>1</v>
      </c>
      <c r="G397" s="169">
        <v>0.85499999999999998</v>
      </c>
      <c r="H397" s="174">
        <f t="shared" si="414"/>
        <v>8.5500000000000005E-5</v>
      </c>
      <c r="I397" s="187">
        <f>0.15*I392</f>
        <v>170.4</v>
      </c>
      <c r="J397" s="189">
        <v>0</v>
      </c>
      <c r="K397" s="192" t="s">
        <v>191</v>
      </c>
      <c r="L397" s="192">
        <v>9</v>
      </c>
      <c r="M397" s="179" t="str">
        <f t="shared" si="415"/>
        <v>С6</v>
      </c>
      <c r="N397" s="179" t="str">
        <f t="shared" si="416"/>
        <v>Резервуар РВС (8717T0004)</v>
      </c>
      <c r="O397" s="179" t="str">
        <f t="shared" si="417"/>
        <v>Частичное-ликвидация</v>
      </c>
      <c r="P397" s="179" t="s">
        <v>83</v>
      </c>
      <c r="Q397" s="179" t="s">
        <v>83</v>
      </c>
      <c r="R397" s="179" t="s">
        <v>83</v>
      </c>
      <c r="S397" s="179" t="s">
        <v>83</v>
      </c>
      <c r="T397" s="179" t="s">
        <v>83</v>
      </c>
      <c r="U397" s="179" t="s">
        <v>83</v>
      </c>
      <c r="V397" s="179" t="s">
        <v>83</v>
      </c>
      <c r="W397" s="179" t="s">
        <v>83</v>
      </c>
      <c r="X397" s="179" t="s">
        <v>83</v>
      </c>
      <c r="Y397" s="179" t="s">
        <v>83</v>
      </c>
      <c r="Z397" s="179" t="s">
        <v>83</v>
      </c>
      <c r="AA397" s="179" t="s">
        <v>83</v>
      </c>
      <c r="AB397" s="179" t="s">
        <v>83</v>
      </c>
      <c r="AC397" s="179" t="s">
        <v>83</v>
      </c>
      <c r="AD397" s="179" t="s">
        <v>83</v>
      </c>
      <c r="AE397" s="179" t="s">
        <v>83</v>
      </c>
      <c r="AF397" s="179" t="s">
        <v>83</v>
      </c>
      <c r="AG397" s="179" t="s">
        <v>83</v>
      </c>
      <c r="AH397" s="179" t="s">
        <v>83</v>
      </c>
      <c r="AI397" s="179" t="s">
        <v>83</v>
      </c>
      <c r="AJ397" s="179">
        <v>0</v>
      </c>
      <c r="AK397" s="179">
        <v>0</v>
      </c>
      <c r="AL397" s="179">
        <f>0.1*$AL$2</f>
        <v>7.5000000000000002E-4</v>
      </c>
      <c r="AM397" s="179">
        <f>AM392</f>
        <v>2.7E-2</v>
      </c>
      <c r="AN397" s="179">
        <f>ROUNDUP(AN392/3,0)</f>
        <v>1</v>
      </c>
      <c r="AQ397" s="182">
        <f>AM397*I397*0.1+AL397</f>
        <v>0.46083000000000002</v>
      </c>
      <c r="AR397" s="182">
        <f t="shared" si="418"/>
        <v>4.6083000000000006E-2</v>
      </c>
      <c r="AS397" s="183">
        <f t="shared" si="419"/>
        <v>0</v>
      </c>
      <c r="AT397" s="183">
        <f t="shared" si="420"/>
        <v>0.12672825000000001</v>
      </c>
      <c r="AU397" s="182">
        <f>1333*J396*POWER(10,-6)</f>
        <v>5.9385149999999992E-5</v>
      </c>
      <c r="AV397" s="183">
        <f t="shared" si="421"/>
        <v>0.63370063515000008</v>
      </c>
      <c r="AW397" s="184">
        <f t="shared" si="422"/>
        <v>0</v>
      </c>
      <c r="AX397" s="184">
        <f t="shared" si="423"/>
        <v>0</v>
      </c>
      <c r="AY397" s="184">
        <f t="shared" si="424"/>
        <v>5.4181404305325007E-5</v>
      </c>
    </row>
    <row r="398" spans="1:51" s="179" customFormat="1" x14ac:dyDescent="0.3">
      <c r="A398" s="180"/>
      <c r="B398" s="180"/>
      <c r="D398" s="271"/>
      <c r="E398" s="272"/>
      <c r="F398" s="273"/>
      <c r="G398" s="180"/>
      <c r="H398" s="184"/>
      <c r="I398" s="183"/>
      <c r="J398" s="180"/>
      <c r="K398" s="180"/>
      <c r="L398" s="180"/>
      <c r="AQ398" s="182"/>
      <c r="AR398" s="182"/>
      <c r="AS398" s="183"/>
      <c r="AT398" s="183"/>
      <c r="AU398" s="182"/>
      <c r="AV398" s="183"/>
      <c r="AW398" s="184"/>
      <c r="AX398" s="184"/>
      <c r="AY398" s="184"/>
    </row>
    <row r="399" spans="1:51" s="179" customFormat="1" x14ac:dyDescent="0.3">
      <c r="A399" s="180"/>
      <c r="B399" s="180"/>
      <c r="D399" s="271"/>
      <c r="E399" s="272"/>
      <c r="F399" s="273"/>
      <c r="G399" s="180"/>
      <c r="H399" s="184"/>
      <c r="I399" s="183"/>
      <c r="J399" s="180"/>
      <c r="K399" s="180"/>
      <c r="L399" s="180"/>
      <c r="AQ399" s="182"/>
      <c r="AR399" s="182"/>
      <c r="AS399" s="183"/>
      <c r="AT399" s="183"/>
      <c r="AU399" s="182"/>
      <c r="AV399" s="183"/>
      <c r="AW399" s="184"/>
      <c r="AX399" s="184"/>
      <c r="AY399" s="184"/>
    </row>
    <row r="400" spans="1:51" s="179" customFormat="1" x14ac:dyDescent="0.3">
      <c r="A400" s="180"/>
      <c r="B400" s="180"/>
      <c r="D400" s="271"/>
      <c r="E400" s="272"/>
      <c r="F400" s="273"/>
      <c r="G400" s="180"/>
      <c r="H400" s="184"/>
      <c r="I400" s="183"/>
      <c r="J400" s="180"/>
      <c r="K400" s="180"/>
      <c r="L400" s="180"/>
      <c r="AQ400" s="182"/>
      <c r="AR400" s="182"/>
      <c r="AS400" s="183"/>
      <c r="AT400" s="183"/>
      <c r="AU400" s="182"/>
      <c r="AV400" s="183"/>
      <c r="AW400" s="184"/>
      <c r="AX400" s="184"/>
      <c r="AY400" s="184"/>
    </row>
    <row r="401" spans="1:51" ht="15" thickBot="1" x14ac:dyDescent="0.35"/>
    <row r="402" spans="1:51" s="179" customFormat="1" ht="15" thickBot="1" x14ac:dyDescent="0.35">
      <c r="A402" s="169" t="s">
        <v>18</v>
      </c>
      <c r="B402" s="170" t="s">
        <v>631</v>
      </c>
      <c r="C402" s="171" t="s">
        <v>227</v>
      </c>
      <c r="D402" s="172" t="s">
        <v>183</v>
      </c>
      <c r="E402" s="173">
        <v>1.0000000000000001E-5</v>
      </c>
      <c r="F402" s="170">
        <v>1</v>
      </c>
      <c r="G402" s="169">
        <v>1.4999999999999999E-2</v>
      </c>
      <c r="H402" s="174">
        <f t="shared" ref="H402:H407" si="425">E402*F402*G402</f>
        <v>1.5000000000000002E-7</v>
      </c>
      <c r="I402" s="175">
        <f>(1000/3600)*12</f>
        <v>3.3333333333333335</v>
      </c>
      <c r="J402" s="187">
        <f>I402</f>
        <v>3.3333333333333335</v>
      </c>
      <c r="K402" s="177" t="s">
        <v>175</v>
      </c>
      <c r="L402" s="178">
        <f>J402*150</f>
        <v>500</v>
      </c>
      <c r="M402" s="179" t="str">
        <f t="shared" ref="M402:M407" si="426">A402</f>
        <v>С1</v>
      </c>
      <c r="N402" s="179" t="str">
        <f t="shared" ref="N402:N407" si="427">B402</f>
        <v>Насос центробежный (8711P0001A)</v>
      </c>
      <c r="O402" s="179" t="str">
        <f t="shared" ref="O402:O407" si="428">D402</f>
        <v>Полное-факел</v>
      </c>
      <c r="P402" s="179" t="s">
        <v>83</v>
      </c>
      <c r="Q402" s="179" t="s">
        <v>83</v>
      </c>
      <c r="R402" s="179" t="s">
        <v>83</v>
      </c>
      <c r="S402" s="179" t="s">
        <v>83</v>
      </c>
      <c r="T402" s="179" t="s">
        <v>83</v>
      </c>
      <c r="U402" s="179" t="s">
        <v>83</v>
      </c>
      <c r="V402" s="179" t="s">
        <v>83</v>
      </c>
      <c r="W402" s="179" t="s">
        <v>83</v>
      </c>
      <c r="X402" s="179" t="s">
        <v>83</v>
      </c>
      <c r="Y402" s="179" t="s">
        <v>83</v>
      </c>
      <c r="Z402" s="179" t="s">
        <v>83</v>
      </c>
      <c r="AA402" s="179" t="s">
        <v>83</v>
      </c>
      <c r="AB402" s="179" t="s">
        <v>83</v>
      </c>
      <c r="AC402" s="179" t="s">
        <v>83</v>
      </c>
      <c r="AD402" s="179" t="s">
        <v>83</v>
      </c>
      <c r="AE402" s="179" t="s">
        <v>83</v>
      </c>
      <c r="AF402" s="179" t="s">
        <v>83</v>
      </c>
      <c r="AG402" s="179" t="s">
        <v>83</v>
      </c>
      <c r="AH402" s="179" t="s">
        <v>83</v>
      </c>
      <c r="AI402" s="179" t="s">
        <v>83</v>
      </c>
      <c r="AJ402" s="180">
        <v>1</v>
      </c>
      <c r="AK402" s="180">
        <v>1</v>
      </c>
      <c r="AL402" s="181">
        <v>0.75</v>
      </c>
      <c r="AM402" s="181">
        <v>2.7E-2</v>
      </c>
      <c r="AN402" s="181">
        <v>3</v>
      </c>
      <c r="AQ402" s="182">
        <f>AM402*I402+AL402</f>
        <v>0.84</v>
      </c>
      <c r="AR402" s="182">
        <f t="shared" ref="AR402:AR407" si="429">0.1*AQ402</f>
        <v>8.4000000000000005E-2</v>
      </c>
      <c r="AS402" s="183">
        <f t="shared" ref="AS402:AS407" si="430">AJ402*3+0.25*AK402</f>
        <v>3.25</v>
      </c>
      <c r="AT402" s="183">
        <f t="shared" ref="AT402:AT407" si="431">SUM(AQ402:AS402)/4</f>
        <v>1.0434999999999999</v>
      </c>
      <c r="AU402" s="182">
        <f>10068.2*J402*POWER(10,-6)</f>
        <v>3.3560666666666669E-2</v>
      </c>
      <c r="AV402" s="183">
        <f t="shared" ref="AV402:AV407" si="432">AU402+AT402+AS402+AR402+AQ402</f>
        <v>5.2510606666666657</v>
      </c>
      <c r="AW402" s="184">
        <f t="shared" ref="AW402:AW407" si="433">AJ402*H402</f>
        <v>1.5000000000000002E-7</v>
      </c>
      <c r="AX402" s="184">
        <f t="shared" ref="AX402:AX407" si="434">H402*AK402</f>
        <v>1.5000000000000002E-7</v>
      </c>
      <c r="AY402" s="184">
        <f t="shared" ref="AY402:AY407" si="435">H402*AV402</f>
        <v>7.8765909999999996E-7</v>
      </c>
    </row>
    <row r="403" spans="1:51" s="179" customFormat="1" ht="15" thickBot="1" x14ac:dyDescent="0.35">
      <c r="A403" s="169" t="s">
        <v>19</v>
      </c>
      <c r="B403" s="169" t="str">
        <f>B402</f>
        <v>Насос центробежный (8711P0001A)</v>
      </c>
      <c r="C403" s="171" t="s">
        <v>228</v>
      </c>
      <c r="D403" s="172" t="s">
        <v>226</v>
      </c>
      <c r="E403" s="185">
        <f>E402</f>
        <v>1.0000000000000001E-5</v>
      </c>
      <c r="F403" s="186">
        <f>F402</f>
        <v>1</v>
      </c>
      <c r="G403" s="169">
        <v>1.4249999999999999E-2</v>
      </c>
      <c r="H403" s="174">
        <f t="shared" si="425"/>
        <v>1.4250000000000001E-7</v>
      </c>
      <c r="I403" s="187">
        <f>I402</f>
        <v>3.3333333333333335</v>
      </c>
      <c r="J403" s="175">
        <f>POWER(10,-6)*35*SQRT(100)*3600*L402/1000*0.1</f>
        <v>6.2999999999999987E-2</v>
      </c>
      <c r="K403" s="177" t="s">
        <v>176</v>
      </c>
      <c r="L403" s="178">
        <v>0</v>
      </c>
      <c r="M403" s="179" t="str">
        <f t="shared" si="426"/>
        <v>С2</v>
      </c>
      <c r="N403" s="179" t="str">
        <f t="shared" si="427"/>
        <v>Насос центробежный (8711P0001A)</v>
      </c>
      <c r="O403" s="179" t="str">
        <f t="shared" si="428"/>
        <v>Полное-взрыв облака ТВС</v>
      </c>
      <c r="P403" s="179" t="s">
        <v>83</v>
      </c>
      <c r="Q403" s="179" t="s">
        <v>83</v>
      </c>
      <c r="R403" s="179" t="s">
        <v>83</v>
      </c>
      <c r="S403" s="179" t="s">
        <v>83</v>
      </c>
      <c r="T403" s="179" t="s">
        <v>83</v>
      </c>
      <c r="U403" s="179" t="s">
        <v>83</v>
      </c>
      <c r="V403" s="179" t="s">
        <v>83</v>
      </c>
      <c r="W403" s="179" t="s">
        <v>83</v>
      </c>
      <c r="X403" s="179" t="s">
        <v>83</v>
      </c>
      <c r="Y403" s="179" t="s">
        <v>83</v>
      </c>
      <c r="Z403" s="179" t="s">
        <v>83</v>
      </c>
      <c r="AA403" s="179" t="s">
        <v>83</v>
      </c>
      <c r="AB403" s="179" t="s">
        <v>83</v>
      </c>
      <c r="AC403" s="179" t="s">
        <v>83</v>
      </c>
      <c r="AD403" s="179" t="s">
        <v>83</v>
      </c>
      <c r="AE403" s="179" t="s">
        <v>83</v>
      </c>
      <c r="AF403" s="179" t="s">
        <v>83</v>
      </c>
      <c r="AG403" s="179" t="s">
        <v>83</v>
      </c>
      <c r="AH403" s="179" t="s">
        <v>83</v>
      </c>
      <c r="AI403" s="179" t="s">
        <v>83</v>
      </c>
      <c r="AJ403" s="180">
        <v>1</v>
      </c>
      <c r="AK403" s="180">
        <v>1</v>
      </c>
      <c r="AL403" s="179">
        <f>AL402</f>
        <v>0.75</v>
      </c>
      <c r="AM403" s="179">
        <f>AM402</f>
        <v>2.7E-2</v>
      </c>
      <c r="AN403" s="179">
        <f>AN402</f>
        <v>3</v>
      </c>
      <c r="AQ403" s="182">
        <f>AM403*I403+AL403</f>
        <v>0.84</v>
      </c>
      <c r="AR403" s="182">
        <f t="shared" si="429"/>
        <v>8.4000000000000005E-2</v>
      </c>
      <c r="AS403" s="183">
        <f t="shared" si="430"/>
        <v>3.25</v>
      </c>
      <c r="AT403" s="183">
        <f t="shared" si="431"/>
        <v>1.0434999999999999</v>
      </c>
      <c r="AU403" s="182">
        <f>10068.2*J403*POWER(10,-6)*10</f>
        <v>6.3429659999999985E-3</v>
      </c>
      <c r="AV403" s="183">
        <f t="shared" si="432"/>
        <v>5.2238429659999994</v>
      </c>
      <c r="AW403" s="184">
        <f t="shared" si="433"/>
        <v>1.4250000000000001E-7</v>
      </c>
      <c r="AX403" s="184">
        <f t="shared" si="434"/>
        <v>1.4250000000000001E-7</v>
      </c>
      <c r="AY403" s="184">
        <f t="shared" si="435"/>
        <v>7.4439762265499996E-7</v>
      </c>
    </row>
    <row r="404" spans="1:51" s="179" customFormat="1" x14ac:dyDescent="0.3">
      <c r="A404" s="169" t="s">
        <v>20</v>
      </c>
      <c r="B404" s="169" t="str">
        <f>B402</f>
        <v>Насос центробежный (8711P0001A)</v>
      </c>
      <c r="C404" s="171" t="s">
        <v>229</v>
      </c>
      <c r="D404" s="172" t="s">
        <v>60</v>
      </c>
      <c r="E404" s="185">
        <f>E402</f>
        <v>1.0000000000000001E-5</v>
      </c>
      <c r="F404" s="186">
        <f>F402</f>
        <v>1</v>
      </c>
      <c r="G404" s="169">
        <v>0.27074999999999999</v>
      </c>
      <c r="H404" s="174">
        <f t="shared" si="425"/>
        <v>2.7075000000000003E-6</v>
      </c>
      <c r="I404" s="187">
        <f>I402</f>
        <v>3.3333333333333335</v>
      </c>
      <c r="J404" s="169">
        <v>0</v>
      </c>
      <c r="K404" s="177" t="s">
        <v>177</v>
      </c>
      <c r="L404" s="178">
        <v>1</v>
      </c>
      <c r="M404" s="179" t="str">
        <f t="shared" si="426"/>
        <v>С3</v>
      </c>
      <c r="N404" s="179" t="str">
        <f t="shared" si="427"/>
        <v>Насос центробежный (8711P0001A)</v>
      </c>
      <c r="O404" s="179" t="str">
        <f t="shared" si="428"/>
        <v>Полное-ликвидация</v>
      </c>
      <c r="P404" s="179" t="s">
        <v>83</v>
      </c>
      <c r="Q404" s="179" t="s">
        <v>83</v>
      </c>
      <c r="R404" s="179" t="s">
        <v>83</v>
      </c>
      <c r="S404" s="179" t="s">
        <v>83</v>
      </c>
      <c r="T404" s="179" t="s">
        <v>83</v>
      </c>
      <c r="U404" s="179" t="s">
        <v>83</v>
      </c>
      <c r="V404" s="179" t="s">
        <v>83</v>
      </c>
      <c r="W404" s="179" t="s">
        <v>83</v>
      </c>
      <c r="X404" s="179" t="s">
        <v>83</v>
      </c>
      <c r="Y404" s="179" t="s">
        <v>83</v>
      </c>
      <c r="Z404" s="179" t="s">
        <v>83</v>
      </c>
      <c r="AA404" s="179" t="s">
        <v>83</v>
      </c>
      <c r="AB404" s="179" t="s">
        <v>83</v>
      </c>
      <c r="AC404" s="179" t="s">
        <v>83</v>
      </c>
      <c r="AD404" s="179" t="s">
        <v>83</v>
      </c>
      <c r="AE404" s="179" t="s">
        <v>83</v>
      </c>
      <c r="AF404" s="179" t="s">
        <v>83</v>
      </c>
      <c r="AG404" s="179" t="s">
        <v>83</v>
      </c>
      <c r="AH404" s="179" t="s">
        <v>83</v>
      </c>
      <c r="AI404" s="179" t="s">
        <v>83</v>
      </c>
      <c r="AJ404" s="179">
        <v>0</v>
      </c>
      <c r="AK404" s="179">
        <v>0</v>
      </c>
      <c r="AL404" s="179">
        <f>AL402</f>
        <v>0.75</v>
      </c>
      <c r="AM404" s="179">
        <f>AM402</f>
        <v>2.7E-2</v>
      </c>
      <c r="AN404" s="179">
        <f>AN402</f>
        <v>3</v>
      </c>
      <c r="AQ404" s="182">
        <f>AM404*I404*0.1+AL404</f>
        <v>0.75900000000000001</v>
      </c>
      <c r="AR404" s="182">
        <f t="shared" si="429"/>
        <v>7.5900000000000009E-2</v>
      </c>
      <c r="AS404" s="183">
        <f t="shared" si="430"/>
        <v>0</v>
      </c>
      <c r="AT404" s="183">
        <f t="shared" si="431"/>
        <v>0.20872499999999999</v>
      </c>
      <c r="AU404" s="182">
        <f>1333*J403*POWER(10,-6)</f>
        <v>8.3978999999999976E-5</v>
      </c>
      <c r="AV404" s="183">
        <f t="shared" si="432"/>
        <v>1.043708979</v>
      </c>
      <c r="AW404" s="184">
        <f t="shared" si="433"/>
        <v>0</v>
      </c>
      <c r="AX404" s="184">
        <f t="shared" si="434"/>
        <v>0</v>
      </c>
      <c r="AY404" s="184">
        <f t="shared" si="435"/>
        <v>2.8258420606425005E-6</v>
      </c>
    </row>
    <row r="405" spans="1:51" s="179" customFormat="1" x14ac:dyDescent="0.3">
      <c r="A405" s="169" t="s">
        <v>21</v>
      </c>
      <c r="B405" s="169" t="str">
        <f>B402</f>
        <v>Насос центробежный (8711P0001A)</v>
      </c>
      <c r="C405" s="171" t="s">
        <v>230</v>
      </c>
      <c r="D405" s="172" t="s">
        <v>84</v>
      </c>
      <c r="E405" s="185">
        <f>E403</f>
        <v>1.0000000000000001E-5</v>
      </c>
      <c r="F405" s="186">
        <f>F402</f>
        <v>1</v>
      </c>
      <c r="G405" s="169">
        <v>3.4999999999999996E-2</v>
      </c>
      <c r="H405" s="174">
        <f t="shared" si="425"/>
        <v>3.4999999999999998E-7</v>
      </c>
      <c r="I405" s="187">
        <f>0.15*I402</f>
        <v>0.5</v>
      </c>
      <c r="J405" s="187">
        <f>I405</f>
        <v>0.5</v>
      </c>
      <c r="K405" s="190" t="s">
        <v>179</v>
      </c>
      <c r="L405" s="191">
        <v>45390</v>
      </c>
      <c r="M405" s="179" t="str">
        <f t="shared" si="426"/>
        <v>С4</v>
      </c>
      <c r="N405" s="179" t="str">
        <f t="shared" si="427"/>
        <v>Насос центробежный (8711P0001A)</v>
      </c>
      <c r="O405" s="179" t="str">
        <f t="shared" si="428"/>
        <v>Частичное-пожар</v>
      </c>
      <c r="P405" s="179" t="s">
        <v>83</v>
      </c>
      <c r="Q405" s="179" t="s">
        <v>83</v>
      </c>
      <c r="R405" s="179" t="s">
        <v>83</v>
      </c>
      <c r="S405" s="179" t="s">
        <v>83</v>
      </c>
      <c r="T405" s="179" t="s">
        <v>83</v>
      </c>
      <c r="U405" s="179" t="s">
        <v>83</v>
      </c>
      <c r="V405" s="179" t="s">
        <v>83</v>
      </c>
      <c r="W405" s="179" t="s">
        <v>83</v>
      </c>
      <c r="X405" s="179" t="s">
        <v>83</v>
      </c>
      <c r="Y405" s="179" t="s">
        <v>83</v>
      </c>
      <c r="Z405" s="179" t="s">
        <v>83</v>
      </c>
      <c r="AA405" s="179" t="s">
        <v>83</v>
      </c>
      <c r="AB405" s="179" t="s">
        <v>83</v>
      </c>
      <c r="AC405" s="179" t="s">
        <v>83</v>
      </c>
      <c r="AD405" s="179" t="s">
        <v>83</v>
      </c>
      <c r="AE405" s="179" t="s">
        <v>83</v>
      </c>
      <c r="AF405" s="179" t="s">
        <v>83</v>
      </c>
      <c r="AG405" s="179" t="s">
        <v>83</v>
      </c>
      <c r="AH405" s="179" t="s">
        <v>83</v>
      </c>
      <c r="AI405" s="179" t="s">
        <v>83</v>
      </c>
      <c r="AJ405" s="179">
        <v>0</v>
      </c>
      <c r="AK405" s="179">
        <v>1</v>
      </c>
      <c r="AL405" s="179">
        <f>0.1*$AL$2</f>
        <v>7.5000000000000002E-4</v>
      </c>
      <c r="AM405" s="179">
        <f>AM402</f>
        <v>2.7E-2</v>
      </c>
      <c r="AN405" s="179">
        <f>ROUNDUP(AN402/3,0)</f>
        <v>1</v>
      </c>
      <c r="AQ405" s="182">
        <f>AM405*I405+AL405</f>
        <v>1.4250000000000001E-2</v>
      </c>
      <c r="AR405" s="182">
        <f t="shared" si="429"/>
        <v>1.4250000000000001E-3</v>
      </c>
      <c r="AS405" s="183">
        <f t="shared" si="430"/>
        <v>0.25</v>
      </c>
      <c r="AT405" s="183">
        <f t="shared" si="431"/>
        <v>6.6418749999999999E-2</v>
      </c>
      <c r="AU405" s="182">
        <f>10068.2*J405*POWER(10,-6)</f>
        <v>5.0341000000000006E-3</v>
      </c>
      <c r="AV405" s="183">
        <f t="shared" si="432"/>
        <v>0.33712785000000001</v>
      </c>
      <c r="AW405" s="184">
        <f t="shared" si="433"/>
        <v>0</v>
      </c>
      <c r="AX405" s="184">
        <f t="shared" si="434"/>
        <v>3.4999999999999998E-7</v>
      </c>
      <c r="AY405" s="184">
        <f t="shared" si="435"/>
        <v>1.179947475E-7</v>
      </c>
    </row>
    <row r="406" spans="1:51" s="179" customFormat="1" x14ac:dyDescent="0.3">
      <c r="A406" s="169" t="s">
        <v>22</v>
      </c>
      <c r="B406" s="169" t="str">
        <f>B402</f>
        <v>Насос центробежный (8711P0001A)</v>
      </c>
      <c r="C406" s="171" t="s">
        <v>519</v>
      </c>
      <c r="D406" s="172" t="s">
        <v>518</v>
      </c>
      <c r="E406" s="185">
        <f>E404</f>
        <v>1.0000000000000001E-5</v>
      </c>
      <c r="F406" s="186">
        <f>F402</f>
        <v>1</v>
      </c>
      <c r="G406" s="169">
        <v>3.3249999999999995E-2</v>
      </c>
      <c r="H406" s="174">
        <f t="shared" si="425"/>
        <v>3.3249999999999999E-7</v>
      </c>
      <c r="I406" s="187">
        <f>0.15*I402</f>
        <v>0.5</v>
      </c>
      <c r="J406" s="187">
        <v>0.01</v>
      </c>
      <c r="K406" s="190" t="s">
        <v>180</v>
      </c>
      <c r="L406" s="191">
        <v>3</v>
      </c>
      <c r="M406" s="179" t="str">
        <f t="shared" si="426"/>
        <v>С5</v>
      </c>
      <c r="N406" s="179" t="str">
        <f t="shared" si="427"/>
        <v>Насос центробежный (8711P0001A)</v>
      </c>
      <c r="O406" s="179" t="str">
        <f t="shared" si="428"/>
        <v>Частичное-вспышка</v>
      </c>
      <c r="P406" s="179" t="s">
        <v>83</v>
      </c>
      <c r="Q406" s="179" t="s">
        <v>83</v>
      </c>
      <c r="R406" s="179" t="s">
        <v>83</v>
      </c>
      <c r="S406" s="179" t="s">
        <v>83</v>
      </c>
      <c r="T406" s="179" t="s">
        <v>83</v>
      </c>
      <c r="U406" s="179" t="s">
        <v>83</v>
      </c>
      <c r="V406" s="179" t="s">
        <v>83</v>
      </c>
      <c r="W406" s="179" t="s">
        <v>83</v>
      </c>
      <c r="X406" s="179" t="s">
        <v>83</v>
      </c>
      <c r="Y406" s="179" t="s">
        <v>83</v>
      </c>
      <c r="Z406" s="179" t="s">
        <v>83</v>
      </c>
      <c r="AA406" s="179" t="s">
        <v>83</v>
      </c>
      <c r="AB406" s="179" t="s">
        <v>83</v>
      </c>
      <c r="AC406" s="179" t="s">
        <v>83</v>
      </c>
      <c r="AD406" s="179" t="s">
        <v>83</v>
      </c>
      <c r="AE406" s="179" t="s">
        <v>83</v>
      </c>
      <c r="AF406" s="179" t="s">
        <v>83</v>
      </c>
      <c r="AG406" s="179" t="s">
        <v>83</v>
      </c>
      <c r="AH406" s="179" t="s">
        <v>83</v>
      </c>
      <c r="AI406" s="179" t="s">
        <v>83</v>
      </c>
      <c r="AJ406" s="179">
        <v>0</v>
      </c>
      <c r="AK406" s="179">
        <v>1</v>
      </c>
      <c r="AL406" s="179">
        <f>0.1*$AL$2</f>
        <v>7.5000000000000002E-4</v>
      </c>
      <c r="AM406" s="179">
        <f>AM402</f>
        <v>2.7E-2</v>
      </c>
      <c r="AN406" s="179">
        <f>ROUNDUP(AN402/3,0)</f>
        <v>1</v>
      </c>
      <c r="AQ406" s="182">
        <f>AM406*I406+AL406</f>
        <v>1.4250000000000001E-2</v>
      </c>
      <c r="AR406" s="182">
        <f t="shared" si="429"/>
        <v>1.4250000000000001E-3</v>
      </c>
      <c r="AS406" s="183">
        <f t="shared" si="430"/>
        <v>0.25</v>
      </c>
      <c r="AT406" s="183">
        <f t="shared" si="431"/>
        <v>6.6418749999999999E-2</v>
      </c>
      <c r="AU406" s="182">
        <f>10068.2*J406*POWER(10,-6)*10</f>
        <v>1.0068200000000001E-3</v>
      </c>
      <c r="AV406" s="183">
        <f t="shared" si="432"/>
        <v>0.33310056999999998</v>
      </c>
      <c r="AW406" s="184">
        <f t="shared" si="433"/>
        <v>0</v>
      </c>
      <c r="AX406" s="184">
        <f t="shared" si="434"/>
        <v>3.3249999999999999E-7</v>
      </c>
      <c r="AY406" s="184">
        <f t="shared" si="435"/>
        <v>1.1075593952499999E-7</v>
      </c>
    </row>
    <row r="407" spans="1:51" s="179" customFormat="1" ht="15" thickBot="1" x14ac:dyDescent="0.35">
      <c r="A407" s="169" t="s">
        <v>23</v>
      </c>
      <c r="B407" s="169" t="str">
        <f>B402</f>
        <v>Насос центробежный (8711P0001A)</v>
      </c>
      <c r="C407" s="171" t="s">
        <v>231</v>
      </c>
      <c r="D407" s="172" t="s">
        <v>61</v>
      </c>
      <c r="E407" s="185">
        <f>E405</f>
        <v>1.0000000000000001E-5</v>
      </c>
      <c r="F407" s="186">
        <f>F402</f>
        <v>1</v>
      </c>
      <c r="G407" s="169">
        <v>0.63174999999999992</v>
      </c>
      <c r="H407" s="174">
        <f t="shared" si="425"/>
        <v>6.3175000000000001E-6</v>
      </c>
      <c r="I407" s="187">
        <f>0.15*I402</f>
        <v>0.5</v>
      </c>
      <c r="J407" s="169">
        <v>0</v>
      </c>
      <c r="K407" s="192" t="s">
        <v>191</v>
      </c>
      <c r="L407" s="192">
        <v>16</v>
      </c>
      <c r="M407" s="179" t="str">
        <f t="shared" si="426"/>
        <v>С6</v>
      </c>
      <c r="N407" s="179" t="str">
        <f t="shared" si="427"/>
        <v>Насос центробежный (8711P0001A)</v>
      </c>
      <c r="O407" s="179" t="str">
        <f t="shared" si="428"/>
        <v>Частичное-ликвидация</v>
      </c>
      <c r="P407" s="179" t="s">
        <v>83</v>
      </c>
      <c r="Q407" s="179" t="s">
        <v>83</v>
      </c>
      <c r="R407" s="179" t="s">
        <v>83</v>
      </c>
      <c r="S407" s="179" t="s">
        <v>83</v>
      </c>
      <c r="T407" s="179" t="s">
        <v>83</v>
      </c>
      <c r="U407" s="179" t="s">
        <v>83</v>
      </c>
      <c r="V407" s="179" t="s">
        <v>83</v>
      </c>
      <c r="W407" s="179" t="s">
        <v>83</v>
      </c>
      <c r="X407" s="179" t="s">
        <v>83</v>
      </c>
      <c r="Y407" s="179" t="s">
        <v>83</v>
      </c>
      <c r="Z407" s="179" t="s">
        <v>83</v>
      </c>
      <c r="AA407" s="179" t="s">
        <v>83</v>
      </c>
      <c r="AB407" s="179" t="s">
        <v>83</v>
      </c>
      <c r="AC407" s="179" t="s">
        <v>83</v>
      </c>
      <c r="AD407" s="179" t="s">
        <v>83</v>
      </c>
      <c r="AE407" s="179" t="s">
        <v>83</v>
      </c>
      <c r="AF407" s="179" t="s">
        <v>83</v>
      </c>
      <c r="AG407" s="179" t="s">
        <v>83</v>
      </c>
      <c r="AH407" s="179" t="s">
        <v>83</v>
      </c>
      <c r="AI407" s="179" t="s">
        <v>83</v>
      </c>
      <c r="AJ407" s="179">
        <v>0</v>
      </c>
      <c r="AK407" s="179">
        <v>0</v>
      </c>
      <c r="AL407" s="179">
        <f>0.1*$AL$2</f>
        <v>7.5000000000000002E-4</v>
      </c>
      <c r="AM407" s="179">
        <f>AM402</f>
        <v>2.7E-2</v>
      </c>
      <c r="AN407" s="179">
        <f>ROUNDUP(AN402/3,0)</f>
        <v>1</v>
      </c>
      <c r="AQ407" s="182">
        <f>AM407*I407*0.1+AL407</f>
        <v>2.1000000000000003E-3</v>
      </c>
      <c r="AR407" s="182">
        <f t="shared" si="429"/>
        <v>2.1000000000000004E-4</v>
      </c>
      <c r="AS407" s="183">
        <f t="shared" si="430"/>
        <v>0</v>
      </c>
      <c r="AT407" s="183">
        <f t="shared" si="431"/>
        <v>5.7750000000000011E-4</v>
      </c>
      <c r="AU407" s="182">
        <f>1333*J406*POWER(10,-6)</f>
        <v>1.3329999999999999E-5</v>
      </c>
      <c r="AV407" s="183">
        <f t="shared" si="432"/>
        <v>2.9008300000000005E-3</v>
      </c>
      <c r="AW407" s="184">
        <f t="shared" si="433"/>
        <v>0</v>
      </c>
      <c r="AX407" s="184">
        <f t="shared" si="434"/>
        <v>0</v>
      </c>
      <c r="AY407" s="184">
        <f t="shared" si="435"/>
        <v>1.8325993525000003E-8</v>
      </c>
    </row>
    <row r="408" spans="1:51" s="179" customFormat="1" x14ac:dyDescent="0.3">
      <c r="A408" s="180"/>
      <c r="B408" s="180"/>
      <c r="D408" s="271"/>
      <c r="E408" s="272"/>
      <c r="F408" s="273"/>
      <c r="G408" s="180"/>
      <c r="H408" s="184"/>
      <c r="I408" s="183"/>
      <c r="J408" s="180"/>
      <c r="K408" s="180"/>
      <c r="L408" s="180"/>
      <c r="AQ408" s="182"/>
      <c r="AR408" s="182"/>
      <c r="AS408" s="183"/>
      <c r="AT408" s="183"/>
      <c r="AU408" s="182"/>
      <c r="AV408" s="183"/>
      <c r="AW408" s="184"/>
      <c r="AX408" s="184"/>
      <c r="AY408" s="184"/>
    </row>
    <row r="409" spans="1:51" s="179" customFormat="1" x14ac:dyDescent="0.3">
      <c r="A409" s="180"/>
      <c r="B409" s="180"/>
      <c r="D409" s="271"/>
      <c r="E409" s="272"/>
      <c r="F409" s="273"/>
      <c r="G409" s="180"/>
      <c r="H409" s="184"/>
      <c r="I409" s="183"/>
      <c r="J409" s="180"/>
      <c r="K409" s="180"/>
      <c r="L409" s="180"/>
      <c r="AQ409" s="182"/>
      <c r="AR409" s="182"/>
      <c r="AS409" s="183"/>
      <c r="AT409" s="183"/>
      <c r="AU409" s="182"/>
      <c r="AV409" s="183"/>
      <c r="AW409" s="184"/>
      <c r="AX409" s="184"/>
      <c r="AY409" s="184"/>
    </row>
    <row r="410" spans="1:51" s="179" customFormat="1" x14ac:dyDescent="0.3">
      <c r="A410" s="180"/>
      <c r="B410" s="180"/>
      <c r="D410" s="271"/>
      <c r="E410" s="272"/>
      <c r="F410" s="273"/>
      <c r="G410" s="180"/>
      <c r="H410" s="184"/>
      <c r="I410" s="183"/>
      <c r="J410" s="180"/>
      <c r="K410" s="180"/>
      <c r="L410" s="180"/>
      <c r="AQ410" s="182"/>
      <c r="AR410" s="182"/>
      <c r="AS410" s="183"/>
      <c r="AT410" s="183"/>
      <c r="AU410" s="182"/>
      <c r="AV410" s="183"/>
      <c r="AW410" s="184"/>
      <c r="AX410" s="184"/>
      <c r="AY410" s="184"/>
    </row>
    <row r="411" spans="1:51" ht="15" thickBot="1" x14ac:dyDescent="0.35"/>
    <row r="412" spans="1:51" s="179" customFormat="1" ht="15" thickBot="1" x14ac:dyDescent="0.35">
      <c r="A412" s="169" t="s">
        <v>18</v>
      </c>
      <c r="B412" s="170" t="s">
        <v>632</v>
      </c>
      <c r="C412" s="171" t="s">
        <v>196</v>
      </c>
      <c r="D412" s="172" t="s">
        <v>59</v>
      </c>
      <c r="E412" s="173">
        <v>1.0000000000000001E-5</v>
      </c>
      <c r="F412" s="170">
        <v>1</v>
      </c>
      <c r="G412" s="169">
        <v>0.1</v>
      </c>
      <c r="H412" s="174">
        <f t="shared" ref="H412:H417" si="436">E412*F412*G412</f>
        <v>1.0000000000000002E-6</v>
      </c>
      <c r="I412" s="175">
        <v>1136</v>
      </c>
      <c r="J412" s="176">
        <f>I412</f>
        <v>1136</v>
      </c>
      <c r="K412" s="177" t="s">
        <v>175</v>
      </c>
      <c r="L412" s="178">
        <v>2700</v>
      </c>
      <c r="M412" s="179" t="str">
        <f t="shared" ref="M412:M417" si="437">A412</f>
        <v>С1</v>
      </c>
      <c r="N412" s="179" t="str">
        <f t="shared" ref="N412:N417" si="438">B412</f>
        <v>Резервуар РВС (8703T0001)</v>
      </c>
      <c r="O412" s="179" t="str">
        <f t="shared" ref="O412:O417" si="439">D412</f>
        <v>Полное-пожар</v>
      </c>
      <c r="P412" s="179">
        <v>47.1</v>
      </c>
      <c r="Q412" s="179">
        <v>64.099999999999994</v>
      </c>
      <c r="R412" s="179">
        <v>90.1</v>
      </c>
      <c r="S412" s="179">
        <v>161.69999999999999</v>
      </c>
      <c r="T412" s="179" t="s">
        <v>83</v>
      </c>
      <c r="U412" s="179" t="s">
        <v>83</v>
      </c>
      <c r="V412" s="179" t="s">
        <v>83</v>
      </c>
      <c r="W412" s="179" t="s">
        <v>83</v>
      </c>
      <c r="X412" s="179" t="s">
        <v>83</v>
      </c>
      <c r="Y412" s="179" t="s">
        <v>83</v>
      </c>
      <c r="Z412" s="179" t="s">
        <v>83</v>
      </c>
      <c r="AA412" s="179" t="s">
        <v>83</v>
      </c>
      <c r="AB412" s="179" t="s">
        <v>83</v>
      </c>
      <c r="AC412" s="179" t="s">
        <v>83</v>
      </c>
      <c r="AD412" s="179" t="s">
        <v>83</v>
      </c>
      <c r="AE412" s="179" t="s">
        <v>83</v>
      </c>
      <c r="AF412" s="179" t="s">
        <v>83</v>
      </c>
      <c r="AG412" s="179" t="s">
        <v>83</v>
      </c>
      <c r="AH412" s="179" t="s">
        <v>83</v>
      </c>
      <c r="AI412" s="179" t="s">
        <v>83</v>
      </c>
      <c r="AJ412" s="180">
        <v>1</v>
      </c>
      <c r="AK412" s="180">
        <v>2</v>
      </c>
      <c r="AL412" s="181">
        <v>0.75</v>
      </c>
      <c r="AM412" s="181">
        <v>2.7E-2</v>
      </c>
      <c r="AN412" s="181">
        <v>3</v>
      </c>
      <c r="AQ412" s="182">
        <f>AM412*I412+AL412</f>
        <v>31.422000000000001</v>
      </c>
      <c r="AR412" s="182">
        <f t="shared" ref="AR412:AR417" si="440">0.1*AQ412</f>
        <v>3.1422000000000003</v>
      </c>
      <c r="AS412" s="183">
        <f t="shared" ref="AS412:AS417" si="441">AJ412*3+0.25*AK412</f>
        <v>3.5</v>
      </c>
      <c r="AT412" s="183">
        <f t="shared" ref="AT412:AT417" si="442">SUM(AQ412:AS412)/4</f>
        <v>9.5160499999999999</v>
      </c>
      <c r="AU412" s="182">
        <f>10068.2*J412*POWER(10,-6)</f>
        <v>11.4374752</v>
      </c>
      <c r="AV412" s="183">
        <f t="shared" ref="AV412:AV417" si="443">AU412+AT412+AS412+AR412+AQ412</f>
        <v>59.017725200000001</v>
      </c>
      <c r="AW412" s="184">
        <f t="shared" ref="AW412:AW417" si="444">AJ412*H412</f>
        <v>1.0000000000000002E-6</v>
      </c>
      <c r="AX412" s="184">
        <f t="shared" ref="AX412:AX417" si="445">H412*AK412</f>
        <v>2.0000000000000003E-6</v>
      </c>
      <c r="AY412" s="184">
        <f t="shared" ref="AY412:AY417" si="446">H412*AV412</f>
        <v>5.9017725200000007E-5</v>
      </c>
    </row>
    <row r="413" spans="1:51" s="179" customFormat="1" ht="15" thickBot="1" x14ac:dyDescent="0.35">
      <c r="A413" s="169" t="s">
        <v>19</v>
      </c>
      <c r="B413" s="169" t="str">
        <f>B412</f>
        <v>Резервуар РВС (8703T0001)</v>
      </c>
      <c r="C413" s="171" t="s">
        <v>197</v>
      </c>
      <c r="D413" s="172" t="s">
        <v>62</v>
      </c>
      <c r="E413" s="185">
        <f>E412</f>
        <v>1.0000000000000001E-5</v>
      </c>
      <c r="F413" s="186">
        <f>F412</f>
        <v>1</v>
      </c>
      <c r="G413" s="169">
        <v>0.18000000000000002</v>
      </c>
      <c r="H413" s="174">
        <f t="shared" si="436"/>
        <v>1.8000000000000003E-6</v>
      </c>
      <c r="I413" s="187">
        <f>I412</f>
        <v>1136</v>
      </c>
      <c r="J413" s="418">
        <f>POWER(10,-6)*55*SQRT(100)*3600*L412/1000*0.05</f>
        <v>0.26729999999999998</v>
      </c>
      <c r="K413" s="177" t="s">
        <v>176</v>
      </c>
      <c r="L413" s="178">
        <v>0</v>
      </c>
      <c r="M413" s="179" t="str">
        <f t="shared" si="437"/>
        <v>С2</v>
      </c>
      <c r="N413" s="179" t="str">
        <f t="shared" si="438"/>
        <v>Резервуар РВС (8703T0001)</v>
      </c>
      <c r="O413" s="179" t="str">
        <f t="shared" si="439"/>
        <v>Полное-взрыв</v>
      </c>
      <c r="P413" s="179" t="s">
        <v>83</v>
      </c>
      <c r="Q413" s="179" t="s">
        <v>83</v>
      </c>
      <c r="R413" s="179" t="s">
        <v>83</v>
      </c>
      <c r="S413" s="179" t="s">
        <v>83</v>
      </c>
      <c r="T413" s="179">
        <v>0</v>
      </c>
      <c r="U413" s="179">
        <v>0</v>
      </c>
      <c r="V413" s="179">
        <v>64.599999999999994</v>
      </c>
      <c r="W413" s="179">
        <v>216.1</v>
      </c>
      <c r="X413" s="179">
        <v>562.6</v>
      </c>
      <c r="Y413" s="179" t="s">
        <v>83</v>
      </c>
      <c r="Z413" s="179" t="s">
        <v>83</v>
      </c>
      <c r="AA413" s="179" t="s">
        <v>83</v>
      </c>
      <c r="AB413" s="179" t="s">
        <v>83</v>
      </c>
      <c r="AC413" s="179" t="s">
        <v>83</v>
      </c>
      <c r="AD413" s="179" t="s">
        <v>83</v>
      </c>
      <c r="AE413" s="179" t="s">
        <v>83</v>
      </c>
      <c r="AF413" s="179" t="s">
        <v>83</v>
      </c>
      <c r="AG413" s="179" t="s">
        <v>83</v>
      </c>
      <c r="AH413" s="179" t="s">
        <v>83</v>
      </c>
      <c r="AI413" s="179" t="s">
        <v>83</v>
      </c>
      <c r="AJ413" s="180">
        <v>2</v>
      </c>
      <c r="AK413" s="180">
        <v>2</v>
      </c>
      <c r="AL413" s="179">
        <f>AL412</f>
        <v>0.75</v>
      </c>
      <c r="AM413" s="179">
        <f>AM412</f>
        <v>2.7E-2</v>
      </c>
      <c r="AN413" s="179">
        <f>AN412</f>
        <v>3</v>
      </c>
      <c r="AQ413" s="182">
        <f>AM413*I413+AL413</f>
        <v>31.422000000000001</v>
      </c>
      <c r="AR413" s="182">
        <f t="shared" si="440"/>
        <v>3.1422000000000003</v>
      </c>
      <c r="AS413" s="183">
        <f t="shared" si="441"/>
        <v>6.5</v>
      </c>
      <c r="AT413" s="183">
        <f t="shared" si="442"/>
        <v>10.26605</v>
      </c>
      <c r="AU413" s="182">
        <f>10068.2*J413*POWER(10,-6)*10</f>
        <v>2.6912298599999999E-2</v>
      </c>
      <c r="AV413" s="183">
        <f t="shared" si="443"/>
        <v>51.357162298600002</v>
      </c>
      <c r="AW413" s="184">
        <f t="shared" si="444"/>
        <v>3.6000000000000007E-6</v>
      </c>
      <c r="AX413" s="184">
        <f t="shared" si="445"/>
        <v>3.6000000000000007E-6</v>
      </c>
      <c r="AY413" s="184">
        <f t="shared" si="446"/>
        <v>9.2442892137480027E-5</v>
      </c>
    </row>
    <row r="414" spans="1:51" s="179" customFormat="1" x14ac:dyDescent="0.3">
      <c r="A414" s="169" t="s">
        <v>20</v>
      </c>
      <c r="B414" s="169" t="str">
        <f>B412</f>
        <v>Резервуар РВС (8703T0001)</v>
      </c>
      <c r="C414" s="171" t="s">
        <v>198</v>
      </c>
      <c r="D414" s="172" t="s">
        <v>60</v>
      </c>
      <c r="E414" s="185">
        <f>E412</f>
        <v>1.0000000000000001E-5</v>
      </c>
      <c r="F414" s="186">
        <f>F412</f>
        <v>1</v>
      </c>
      <c r="G414" s="169">
        <v>0.72000000000000008</v>
      </c>
      <c r="H414" s="174">
        <f t="shared" si="436"/>
        <v>7.2000000000000014E-6</v>
      </c>
      <c r="I414" s="187">
        <f>I412</f>
        <v>1136</v>
      </c>
      <c r="J414" s="189">
        <v>0</v>
      </c>
      <c r="K414" s="177" t="s">
        <v>177</v>
      </c>
      <c r="L414" s="178">
        <v>0</v>
      </c>
      <c r="M414" s="179" t="str">
        <f t="shared" si="437"/>
        <v>С3</v>
      </c>
      <c r="N414" s="179" t="str">
        <f t="shared" si="438"/>
        <v>Резервуар РВС (8703T0001)</v>
      </c>
      <c r="O414" s="179" t="str">
        <f t="shared" si="439"/>
        <v>Полное-ликвидация</v>
      </c>
      <c r="P414" s="179" t="s">
        <v>83</v>
      </c>
      <c r="Q414" s="179" t="s">
        <v>83</v>
      </c>
      <c r="R414" s="179" t="s">
        <v>83</v>
      </c>
      <c r="S414" s="179" t="s">
        <v>83</v>
      </c>
      <c r="T414" s="179" t="s">
        <v>83</v>
      </c>
      <c r="U414" s="179" t="s">
        <v>83</v>
      </c>
      <c r="V414" s="179" t="s">
        <v>83</v>
      </c>
      <c r="W414" s="179" t="s">
        <v>83</v>
      </c>
      <c r="X414" s="179" t="s">
        <v>83</v>
      </c>
      <c r="Y414" s="179" t="s">
        <v>83</v>
      </c>
      <c r="Z414" s="179" t="s">
        <v>83</v>
      </c>
      <c r="AA414" s="179" t="s">
        <v>83</v>
      </c>
      <c r="AB414" s="179" t="s">
        <v>83</v>
      </c>
      <c r="AC414" s="179" t="s">
        <v>83</v>
      </c>
      <c r="AD414" s="179" t="s">
        <v>83</v>
      </c>
      <c r="AE414" s="179" t="s">
        <v>83</v>
      </c>
      <c r="AF414" s="179" t="s">
        <v>83</v>
      </c>
      <c r="AG414" s="179" t="s">
        <v>83</v>
      </c>
      <c r="AH414" s="179" t="s">
        <v>83</v>
      </c>
      <c r="AI414" s="179" t="s">
        <v>83</v>
      </c>
      <c r="AJ414" s="179">
        <v>0</v>
      </c>
      <c r="AK414" s="179">
        <v>0</v>
      </c>
      <c r="AL414" s="179">
        <f>AL412</f>
        <v>0.75</v>
      </c>
      <c r="AM414" s="179">
        <f>AM412</f>
        <v>2.7E-2</v>
      </c>
      <c r="AN414" s="179">
        <f>AN412</f>
        <v>3</v>
      </c>
      <c r="AQ414" s="182">
        <f>AM414*I414*0.1+AL414</f>
        <v>3.8172000000000001</v>
      </c>
      <c r="AR414" s="182">
        <f t="shared" si="440"/>
        <v>0.38172000000000006</v>
      </c>
      <c r="AS414" s="183">
        <f t="shared" si="441"/>
        <v>0</v>
      </c>
      <c r="AT414" s="183">
        <f t="shared" si="442"/>
        <v>1.0497300000000001</v>
      </c>
      <c r="AU414" s="182">
        <f>1333*J413*POWER(10,-6)</f>
        <v>3.5631089999999996E-4</v>
      </c>
      <c r="AV414" s="183">
        <f t="shared" si="443"/>
        <v>5.2490063109000005</v>
      </c>
      <c r="AW414" s="184">
        <f t="shared" si="444"/>
        <v>0</v>
      </c>
      <c r="AX414" s="184">
        <f t="shared" si="445"/>
        <v>0</v>
      </c>
      <c r="AY414" s="184">
        <f t="shared" si="446"/>
        <v>3.7792845438480014E-5</v>
      </c>
    </row>
    <row r="415" spans="1:51" s="179" customFormat="1" x14ac:dyDescent="0.3">
      <c r="A415" s="169" t="s">
        <v>21</v>
      </c>
      <c r="B415" s="169" t="str">
        <f>B412</f>
        <v>Резервуар РВС (8703T0001)</v>
      </c>
      <c r="C415" s="171" t="s">
        <v>199</v>
      </c>
      <c r="D415" s="172" t="s">
        <v>84</v>
      </c>
      <c r="E415" s="173">
        <v>1E-4</v>
      </c>
      <c r="F415" s="186">
        <f>F412</f>
        <v>1</v>
      </c>
      <c r="G415" s="169">
        <v>0.1</v>
      </c>
      <c r="H415" s="174">
        <f t="shared" si="436"/>
        <v>1.0000000000000001E-5</v>
      </c>
      <c r="I415" s="187">
        <f>0.15*I412</f>
        <v>170.4</v>
      </c>
      <c r="J415" s="176">
        <f>I415</f>
        <v>170.4</v>
      </c>
      <c r="K415" s="190" t="s">
        <v>179</v>
      </c>
      <c r="L415" s="191">
        <v>45390</v>
      </c>
      <c r="M415" s="179" t="str">
        <f t="shared" si="437"/>
        <v>С4</v>
      </c>
      <c r="N415" s="179" t="str">
        <f t="shared" si="438"/>
        <v>Резервуар РВС (8703T0001)</v>
      </c>
      <c r="O415" s="179" t="str">
        <f t="shared" si="439"/>
        <v>Частичное-пожар</v>
      </c>
      <c r="P415" s="179">
        <v>18.600000000000001</v>
      </c>
      <c r="Q415" s="179">
        <v>25.8</v>
      </c>
      <c r="R415" s="179">
        <v>36.9</v>
      </c>
      <c r="S415" s="179">
        <v>68.8</v>
      </c>
      <c r="T415" s="179" t="s">
        <v>83</v>
      </c>
      <c r="U415" s="179" t="s">
        <v>83</v>
      </c>
      <c r="V415" s="179" t="s">
        <v>83</v>
      </c>
      <c r="W415" s="179" t="s">
        <v>83</v>
      </c>
      <c r="X415" s="179" t="s">
        <v>83</v>
      </c>
      <c r="Y415" s="179" t="s">
        <v>83</v>
      </c>
      <c r="Z415" s="179" t="s">
        <v>83</v>
      </c>
      <c r="AA415" s="179" t="s">
        <v>83</v>
      </c>
      <c r="AB415" s="179" t="s">
        <v>83</v>
      </c>
      <c r="AC415" s="179" t="s">
        <v>83</v>
      </c>
      <c r="AD415" s="179" t="s">
        <v>83</v>
      </c>
      <c r="AE415" s="179" t="s">
        <v>83</v>
      </c>
      <c r="AF415" s="179" t="s">
        <v>83</v>
      </c>
      <c r="AG415" s="179" t="s">
        <v>83</v>
      </c>
      <c r="AH415" s="179" t="s">
        <v>83</v>
      </c>
      <c r="AI415" s="179" t="s">
        <v>83</v>
      </c>
      <c r="AJ415" s="179">
        <v>0</v>
      </c>
      <c r="AK415" s="179">
        <v>2</v>
      </c>
      <c r="AL415" s="179">
        <f>0.1*$AL$2</f>
        <v>7.5000000000000002E-4</v>
      </c>
      <c r="AM415" s="179">
        <f>AM412</f>
        <v>2.7E-2</v>
      </c>
      <c r="AN415" s="179">
        <f>ROUNDUP(AN412/3,0)</f>
        <v>1</v>
      </c>
      <c r="AQ415" s="182">
        <f>AM415*I415+AL415</f>
        <v>4.6015500000000005</v>
      </c>
      <c r="AR415" s="182">
        <f t="shared" si="440"/>
        <v>0.46015500000000009</v>
      </c>
      <c r="AS415" s="183">
        <f t="shared" si="441"/>
        <v>0.5</v>
      </c>
      <c r="AT415" s="183">
        <f t="shared" si="442"/>
        <v>1.3904262500000002</v>
      </c>
      <c r="AU415" s="182">
        <f>10068.2*J415*POWER(10,-6)</f>
        <v>1.7156212800000001</v>
      </c>
      <c r="AV415" s="183">
        <f t="shared" si="443"/>
        <v>8.6677525300000013</v>
      </c>
      <c r="AW415" s="184">
        <f t="shared" si="444"/>
        <v>0</v>
      </c>
      <c r="AX415" s="184">
        <f t="shared" si="445"/>
        <v>2.0000000000000002E-5</v>
      </c>
      <c r="AY415" s="184">
        <f t="shared" si="446"/>
        <v>8.6677525300000015E-5</v>
      </c>
    </row>
    <row r="416" spans="1:51" s="179" customFormat="1" x14ac:dyDescent="0.3">
      <c r="A416" s="169" t="s">
        <v>22</v>
      </c>
      <c r="B416" s="169" t="str">
        <f>B412</f>
        <v>Резервуар РВС (8703T0001)</v>
      </c>
      <c r="C416" s="171" t="s">
        <v>200</v>
      </c>
      <c r="D416" s="172" t="s">
        <v>165</v>
      </c>
      <c r="E416" s="185">
        <f>E415</f>
        <v>1E-4</v>
      </c>
      <c r="F416" s="186">
        <f>F412</f>
        <v>1</v>
      </c>
      <c r="G416" s="169">
        <v>4.5000000000000005E-2</v>
      </c>
      <c r="H416" s="174">
        <f t="shared" si="436"/>
        <v>4.500000000000001E-6</v>
      </c>
      <c r="I416" s="187">
        <f>0.15*I412</f>
        <v>170.4</v>
      </c>
      <c r="J416" s="176">
        <f>0.15*J413</f>
        <v>4.0094999999999999E-2</v>
      </c>
      <c r="K416" s="190" t="s">
        <v>180</v>
      </c>
      <c r="L416" s="191">
        <v>3</v>
      </c>
      <c r="M416" s="179" t="str">
        <f t="shared" si="437"/>
        <v>С5</v>
      </c>
      <c r="N416" s="179" t="str">
        <f t="shared" si="438"/>
        <v>Резервуар РВС (8703T0001)</v>
      </c>
      <c r="O416" s="179" t="str">
        <f t="shared" si="439"/>
        <v>Частичное-пожар-вспышка</v>
      </c>
      <c r="P416" s="179" t="s">
        <v>83</v>
      </c>
      <c r="Q416" s="179" t="s">
        <v>83</v>
      </c>
      <c r="R416" s="179" t="s">
        <v>83</v>
      </c>
      <c r="S416" s="179" t="s">
        <v>83</v>
      </c>
      <c r="T416" s="179" t="s">
        <v>83</v>
      </c>
      <c r="U416" s="179" t="s">
        <v>83</v>
      </c>
      <c r="V416" s="179" t="s">
        <v>83</v>
      </c>
      <c r="W416" s="179" t="s">
        <v>83</v>
      </c>
      <c r="X416" s="179" t="s">
        <v>83</v>
      </c>
      <c r="Y416" s="179" t="s">
        <v>83</v>
      </c>
      <c r="Z416" s="179" t="s">
        <v>83</v>
      </c>
      <c r="AA416" s="179">
        <v>15.35</v>
      </c>
      <c r="AB416" s="179">
        <v>18.420000000000002</v>
      </c>
      <c r="AC416" s="179" t="s">
        <v>83</v>
      </c>
      <c r="AD416" s="179" t="s">
        <v>83</v>
      </c>
      <c r="AE416" s="179" t="s">
        <v>83</v>
      </c>
      <c r="AF416" s="179" t="s">
        <v>83</v>
      </c>
      <c r="AG416" s="179" t="s">
        <v>83</v>
      </c>
      <c r="AH416" s="179" t="s">
        <v>83</v>
      </c>
      <c r="AI416" s="179" t="s">
        <v>83</v>
      </c>
      <c r="AJ416" s="179">
        <v>0</v>
      </c>
      <c r="AK416" s="179">
        <v>1</v>
      </c>
      <c r="AL416" s="179">
        <f>0.1*$AL$2</f>
        <v>7.5000000000000002E-4</v>
      </c>
      <c r="AM416" s="179">
        <f>AM412</f>
        <v>2.7E-2</v>
      </c>
      <c r="AN416" s="179">
        <f>ROUNDUP(AN412/3,0)</f>
        <v>1</v>
      </c>
      <c r="AQ416" s="182">
        <f>AM416*I416+AL416</f>
        <v>4.6015500000000005</v>
      </c>
      <c r="AR416" s="182">
        <f t="shared" si="440"/>
        <v>0.46015500000000009</v>
      </c>
      <c r="AS416" s="183">
        <f t="shared" si="441"/>
        <v>0.25</v>
      </c>
      <c r="AT416" s="183">
        <f t="shared" si="442"/>
        <v>1.3279262500000002</v>
      </c>
      <c r="AU416" s="182">
        <f>10068.2*J416*POWER(10,-6)*10</f>
        <v>4.0368447899999998E-3</v>
      </c>
      <c r="AV416" s="183">
        <f t="shared" si="443"/>
        <v>6.6436680947900006</v>
      </c>
      <c r="AW416" s="184">
        <f t="shared" si="444"/>
        <v>0</v>
      </c>
      <c r="AX416" s="184">
        <f t="shared" si="445"/>
        <v>4.500000000000001E-6</v>
      </c>
      <c r="AY416" s="184">
        <f t="shared" si="446"/>
        <v>2.9896506426555008E-5</v>
      </c>
    </row>
    <row r="417" spans="1:51" s="179" customFormat="1" ht="15" thickBot="1" x14ac:dyDescent="0.35">
      <c r="A417" s="169" t="s">
        <v>23</v>
      </c>
      <c r="B417" s="169" t="str">
        <f>B412</f>
        <v>Резервуар РВС (8703T0001)</v>
      </c>
      <c r="C417" s="171" t="s">
        <v>201</v>
      </c>
      <c r="D417" s="172" t="s">
        <v>61</v>
      </c>
      <c r="E417" s="185">
        <f>E415</f>
        <v>1E-4</v>
      </c>
      <c r="F417" s="186">
        <f>F412</f>
        <v>1</v>
      </c>
      <c r="G417" s="169">
        <v>0.85499999999999998</v>
      </c>
      <c r="H417" s="174">
        <f t="shared" si="436"/>
        <v>8.5500000000000005E-5</v>
      </c>
      <c r="I417" s="187">
        <f>0.15*I412</f>
        <v>170.4</v>
      </c>
      <c r="J417" s="189">
        <v>0</v>
      </c>
      <c r="K417" s="192" t="s">
        <v>191</v>
      </c>
      <c r="L417" s="192">
        <v>9</v>
      </c>
      <c r="M417" s="179" t="str">
        <f t="shared" si="437"/>
        <v>С6</v>
      </c>
      <c r="N417" s="179" t="str">
        <f t="shared" si="438"/>
        <v>Резервуар РВС (8703T0001)</v>
      </c>
      <c r="O417" s="179" t="str">
        <f t="shared" si="439"/>
        <v>Частичное-ликвидация</v>
      </c>
      <c r="P417" s="179" t="s">
        <v>83</v>
      </c>
      <c r="Q417" s="179" t="s">
        <v>83</v>
      </c>
      <c r="R417" s="179" t="s">
        <v>83</v>
      </c>
      <c r="S417" s="179" t="s">
        <v>83</v>
      </c>
      <c r="T417" s="179" t="s">
        <v>83</v>
      </c>
      <c r="U417" s="179" t="s">
        <v>83</v>
      </c>
      <c r="V417" s="179" t="s">
        <v>83</v>
      </c>
      <c r="W417" s="179" t="s">
        <v>83</v>
      </c>
      <c r="X417" s="179" t="s">
        <v>83</v>
      </c>
      <c r="Y417" s="179" t="s">
        <v>83</v>
      </c>
      <c r="Z417" s="179" t="s">
        <v>83</v>
      </c>
      <c r="AA417" s="179" t="s">
        <v>83</v>
      </c>
      <c r="AB417" s="179" t="s">
        <v>83</v>
      </c>
      <c r="AC417" s="179" t="s">
        <v>83</v>
      </c>
      <c r="AD417" s="179" t="s">
        <v>83</v>
      </c>
      <c r="AE417" s="179" t="s">
        <v>83</v>
      </c>
      <c r="AF417" s="179" t="s">
        <v>83</v>
      </c>
      <c r="AG417" s="179" t="s">
        <v>83</v>
      </c>
      <c r="AH417" s="179" t="s">
        <v>83</v>
      </c>
      <c r="AI417" s="179" t="s">
        <v>83</v>
      </c>
      <c r="AJ417" s="179">
        <v>0</v>
      </c>
      <c r="AK417" s="179">
        <v>0</v>
      </c>
      <c r="AL417" s="179">
        <f>0.1*$AL$2</f>
        <v>7.5000000000000002E-4</v>
      </c>
      <c r="AM417" s="179">
        <f>AM412</f>
        <v>2.7E-2</v>
      </c>
      <c r="AN417" s="179">
        <f>ROUNDUP(AN412/3,0)</f>
        <v>1</v>
      </c>
      <c r="AQ417" s="182">
        <f>AM417*I417*0.1+AL417</f>
        <v>0.46083000000000002</v>
      </c>
      <c r="AR417" s="182">
        <f t="shared" si="440"/>
        <v>4.6083000000000006E-2</v>
      </c>
      <c r="AS417" s="183">
        <f t="shared" si="441"/>
        <v>0</v>
      </c>
      <c r="AT417" s="183">
        <f t="shared" si="442"/>
        <v>0.12672825000000001</v>
      </c>
      <c r="AU417" s="182">
        <f>1333*J416*POWER(10,-6)</f>
        <v>5.3446635E-5</v>
      </c>
      <c r="AV417" s="183">
        <f t="shared" si="443"/>
        <v>0.63369469663500011</v>
      </c>
      <c r="AW417" s="184">
        <f t="shared" si="444"/>
        <v>0</v>
      </c>
      <c r="AX417" s="184">
        <f t="shared" si="445"/>
        <v>0</v>
      </c>
      <c r="AY417" s="184">
        <f t="shared" si="446"/>
        <v>5.4180896562292513E-5</v>
      </c>
    </row>
    <row r="418" spans="1:51" s="179" customFormat="1" x14ac:dyDescent="0.3">
      <c r="A418" s="180"/>
      <c r="B418" s="180"/>
      <c r="D418" s="271"/>
      <c r="E418" s="272"/>
      <c r="F418" s="273"/>
      <c r="G418" s="180"/>
      <c r="H418" s="184"/>
      <c r="I418" s="183"/>
      <c r="J418" s="180"/>
      <c r="K418" s="180"/>
      <c r="L418" s="180"/>
      <c r="AQ418" s="182"/>
      <c r="AR418" s="182"/>
      <c r="AS418" s="183"/>
      <c r="AT418" s="183"/>
      <c r="AU418" s="182"/>
      <c r="AV418" s="183"/>
      <c r="AW418" s="184"/>
      <c r="AX418" s="184"/>
      <c r="AY418" s="184"/>
    </row>
    <row r="419" spans="1:51" s="179" customFormat="1" x14ac:dyDescent="0.3">
      <c r="A419" s="180"/>
      <c r="B419" s="180"/>
      <c r="D419" s="271"/>
      <c r="E419" s="272"/>
      <c r="F419" s="273"/>
      <c r="G419" s="180"/>
      <c r="H419" s="184"/>
      <c r="I419" s="183"/>
      <c r="J419" s="180"/>
      <c r="K419" s="180"/>
      <c r="L419" s="180"/>
      <c r="AQ419" s="182"/>
      <c r="AR419" s="182"/>
      <c r="AS419" s="183"/>
      <c r="AT419" s="183"/>
      <c r="AU419" s="182"/>
      <c r="AV419" s="183"/>
      <c r="AW419" s="184"/>
      <c r="AX419" s="184"/>
      <c r="AY419" s="184"/>
    </row>
    <row r="420" spans="1:51" s="179" customFormat="1" x14ac:dyDescent="0.3">
      <c r="A420" s="180"/>
      <c r="B420" s="180"/>
      <c r="D420" s="271"/>
      <c r="E420" s="272"/>
      <c r="F420" s="273"/>
      <c r="G420" s="180"/>
      <c r="H420" s="184"/>
      <c r="I420" s="183"/>
      <c r="J420" s="180"/>
      <c r="K420" s="180"/>
      <c r="L420" s="180"/>
      <c r="AQ420" s="182"/>
      <c r="AR420" s="182"/>
      <c r="AS420" s="183"/>
      <c r="AT420" s="183"/>
      <c r="AU420" s="182"/>
      <c r="AV420" s="183"/>
      <c r="AW420" s="184"/>
      <c r="AX420" s="184"/>
      <c r="AY420" s="184"/>
    </row>
    <row r="421" spans="1:51" ht="15" thickBot="1" x14ac:dyDescent="0.35"/>
    <row r="422" spans="1:51" s="179" customFormat="1" ht="15" thickBot="1" x14ac:dyDescent="0.35">
      <c r="A422" s="169" t="s">
        <v>18</v>
      </c>
      <c r="B422" s="170" t="s">
        <v>633</v>
      </c>
      <c r="C422" s="171" t="s">
        <v>227</v>
      </c>
      <c r="D422" s="172" t="s">
        <v>183</v>
      </c>
      <c r="E422" s="173">
        <v>1.0000000000000001E-5</v>
      </c>
      <c r="F422" s="170">
        <v>1</v>
      </c>
      <c r="G422" s="169">
        <v>1.4999999999999999E-2</v>
      </c>
      <c r="H422" s="174">
        <f t="shared" ref="H422:H427" si="447">E422*F422*G422</f>
        <v>1.5000000000000002E-7</v>
      </c>
      <c r="I422" s="175">
        <f>(500/3600)*12</f>
        <v>1.6666666666666667</v>
      </c>
      <c r="J422" s="187">
        <f>I422</f>
        <v>1.6666666666666667</v>
      </c>
      <c r="K422" s="177" t="s">
        <v>175</v>
      </c>
      <c r="L422" s="178">
        <f>J422*150</f>
        <v>250</v>
      </c>
      <c r="M422" s="179" t="str">
        <f t="shared" ref="M422:M427" si="448">A422</f>
        <v>С1</v>
      </c>
      <c r="N422" s="179" t="str">
        <f t="shared" ref="N422:N427" si="449">B422</f>
        <v>Насос центробежный (8713P0001A)</v>
      </c>
      <c r="O422" s="179" t="str">
        <f t="shared" ref="O422:O427" si="450">D422</f>
        <v>Полное-факел</v>
      </c>
      <c r="P422" s="179" t="s">
        <v>83</v>
      </c>
      <c r="Q422" s="179" t="s">
        <v>83</v>
      </c>
      <c r="R422" s="179" t="s">
        <v>83</v>
      </c>
      <c r="S422" s="179" t="s">
        <v>83</v>
      </c>
      <c r="T422" s="179" t="s">
        <v>83</v>
      </c>
      <c r="U422" s="179" t="s">
        <v>83</v>
      </c>
      <c r="V422" s="179" t="s">
        <v>83</v>
      </c>
      <c r="W422" s="179" t="s">
        <v>83</v>
      </c>
      <c r="X422" s="179" t="s">
        <v>83</v>
      </c>
      <c r="Y422" s="179" t="s">
        <v>83</v>
      </c>
      <c r="Z422" s="179" t="s">
        <v>83</v>
      </c>
      <c r="AA422" s="179" t="s">
        <v>83</v>
      </c>
      <c r="AB422" s="179" t="s">
        <v>83</v>
      </c>
      <c r="AC422" s="179" t="s">
        <v>83</v>
      </c>
      <c r="AD422" s="179" t="s">
        <v>83</v>
      </c>
      <c r="AE422" s="179" t="s">
        <v>83</v>
      </c>
      <c r="AF422" s="179" t="s">
        <v>83</v>
      </c>
      <c r="AG422" s="179" t="s">
        <v>83</v>
      </c>
      <c r="AH422" s="179" t="s">
        <v>83</v>
      </c>
      <c r="AI422" s="179" t="s">
        <v>83</v>
      </c>
      <c r="AJ422" s="180">
        <v>1</v>
      </c>
      <c r="AK422" s="180">
        <v>1</v>
      </c>
      <c r="AL422" s="181">
        <v>0.75</v>
      </c>
      <c r="AM422" s="181">
        <v>2.7E-2</v>
      </c>
      <c r="AN422" s="181">
        <v>3</v>
      </c>
      <c r="AQ422" s="182">
        <f>AM422*I422+AL422</f>
        <v>0.79500000000000004</v>
      </c>
      <c r="AR422" s="182">
        <f t="shared" ref="AR422:AR427" si="451">0.1*AQ422</f>
        <v>7.9500000000000015E-2</v>
      </c>
      <c r="AS422" s="183">
        <f t="shared" ref="AS422:AS427" si="452">AJ422*3+0.25*AK422</f>
        <v>3.25</v>
      </c>
      <c r="AT422" s="183">
        <f t="shared" ref="AT422:AT427" si="453">SUM(AQ422:AS422)/4</f>
        <v>1.0311250000000001</v>
      </c>
      <c r="AU422" s="182">
        <f>10068.2*J422*POWER(10,-6)</f>
        <v>1.6780333333333335E-2</v>
      </c>
      <c r="AV422" s="183">
        <f t="shared" ref="AV422:AV427" si="454">AU422+AT422+AS422+AR422+AQ422</f>
        <v>5.1724053333333337</v>
      </c>
      <c r="AW422" s="184">
        <f t="shared" ref="AW422:AW427" si="455">AJ422*H422</f>
        <v>1.5000000000000002E-7</v>
      </c>
      <c r="AX422" s="184">
        <f t="shared" ref="AX422:AX427" si="456">H422*AK422</f>
        <v>1.5000000000000002E-7</v>
      </c>
      <c r="AY422" s="184">
        <f t="shared" ref="AY422:AY427" si="457">H422*AV422</f>
        <v>7.7586080000000016E-7</v>
      </c>
    </row>
    <row r="423" spans="1:51" s="179" customFormat="1" ht="15" thickBot="1" x14ac:dyDescent="0.35">
      <c r="A423" s="169" t="s">
        <v>19</v>
      </c>
      <c r="B423" s="169" t="str">
        <f>B422</f>
        <v>Насос центробежный (8713P0001A)</v>
      </c>
      <c r="C423" s="171" t="s">
        <v>228</v>
      </c>
      <c r="D423" s="172" t="s">
        <v>226</v>
      </c>
      <c r="E423" s="185">
        <f>E422</f>
        <v>1.0000000000000001E-5</v>
      </c>
      <c r="F423" s="186">
        <f>F422</f>
        <v>1</v>
      </c>
      <c r="G423" s="169">
        <v>1.4249999999999999E-2</v>
      </c>
      <c r="H423" s="174">
        <f t="shared" si="447"/>
        <v>1.4250000000000001E-7</v>
      </c>
      <c r="I423" s="187">
        <f>I422</f>
        <v>1.6666666666666667</v>
      </c>
      <c r="J423" s="175">
        <f>POWER(10,-6)*35*SQRT(100)*3600*L422/1000*0.1</f>
        <v>3.1499999999999993E-2</v>
      </c>
      <c r="K423" s="177" t="s">
        <v>176</v>
      </c>
      <c r="L423" s="178">
        <v>0</v>
      </c>
      <c r="M423" s="179" t="str">
        <f t="shared" si="448"/>
        <v>С2</v>
      </c>
      <c r="N423" s="179" t="str">
        <f t="shared" si="449"/>
        <v>Насос центробежный (8713P0001A)</v>
      </c>
      <c r="O423" s="179" t="str">
        <f t="shared" si="450"/>
        <v>Полное-взрыв облака ТВС</v>
      </c>
      <c r="P423" s="179" t="s">
        <v>83</v>
      </c>
      <c r="Q423" s="179" t="s">
        <v>83</v>
      </c>
      <c r="R423" s="179" t="s">
        <v>83</v>
      </c>
      <c r="S423" s="179" t="s">
        <v>83</v>
      </c>
      <c r="T423" s="179" t="s">
        <v>83</v>
      </c>
      <c r="U423" s="179" t="s">
        <v>83</v>
      </c>
      <c r="V423" s="179" t="s">
        <v>83</v>
      </c>
      <c r="W423" s="179" t="s">
        <v>83</v>
      </c>
      <c r="X423" s="179" t="s">
        <v>83</v>
      </c>
      <c r="Y423" s="179" t="s">
        <v>83</v>
      </c>
      <c r="Z423" s="179" t="s">
        <v>83</v>
      </c>
      <c r="AA423" s="179" t="s">
        <v>83</v>
      </c>
      <c r="AB423" s="179" t="s">
        <v>83</v>
      </c>
      <c r="AC423" s="179" t="s">
        <v>83</v>
      </c>
      <c r="AD423" s="179" t="s">
        <v>83</v>
      </c>
      <c r="AE423" s="179" t="s">
        <v>83</v>
      </c>
      <c r="AF423" s="179" t="s">
        <v>83</v>
      </c>
      <c r="AG423" s="179" t="s">
        <v>83</v>
      </c>
      <c r="AH423" s="179" t="s">
        <v>83</v>
      </c>
      <c r="AI423" s="179" t="s">
        <v>83</v>
      </c>
      <c r="AJ423" s="180">
        <v>1</v>
      </c>
      <c r="AK423" s="180">
        <v>1</v>
      </c>
      <c r="AL423" s="179">
        <f>AL422</f>
        <v>0.75</v>
      </c>
      <c r="AM423" s="179">
        <f>AM422</f>
        <v>2.7E-2</v>
      </c>
      <c r="AN423" s="179">
        <f>AN422</f>
        <v>3</v>
      </c>
      <c r="AQ423" s="182">
        <f>AM423*I423+AL423</f>
        <v>0.79500000000000004</v>
      </c>
      <c r="AR423" s="182">
        <f t="shared" si="451"/>
        <v>7.9500000000000015E-2</v>
      </c>
      <c r="AS423" s="183">
        <f t="shared" si="452"/>
        <v>3.25</v>
      </c>
      <c r="AT423" s="183">
        <f t="shared" si="453"/>
        <v>1.0311250000000001</v>
      </c>
      <c r="AU423" s="182">
        <f>10068.2*J423*POWER(10,-6)*10</f>
        <v>3.1714829999999992E-3</v>
      </c>
      <c r="AV423" s="183">
        <f t="shared" si="454"/>
        <v>5.1587964830000006</v>
      </c>
      <c r="AW423" s="184">
        <f t="shared" si="455"/>
        <v>1.4250000000000001E-7</v>
      </c>
      <c r="AX423" s="184">
        <f t="shared" si="456"/>
        <v>1.4250000000000001E-7</v>
      </c>
      <c r="AY423" s="184">
        <f t="shared" si="457"/>
        <v>7.3512849882750015E-7</v>
      </c>
    </row>
    <row r="424" spans="1:51" s="179" customFormat="1" x14ac:dyDescent="0.3">
      <c r="A424" s="169" t="s">
        <v>20</v>
      </c>
      <c r="B424" s="169" t="str">
        <f>B422</f>
        <v>Насос центробежный (8713P0001A)</v>
      </c>
      <c r="C424" s="171" t="s">
        <v>229</v>
      </c>
      <c r="D424" s="172" t="s">
        <v>60</v>
      </c>
      <c r="E424" s="185">
        <f>E422</f>
        <v>1.0000000000000001E-5</v>
      </c>
      <c r="F424" s="186">
        <f>F422</f>
        <v>1</v>
      </c>
      <c r="G424" s="169">
        <v>0.27074999999999999</v>
      </c>
      <c r="H424" s="174">
        <f t="shared" si="447"/>
        <v>2.7075000000000003E-6</v>
      </c>
      <c r="I424" s="187">
        <f>I422</f>
        <v>1.6666666666666667</v>
      </c>
      <c r="J424" s="169">
        <v>0</v>
      </c>
      <c r="K424" s="177" t="s">
        <v>177</v>
      </c>
      <c r="L424" s="178">
        <v>1</v>
      </c>
      <c r="M424" s="179" t="str">
        <f t="shared" si="448"/>
        <v>С3</v>
      </c>
      <c r="N424" s="179" t="str">
        <f t="shared" si="449"/>
        <v>Насос центробежный (8713P0001A)</v>
      </c>
      <c r="O424" s="179" t="str">
        <f t="shared" si="450"/>
        <v>Полное-ликвидация</v>
      </c>
      <c r="P424" s="179" t="s">
        <v>83</v>
      </c>
      <c r="Q424" s="179" t="s">
        <v>83</v>
      </c>
      <c r="R424" s="179" t="s">
        <v>83</v>
      </c>
      <c r="S424" s="179" t="s">
        <v>83</v>
      </c>
      <c r="T424" s="179" t="s">
        <v>83</v>
      </c>
      <c r="U424" s="179" t="s">
        <v>83</v>
      </c>
      <c r="V424" s="179" t="s">
        <v>83</v>
      </c>
      <c r="W424" s="179" t="s">
        <v>83</v>
      </c>
      <c r="X424" s="179" t="s">
        <v>83</v>
      </c>
      <c r="Y424" s="179" t="s">
        <v>83</v>
      </c>
      <c r="Z424" s="179" t="s">
        <v>83</v>
      </c>
      <c r="AA424" s="179" t="s">
        <v>83</v>
      </c>
      <c r="AB424" s="179" t="s">
        <v>83</v>
      </c>
      <c r="AC424" s="179" t="s">
        <v>83</v>
      </c>
      <c r="AD424" s="179" t="s">
        <v>83</v>
      </c>
      <c r="AE424" s="179" t="s">
        <v>83</v>
      </c>
      <c r="AF424" s="179" t="s">
        <v>83</v>
      </c>
      <c r="AG424" s="179" t="s">
        <v>83</v>
      </c>
      <c r="AH424" s="179" t="s">
        <v>83</v>
      </c>
      <c r="AI424" s="179" t="s">
        <v>83</v>
      </c>
      <c r="AJ424" s="179">
        <v>0</v>
      </c>
      <c r="AK424" s="179">
        <v>0</v>
      </c>
      <c r="AL424" s="179">
        <f>AL422</f>
        <v>0.75</v>
      </c>
      <c r="AM424" s="179">
        <f>AM422</f>
        <v>2.7E-2</v>
      </c>
      <c r="AN424" s="179">
        <f>AN422</f>
        <v>3</v>
      </c>
      <c r="AQ424" s="182">
        <f>AM424*I424*0.1+AL424</f>
        <v>0.75449999999999995</v>
      </c>
      <c r="AR424" s="182">
        <f t="shared" si="451"/>
        <v>7.5450000000000003E-2</v>
      </c>
      <c r="AS424" s="183">
        <f t="shared" si="452"/>
        <v>0</v>
      </c>
      <c r="AT424" s="183">
        <f t="shared" si="453"/>
        <v>0.20748749999999999</v>
      </c>
      <c r="AU424" s="182">
        <f>1333*J423*POWER(10,-6)</f>
        <v>4.1989499999999988E-5</v>
      </c>
      <c r="AV424" s="183">
        <f t="shared" si="454"/>
        <v>1.0374794894999999</v>
      </c>
      <c r="AW424" s="184">
        <f t="shared" si="455"/>
        <v>0</v>
      </c>
      <c r="AX424" s="184">
        <f t="shared" si="456"/>
        <v>0</v>
      </c>
      <c r="AY424" s="184">
        <f t="shared" si="457"/>
        <v>2.8089757178212501E-6</v>
      </c>
    </row>
    <row r="425" spans="1:51" s="179" customFormat="1" x14ac:dyDescent="0.3">
      <c r="A425" s="169" t="s">
        <v>21</v>
      </c>
      <c r="B425" s="169" t="str">
        <f>B422</f>
        <v>Насос центробежный (8713P0001A)</v>
      </c>
      <c r="C425" s="171" t="s">
        <v>230</v>
      </c>
      <c r="D425" s="172" t="s">
        <v>84</v>
      </c>
      <c r="E425" s="185">
        <f>E423</f>
        <v>1.0000000000000001E-5</v>
      </c>
      <c r="F425" s="186">
        <f>F422</f>
        <v>1</v>
      </c>
      <c r="G425" s="169">
        <v>3.4999999999999996E-2</v>
      </c>
      <c r="H425" s="174">
        <f t="shared" si="447"/>
        <v>3.4999999999999998E-7</v>
      </c>
      <c r="I425" s="187">
        <f>0.15*I422</f>
        <v>0.25</v>
      </c>
      <c r="J425" s="187">
        <f>I425</f>
        <v>0.25</v>
      </c>
      <c r="K425" s="190" t="s">
        <v>179</v>
      </c>
      <c r="L425" s="191">
        <v>45390</v>
      </c>
      <c r="M425" s="179" t="str">
        <f t="shared" si="448"/>
        <v>С4</v>
      </c>
      <c r="N425" s="179" t="str">
        <f t="shared" si="449"/>
        <v>Насос центробежный (8713P0001A)</v>
      </c>
      <c r="O425" s="179" t="str">
        <f t="shared" si="450"/>
        <v>Частичное-пожар</v>
      </c>
      <c r="P425" s="179" t="s">
        <v>83</v>
      </c>
      <c r="Q425" s="179" t="s">
        <v>83</v>
      </c>
      <c r="R425" s="179" t="s">
        <v>83</v>
      </c>
      <c r="S425" s="179" t="s">
        <v>83</v>
      </c>
      <c r="T425" s="179" t="s">
        <v>83</v>
      </c>
      <c r="U425" s="179" t="s">
        <v>83</v>
      </c>
      <c r="V425" s="179" t="s">
        <v>83</v>
      </c>
      <c r="W425" s="179" t="s">
        <v>83</v>
      </c>
      <c r="X425" s="179" t="s">
        <v>83</v>
      </c>
      <c r="Y425" s="179" t="s">
        <v>83</v>
      </c>
      <c r="Z425" s="179" t="s">
        <v>83</v>
      </c>
      <c r="AA425" s="179" t="s">
        <v>83</v>
      </c>
      <c r="AB425" s="179" t="s">
        <v>83</v>
      </c>
      <c r="AC425" s="179" t="s">
        <v>83</v>
      </c>
      <c r="AD425" s="179" t="s">
        <v>83</v>
      </c>
      <c r="AE425" s="179" t="s">
        <v>83</v>
      </c>
      <c r="AF425" s="179" t="s">
        <v>83</v>
      </c>
      <c r="AG425" s="179" t="s">
        <v>83</v>
      </c>
      <c r="AH425" s="179" t="s">
        <v>83</v>
      </c>
      <c r="AI425" s="179" t="s">
        <v>83</v>
      </c>
      <c r="AJ425" s="179">
        <v>0</v>
      </c>
      <c r="AK425" s="179">
        <v>1</v>
      </c>
      <c r="AL425" s="179">
        <f>0.1*$AL$2</f>
        <v>7.5000000000000002E-4</v>
      </c>
      <c r="AM425" s="179">
        <f>AM422</f>
        <v>2.7E-2</v>
      </c>
      <c r="AN425" s="179">
        <f>ROUNDUP(AN422/3,0)</f>
        <v>1</v>
      </c>
      <c r="AQ425" s="182">
        <f>AM425*I425+AL425</f>
        <v>7.4999999999999997E-3</v>
      </c>
      <c r="AR425" s="182">
        <f t="shared" si="451"/>
        <v>7.5000000000000002E-4</v>
      </c>
      <c r="AS425" s="183">
        <f t="shared" si="452"/>
        <v>0.25</v>
      </c>
      <c r="AT425" s="183">
        <f t="shared" si="453"/>
        <v>6.4562499999999995E-2</v>
      </c>
      <c r="AU425" s="182">
        <f>10068.2*J425*POWER(10,-6)</f>
        <v>2.5170500000000003E-3</v>
      </c>
      <c r="AV425" s="183">
        <f t="shared" si="454"/>
        <v>0.32532954999999997</v>
      </c>
      <c r="AW425" s="184">
        <f t="shared" si="455"/>
        <v>0</v>
      </c>
      <c r="AX425" s="184">
        <f t="shared" si="456"/>
        <v>3.4999999999999998E-7</v>
      </c>
      <c r="AY425" s="184">
        <f t="shared" si="457"/>
        <v>1.1386534249999998E-7</v>
      </c>
    </row>
    <row r="426" spans="1:51" s="179" customFormat="1" x14ac:dyDescent="0.3">
      <c r="A426" s="169" t="s">
        <v>22</v>
      </c>
      <c r="B426" s="169" t="str">
        <f>B422</f>
        <v>Насос центробежный (8713P0001A)</v>
      </c>
      <c r="C426" s="171" t="s">
        <v>519</v>
      </c>
      <c r="D426" s="172" t="s">
        <v>518</v>
      </c>
      <c r="E426" s="185">
        <f>E424</f>
        <v>1.0000000000000001E-5</v>
      </c>
      <c r="F426" s="186">
        <f>F422</f>
        <v>1</v>
      </c>
      <c r="G426" s="169">
        <v>3.3249999999999995E-2</v>
      </c>
      <c r="H426" s="174">
        <f t="shared" si="447"/>
        <v>3.3249999999999999E-7</v>
      </c>
      <c r="I426" s="187">
        <f>0.15*I422</f>
        <v>0.25</v>
      </c>
      <c r="J426" s="187">
        <v>0.01</v>
      </c>
      <c r="K426" s="190" t="s">
        <v>180</v>
      </c>
      <c r="L426" s="191">
        <v>3</v>
      </c>
      <c r="M426" s="179" t="str">
        <f t="shared" si="448"/>
        <v>С5</v>
      </c>
      <c r="N426" s="179" t="str">
        <f t="shared" si="449"/>
        <v>Насос центробежный (8713P0001A)</v>
      </c>
      <c r="O426" s="179" t="str">
        <f t="shared" si="450"/>
        <v>Частичное-вспышка</v>
      </c>
      <c r="P426" s="179" t="s">
        <v>83</v>
      </c>
      <c r="Q426" s="179" t="s">
        <v>83</v>
      </c>
      <c r="R426" s="179" t="s">
        <v>83</v>
      </c>
      <c r="S426" s="179" t="s">
        <v>83</v>
      </c>
      <c r="T426" s="179" t="s">
        <v>83</v>
      </c>
      <c r="U426" s="179" t="s">
        <v>83</v>
      </c>
      <c r="V426" s="179" t="s">
        <v>83</v>
      </c>
      <c r="W426" s="179" t="s">
        <v>83</v>
      </c>
      <c r="X426" s="179" t="s">
        <v>83</v>
      </c>
      <c r="Y426" s="179" t="s">
        <v>83</v>
      </c>
      <c r="Z426" s="179" t="s">
        <v>83</v>
      </c>
      <c r="AA426" s="179" t="s">
        <v>83</v>
      </c>
      <c r="AB426" s="179" t="s">
        <v>83</v>
      </c>
      <c r="AC426" s="179" t="s">
        <v>83</v>
      </c>
      <c r="AD426" s="179" t="s">
        <v>83</v>
      </c>
      <c r="AE426" s="179" t="s">
        <v>83</v>
      </c>
      <c r="AF426" s="179" t="s">
        <v>83</v>
      </c>
      <c r="AG426" s="179" t="s">
        <v>83</v>
      </c>
      <c r="AH426" s="179" t="s">
        <v>83</v>
      </c>
      <c r="AI426" s="179" t="s">
        <v>83</v>
      </c>
      <c r="AJ426" s="179">
        <v>0</v>
      </c>
      <c r="AK426" s="179">
        <v>1</v>
      </c>
      <c r="AL426" s="179">
        <f>0.1*$AL$2</f>
        <v>7.5000000000000002E-4</v>
      </c>
      <c r="AM426" s="179">
        <f>AM422</f>
        <v>2.7E-2</v>
      </c>
      <c r="AN426" s="179">
        <f>ROUNDUP(AN422/3,0)</f>
        <v>1</v>
      </c>
      <c r="AQ426" s="182">
        <f>AM426*I426+AL426</f>
        <v>7.4999999999999997E-3</v>
      </c>
      <c r="AR426" s="182">
        <f t="shared" si="451"/>
        <v>7.5000000000000002E-4</v>
      </c>
      <c r="AS426" s="183">
        <f t="shared" si="452"/>
        <v>0.25</v>
      </c>
      <c r="AT426" s="183">
        <f t="shared" si="453"/>
        <v>6.4562499999999995E-2</v>
      </c>
      <c r="AU426" s="182">
        <f>10068.2*J426*POWER(10,-6)*10</f>
        <v>1.0068200000000001E-3</v>
      </c>
      <c r="AV426" s="183">
        <f t="shared" si="454"/>
        <v>0.32381931999999997</v>
      </c>
      <c r="AW426" s="184">
        <f t="shared" si="455"/>
        <v>0</v>
      </c>
      <c r="AX426" s="184">
        <f t="shared" si="456"/>
        <v>3.3249999999999999E-7</v>
      </c>
      <c r="AY426" s="184">
        <f t="shared" si="457"/>
        <v>1.0766992389999999E-7</v>
      </c>
    </row>
    <row r="427" spans="1:51" s="179" customFormat="1" ht="15" thickBot="1" x14ac:dyDescent="0.35">
      <c r="A427" s="169" t="s">
        <v>23</v>
      </c>
      <c r="B427" s="169" t="str">
        <f>B422</f>
        <v>Насос центробежный (8713P0001A)</v>
      </c>
      <c r="C427" s="171" t="s">
        <v>231</v>
      </c>
      <c r="D427" s="172" t="s">
        <v>61</v>
      </c>
      <c r="E427" s="185">
        <f>E425</f>
        <v>1.0000000000000001E-5</v>
      </c>
      <c r="F427" s="186">
        <f>F422</f>
        <v>1</v>
      </c>
      <c r="G427" s="169">
        <v>0.63174999999999992</v>
      </c>
      <c r="H427" s="174">
        <f t="shared" si="447"/>
        <v>6.3175000000000001E-6</v>
      </c>
      <c r="I427" s="187">
        <f>0.15*I422</f>
        <v>0.25</v>
      </c>
      <c r="J427" s="169">
        <v>0</v>
      </c>
      <c r="K427" s="192" t="s">
        <v>191</v>
      </c>
      <c r="L427" s="192">
        <v>16</v>
      </c>
      <c r="M427" s="179" t="str">
        <f t="shared" si="448"/>
        <v>С6</v>
      </c>
      <c r="N427" s="179" t="str">
        <f t="shared" si="449"/>
        <v>Насос центробежный (8713P0001A)</v>
      </c>
      <c r="O427" s="179" t="str">
        <f t="shared" si="450"/>
        <v>Частичное-ликвидация</v>
      </c>
      <c r="P427" s="179" t="s">
        <v>83</v>
      </c>
      <c r="Q427" s="179" t="s">
        <v>83</v>
      </c>
      <c r="R427" s="179" t="s">
        <v>83</v>
      </c>
      <c r="S427" s="179" t="s">
        <v>83</v>
      </c>
      <c r="T427" s="179" t="s">
        <v>83</v>
      </c>
      <c r="U427" s="179" t="s">
        <v>83</v>
      </c>
      <c r="V427" s="179" t="s">
        <v>83</v>
      </c>
      <c r="W427" s="179" t="s">
        <v>83</v>
      </c>
      <c r="X427" s="179" t="s">
        <v>83</v>
      </c>
      <c r="Y427" s="179" t="s">
        <v>83</v>
      </c>
      <c r="Z427" s="179" t="s">
        <v>83</v>
      </c>
      <c r="AA427" s="179" t="s">
        <v>83</v>
      </c>
      <c r="AB427" s="179" t="s">
        <v>83</v>
      </c>
      <c r="AC427" s="179" t="s">
        <v>83</v>
      </c>
      <c r="AD427" s="179" t="s">
        <v>83</v>
      </c>
      <c r="AE427" s="179" t="s">
        <v>83</v>
      </c>
      <c r="AF427" s="179" t="s">
        <v>83</v>
      </c>
      <c r="AG427" s="179" t="s">
        <v>83</v>
      </c>
      <c r="AH427" s="179" t="s">
        <v>83</v>
      </c>
      <c r="AI427" s="179" t="s">
        <v>83</v>
      </c>
      <c r="AJ427" s="179">
        <v>0</v>
      </c>
      <c r="AK427" s="179">
        <v>0</v>
      </c>
      <c r="AL427" s="179">
        <f>0.1*$AL$2</f>
        <v>7.5000000000000002E-4</v>
      </c>
      <c r="AM427" s="179">
        <f>AM422</f>
        <v>2.7E-2</v>
      </c>
      <c r="AN427" s="179">
        <f>ROUNDUP(AN422/3,0)</f>
        <v>1</v>
      </c>
      <c r="AQ427" s="182">
        <f>AM427*I427*0.1+AL427</f>
        <v>1.4250000000000001E-3</v>
      </c>
      <c r="AR427" s="182">
        <f t="shared" si="451"/>
        <v>1.4250000000000002E-4</v>
      </c>
      <c r="AS427" s="183">
        <f t="shared" si="452"/>
        <v>0</v>
      </c>
      <c r="AT427" s="183">
        <f t="shared" si="453"/>
        <v>3.9187500000000002E-4</v>
      </c>
      <c r="AU427" s="182">
        <f>1333*J426*POWER(10,-6)</f>
        <v>1.3329999999999999E-5</v>
      </c>
      <c r="AV427" s="183">
        <f t="shared" si="454"/>
        <v>1.9727049999999999E-3</v>
      </c>
      <c r="AW427" s="184">
        <f t="shared" si="455"/>
        <v>0</v>
      </c>
      <c r="AX427" s="184">
        <f t="shared" si="456"/>
        <v>0</v>
      </c>
      <c r="AY427" s="184">
        <f t="shared" si="457"/>
        <v>1.24625638375E-8</v>
      </c>
    </row>
    <row r="428" spans="1:51" s="179" customFormat="1" x14ac:dyDescent="0.3">
      <c r="A428" s="180"/>
      <c r="B428" s="180"/>
      <c r="D428" s="271"/>
      <c r="E428" s="272"/>
      <c r="F428" s="273"/>
      <c r="G428" s="180"/>
      <c r="H428" s="184"/>
      <c r="I428" s="183"/>
      <c r="J428" s="180"/>
      <c r="K428" s="180"/>
      <c r="L428" s="180"/>
      <c r="AQ428" s="182"/>
      <c r="AR428" s="182"/>
      <c r="AS428" s="183"/>
      <c r="AT428" s="183"/>
      <c r="AU428" s="182"/>
      <c r="AV428" s="183"/>
      <c r="AW428" s="184"/>
      <c r="AX428" s="184"/>
      <c r="AY428" s="184"/>
    </row>
    <row r="429" spans="1:51" s="179" customFormat="1" x14ac:dyDescent="0.3">
      <c r="A429" s="180"/>
      <c r="B429" s="180"/>
      <c r="D429" s="271"/>
      <c r="E429" s="272"/>
      <c r="F429" s="273"/>
      <c r="G429" s="180"/>
      <c r="H429" s="184"/>
      <c r="I429" s="183"/>
      <c r="J429" s="180"/>
      <c r="K429" s="180"/>
      <c r="L429" s="180"/>
      <c r="AQ429" s="182"/>
      <c r="AR429" s="182"/>
      <c r="AS429" s="183"/>
      <c r="AT429" s="183"/>
      <c r="AU429" s="182"/>
      <c r="AV429" s="183"/>
      <c r="AW429" s="184"/>
      <c r="AX429" s="184"/>
      <c r="AY429" s="184"/>
    </row>
    <row r="430" spans="1:51" s="179" customFormat="1" x14ac:dyDescent="0.3">
      <c r="A430" s="180"/>
      <c r="B430" s="180"/>
      <c r="D430" s="271"/>
      <c r="E430" s="272"/>
      <c r="F430" s="273"/>
      <c r="G430" s="180"/>
      <c r="H430" s="184"/>
      <c r="I430" s="183"/>
      <c r="J430" s="180"/>
      <c r="K430" s="180"/>
      <c r="L430" s="180"/>
      <c r="AQ430" s="182"/>
      <c r="AR430" s="182"/>
      <c r="AS430" s="183"/>
      <c r="AT430" s="183"/>
      <c r="AU430" s="182"/>
      <c r="AV430" s="183"/>
      <c r="AW430" s="184"/>
      <c r="AX430" s="184"/>
      <c r="AY430" s="184"/>
    </row>
    <row r="431" spans="1:51" ht="15" thickBot="1" x14ac:dyDescent="0.35"/>
    <row r="432" spans="1:51" s="179" customFormat="1" ht="15" thickBot="1" x14ac:dyDescent="0.35">
      <c r="A432" s="169" t="s">
        <v>18</v>
      </c>
      <c r="B432" s="170" t="s">
        <v>634</v>
      </c>
      <c r="C432" s="171" t="s">
        <v>196</v>
      </c>
      <c r="D432" s="172" t="s">
        <v>59</v>
      </c>
      <c r="E432" s="173">
        <v>1.0000000000000001E-5</v>
      </c>
      <c r="F432" s="170">
        <v>1</v>
      </c>
      <c r="G432" s="169">
        <v>0.1</v>
      </c>
      <c r="H432" s="174">
        <f t="shared" ref="H432:H437" si="458">E432*F432*G432</f>
        <v>1.0000000000000002E-6</v>
      </c>
      <c r="I432" s="175">
        <v>703</v>
      </c>
      <c r="J432" s="176">
        <f>I432</f>
        <v>703</v>
      </c>
      <c r="K432" s="177" t="s">
        <v>175</v>
      </c>
      <c r="L432" s="178">
        <v>1105</v>
      </c>
      <c r="M432" s="179" t="str">
        <f t="shared" ref="M432:M437" si="459">A432</f>
        <v>С1</v>
      </c>
      <c r="N432" s="179" t="str">
        <f t="shared" ref="N432:N437" si="460">B432</f>
        <v>Резервуар РВС (8708Т0001)</v>
      </c>
      <c r="O432" s="179" t="str">
        <f t="shared" ref="O432:O437" si="461">D432</f>
        <v>Полное-пожар</v>
      </c>
      <c r="P432" s="179">
        <v>47.1</v>
      </c>
      <c r="Q432" s="179">
        <v>64.099999999999994</v>
      </c>
      <c r="R432" s="179">
        <v>90.1</v>
      </c>
      <c r="S432" s="179">
        <v>161.69999999999999</v>
      </c>
      <c r="T432" s="179" t="s">
        <v>83</v>
      </c>
      <c r="U432" s="179" t="s">
        <v>83</v>
      </c>
      <c r="V432" s="179" t="s">
        <v>83</v>
      </c>
      <c r="W432" s="179" t="s">
        <v>83</v>
      </c>
      <c r="X432" s="179" t="s">
        <v>83</v>
      </c>
      <c r="Y432" s="179" t="s">
        <v>83</v>
      </c>
      <c r="Z432" s="179" t="s">
        <v>83</v>
      </c>
      <c r="AA432" s="179" t="s">
        <v>83</v>
      </c>
      <c r="AB432" s="179" t="s">
        <v>83</v>
      </c>
      <c r="AC432" s="179" t="s">
        <v>83</v>
      </c>
      <c r="AD432" s="179" t="s">
        <v>83</v>
      </c>
      <c r="AE432" s="179" t="s">
        <v>83</v>
      </c>
      <c r="AF432" s="179" t="s">
        <v>83</v>
      </c>
      <c r="AG432" s="179" t="s">
        <v>83</v>
      </c>
      <c r="AH432" s="179" t="s">
        <v>83</v>
      </c>
      <c r="AI432" s="179" t="s">
        <v>83</v>
      </c>
      <c r="AJ432" s="180">
        <v>1</v>
      </c>
      <c r="AK432" s="180">
        <v>2</v>
      </c>
      <c r="AL432" s="181">
        <v>0.75</v>
      </c>
      <c r="AM432" s="181">
        <v>2.7E-2</v>
      </c>
      <c r="AN432" s="181">
        <v>3</v>
      </c>
      <c r="AQ432" s="182">
        <f>AM432*I432+AL432</f>
        <v>19.730999999999998</v>
      </c>
      <c r="AR432" s="182">
        <f t="shared" ref="AR432:AR437" si="462">0.1*AQ432</f>
        <v>1.9730999999999999</v>
      </c>
      <c r="AS432" s="183">
        <f t="shared" ref="AS432:AS437" si="463">AJ432*3+0.25*AK432</f>
        <v>3.5</v>
      </c>
      <c r="AT432" s="183">
        <f t="shared" ref="AT432:AT437" si="464">SUM(AQ432:AS432)/4</f>
        <v>6.3010249999999992</v>
      </c>
      <c r="AU432" s="182">
        <f>10068.2*J432*POWER(10,-6)</f>
        <v>7.0779446000000004</v>
      </c>
      <c r="AV432" s="183">
        <f t="shared" ref="AV432:AV437" si="465">AU432+AT432+AS432+AR432+AQ432</f>
        <v>38.583069599999995</v>
      </c>
      <c r="AW432" s="184">
        <f t="shared" ref="AW432:AW437" si="466">AJ432*H432</f>
        <v>1.0000000000000002E-6</v>
      </c>
      <c r="AX432" s="184">
        <f t="shared" ref="AX432:AX437" si="467">H432*AK432</f>
        <v>2.0000000000000003E-6</v>
      </c>
      <c r="AY432" s="184">
        <f t="shared" ref="AY432:AY437" si="468">H432*AV432</f>
        <v>3.8583069599999998E-5</v>
      </c>
    </row>
    <row r="433" spans="1:51" s="179" customFormat="1" ht="15" thickBot="1" x14ac:dyDescent="0.35">
      <c r="A433" s="169" t="s">
        <v>19</v>
      </c>
      <c r="B433" s="169" t="str">
        <f>B432</f>
        <v>Резервуар РВС (8708Т0001)</v>
      </c>
      <c r="C433" s="171" t="s">
        <v>197</v>
      </c>
      <c r="D433" s="172" t="s">
        <v>62</v>
      </c>
      <c r="E433" s="185">
        <f>E432</f>
        <v>1.0000000000000001E-5</v>
      </c>
      <c r="F433" s="186">
        <f>F432</f>
        <v>1</v>
      </c>
      <c r="G433" s="169">
        <v>0.18000000000000002</v>
      </c>
      <c r="H433" s="174">
        <f t="shared" si="458"/>
        <v>1.8000000000000003E-6</v>
      </c>
      <c r="I433" s="187">
        <f>I432</f>
        <v>703</v>
      </c>
      <c r="J433" s="418">
        <f>POWER(10,-6)*55*SQRT(100)*3600*L432/1000*0.05</f>
        <v>0.10939499999999998</v>
      </c>
      <c r="K433" s="177" t="s">
        <v>176</v>
      </c>
      <c r="L433" s="178">
        <v>0</v>
      </c>
      <c r="M433" s="179" t="str">
        <f t="shared" si="459"/>
        <v>С2</v>
      </c>
      <c r="N433" s="179" t="str">
        <f t="shared" si="460"/>
        <v>Резервуар РВС (8708Т0001)</v>
      </c>
      <c r="O433" s="179" t="str">
        <f t="shared" si="461"/>
        <v>Полное-взрыв</v>
      </c>
      <c r="P433" s="179" t="s">
        <v>83</v>
      </c>
      <c r="Q433" s="179" t="s">
        <v>83</v>
      </c>
      <c r="R433" s="179" t="s">
        <v>83</v>
      </c>
      <c r="S433" s="179" t="s">
        <v>83</v>
      </c>
      <c r="T433" s="179">
        <v>0</v>
      </c>
      <c r="U433" s="179">
        <v>0</v>
      </c>
      <c r="V433" s="179">
        <v>64.599999999999994</v>
      </c>
      <c r="W433" s="179">
        <v>216.1</v>
      </c>
      <c r="X433" s="179">
        <v>562.6</v>
      </c>
      <c r="Y433" s="179" t="s">
        <v>83</v>
      </c>
      <c r="Z433" s="179" t="s">
        <v>83</v>
      </c>
      <c r="AA433" s="179" t="s">
        <v>83</v>
      </c>
      <c r="AB433" s="179" t="s">
        <v>83</v>
      </c>
      <c r="AC433" s="179" t="s">
        <v>83</v>
      </c>
      <c r="AD433" s="179" t="s">
        <v>83</v>
      </c>
      <c r="AE433" s="179" t="s">
        <v>83</v>
      </c>
      <c r="AF433" s="179" t="s">
        <v>83</v>
      </c>
      <c r="AG433" s="179" t="s">
        <v>83</v>
      </c>
      <c r="AH433" s="179" t="s">
        <v>83</v>
      </c>
      <c r="AI433" s="179" t="s">
        <v>83</v>
      </c>
      <c r="AJ433" s="180">
        <v>2</v>
      </c>
      <c r="AK433" s="180">
        <v>2</v>
      </c>
      <c r="AL433" s="179">
        <f>AL432</f>
        <v>0.75</v>
      </c>
      <c r="AM433" s="179">
        <f>AM432</f>
        <v>2.7E-2</v>
      </c>
      <c r="AN433" s="179">
        <f>AN432</f>
        <v>3</v>
      </c>
      <c r="AQ433" s="182">
        <f>AM433*I433+AL433</f>
        <v>19.730999999999998</v>
      </c>
      <c r="AR433" s="182">
        <f t="shared" si="462"/>
        <v>1.9730999999999999</v>
      </c>
      <c r="AS433" s="183">
        <f t="shared" si="463"/>
        <v>6.5</v>
      </c>
      <c r="AT433" s="183">
        <f t="shared" si="464"/>
        <v>7.0510249999999992</v>
      </c>
      <c r="AU433" s="182">
        <f>10068.2*J433*POWER(10,-6)*10</f>
        <v>1.1014107389999998E-2</v>
      </c>
      <c r="AV433" s="183">
        <f t="shared" si="465"/>
        <v>35.266139107389996</v>
      </c>
      <c r="AW433" s="184">
        <f t="shared" si="466"/>
        <v>3.6000000000000007E-6</v>
      </c>
      <c r="AX433" s="184">
        <f t="shared" si="467"/>
        <v>3.6000000000000007E-6</v>
      </c>
      <c r="AY433" s="184">
        <f t="shared" si="468"/>
        <v>6.3479050393302005E-5</v>
      </c>
    </row>
    <row r="434" spans="1:51" s="179" customFormat="1" x14ac:dyDescent="0.3">
      <c r="A434" s="169" t="s">
        <v>20</v>
      </c>
      <c r="B434" s="169" t="str">
        <f>B432</f>
        <v>Резервуар РВС (8708Т0001)</v>
      </c>
      <c r="C434" s="171" t="s">
        <v>198</v>
      </c>
      <c r="D434" s="172" t="s">
        <v>60</v>
      </c>
      <c r="E434" s="185">
        <f>E432</f>
        <v>1.0000000000000001E-5</v>
      </c>
      <c r="F434" s="186">
        <f>F432</f>
        <v>1</v>
      </c>
      <c r="G434" s="169">
        <v>0.72000000000000008</v>
      </c>
      <c r="H434" s="174">
        <f t="shared" si="458"/>
        <v>7.2000000000000014E-6</v>
      </c>
      <c r="I434" s="187">
        <f>I432</f>
        <v>703</v>
      </c>
      <c r="J434" s="189">
        <v>0</v>
      </c>
      <c r="K434" s="177" t="s">
        <v>177</v>
      </c>
      <c r="L434" s="178">
        <v>0</v>
      </c>
      <c r="M434" s="179" t="str">
        <f t="shared" si="459"/>
        <v>С3</v>
      </c>
      <c r="N434" s="179" t="str">
        <f t="shared" si="460"/>
        <v>Резервуар РВС (8708Т0001)</v>
      </c>
      <c r="O434" s="179" t="str">
        <f t="shared" si="461"/>
        <v>Полное-ликвидация</v>
      </c>
      <c r="P434" s="179" t="s">
        <v>83</v>
      </c>
      <c r="Q434" s="179" t="s">
        <v>83</v>
      </c>
      <c r="R434" s="179" t="s">
        <v>83</v>
      </c>
      <c r="S434" s="179" t="s">
        <v>83</v>
      </c>
      <c r="T434" s="179" t="s">
        <v>83</v>
      </c>
      <c r="U434" s="179" t="s">
        <v>83</v>
      </c>
      <c r="V434" s="179" t="s">
        <v>83</v>
      </c>
      <c r="W434" s="179" t="s">
        <v>83</v>
      </c>
      <c r="X434" s="179" t="s">
        <v>83</v>
      </c>
      <c r="Y434" s="179" t="s">
        <v>83</v>
      </c>
      <c r="Z434" s="179" t="s">
        <v>83</v>
      </c>
      <c r="AA434" s="179" t="s">
        <v>83</v>
      </c>
      <c r="AB434" s="179" t="s">
        <v>83</v>
      </c>
      <c r="AC434" s="179" t="s">
        <v>83</v>
      </c>
      <c r="AD434" s="179" t="s">
        <v>83</v>
      </c>
      <c r="AE434" s="179" t="s">
        <v>83</v>
      </c>
      <c r="AF434" s="179" t="s">
        <v>83</v>
      </c>
      <c r="AG434" s="179" t="s">
        <v>83</v>
      </c>
      <c r="AH434" s="179" t="s">
        <v>83</v>
      </c>
      <c r="AI434" s="179" t="s">
        <v>83</v>
      </c>
      <c r="AJ434" s="179">
        <v>0</v>
      </c>
      <c r="AK434" s="179">
        <v>0</v>
      </c>
      <c r="AL434" s="179">
        <f>AL432</f>
        <v>0.75</v>
      </c>
      <c r="AM434" s="179">
        <f>AM432</f>
        <v>2.7E-2</v>
      </c>
      <c r="AN434" s="179">
        <f>AN432</f>
        <v>3</v>
      </c>
      <c r="AQ434" s="182">
        <f>AM434*I434*0.1+AL434</f>
        <v>2.6480999999999999</v>
      </c>
      <c r="AR434" s="182">
        <f t="shared" si="462"/>
        <v>0.26480999999999999</v>
      </c>
      <c r="AS434" s="183">
        <f t="shared" si="463"/>
        <v>0</v>
      </c>
      <c r="AT434" s="183">
        <f t="shared" si="464"/>
        <v>0.72822750000000003</v>
      </c>
      <c r="AU434" s="182">
        <f>1333*J433*POWER(10,-6)</f>
        <v>1.4582353499999995E-4</v>
      </c>
      <c r="AV434" s="183">
        <f t="shared" si="465"/>
        <v>3.6412833235350002</v>
      </c>
      <c r="AW434" s="184">
        <f t="shared" si="466"/>
        <v>0</v>
      </c>
      <c r="AX434" s="184">
        <f t="shared" si="467"/>
        <v>0</v>
      </c>
      <c r="AY434" s="184">
        <f t="shared" si="468"/>
        <v>2.6217239929452008E-5</v>
      </c>
    </row>
    <row r="435" spans="1:51" s="179" customFormat="1" x14ac:dyDescent="0.3">
      <c r="A435" s="169" t="s">
        <v>21</v>
      </c>
      <c r="B435" s="169" t="str">
        <f>B432</f>
        <v>Резервуар РВС (8708Т0001)</v>
      </c>
      <c r="C435" s="171" t="s">
        <v>199</v>
      </c>
      <c r="D435" s="172" t="s">
        <v>84</v>
      </c>
      <c r="E435" s="173">
        <v>1E-4</v>
      </c>
      <c r="F435" s="186">
        <f>F432</f>
        <v>1</v>
      </c>
      <c r="G435" s="169">
        <v>0.1</v>
      </c>
      <c r="H435" s="174">
        <f t="shared" si="458"/>
        <v>1.0000000000000001E-5</v>
      </c>
      <c r="I435" s="187">
        <f>0.15*I432</f>
        <v>105.45</v>
      </c>
      <c r="J435" s="176">
        <f>I435</f>
        <v>105.45</v>
      </c>
      <c r="K435" s="190" t="s">
        <v>179</v>
      </c>
      <c r="L435" s="191">
        <v>45390</v>
      </c>
      <c r="M435" s="179" t="str">
        <f t="shared" si="459"/>
        <v>С4</v>
      </c>
      <c r="N435" s="179" t="str">
        <f t="shared" si="460"/>
        <v>Резервуар РВС (8708Т0001)</v>
      </c>
      <c r="O435" s="179" t="str">
        <f t="shared" si="461"/>
        <v>Частичное-пожар</v>
      </c>
      <c r="P435" s="179">
        <v>18.600000000000001</v>
      </c>
      <c r="Q435" s="179">
        <v>25.8</v>
      </c>
      <c r="R435" s="179">
        <v>36.9</v>
      </c>
      <c r="S435" s="179">
        <v>68.8</v>
      </c>
      <c r="T435" s="179" t="s">
        <v>83</v>
      </c>
      <c r="U435" s="179" t="s">
        <v>83</v>
      </c>
      <c r="V435" s="179" t="s">
        <v>83</v>
      </c>
      <c r="W435" s="179" t="s">
        <v>83</v>
      </c>
      <c r="X435" s="179" t="s">
        <v>83</v>
      </c>
      <c r="Y435" s="179" t="s">
        <v>83</v>
      </c>
      <c r="Z435" s="179" t="s">
        <v>83</v>
      </c>
      <c r="AA435" s="179" t="s">
        <v>83</v>
      </c>
      <c r="AB435" s="179" t="s">
        <v>83</v>
      </c>
      <c r="AC435" s="179" t="s">
        <v>83</v>
      </c>
      <c r="AD435" s="179" t="s">
        <v>83</v>
      </c>
      <c r="AE435" s="179" t="s">
        <v>83</v>
      </c>
      <c r="AF435" s="179" t="s">
        <v>83</v>
      </c>
      <c r="AG435" s="179" t="s">
        <v>83</v>
      </c>
      <c r="AH435" s="179" t="s">
        <v>83</v>
      </c>
      <c r="AI435" s="179" t="s">
        <v>83</v>
      </c>
      <c r="AJ435" s="179">
        <v>0</v>
      </c>
      <c r="AK435" s="179">
        <v>2</v>
      </c>
      <c r="AL435" s="179">
        <f>0.1*$AL$2</f>
        <v>7.5000000000000002E-4</v>
      </c>
      <c r="AM435" s="179">
        <f>AM432</f>
        <v>2.7E-2</v>
      </c>
      <c r="AN435" s="179">
        <f>ROUNDUP(AN432/3,0)</f>
        <v>1</v>
      </c>
      <c r="AQ435" s="182">
        <f>AM435*I435+AL435</f>
        <v>2.8479000000000001</v>
      </c>
      <c r="AR435" s="182">
        <f t="shared" si="462"/>
        <v>0.28479000000000004</v>
      </c>
      <c r="AS435" s="183">
        <f t="shared" si="463"/>
        <v>0.5</v>
      </c>
      <c r="AT435" s="183">
        <f t="shared" si="464"/>
        <v>0.90817250000000005</v>
      </c>
      <c r="AU435" s="182">
        <f>10068.2*J435*POWER(10,-6)</f>
        <v>1.0616916900000002</v>
      </c>
      <c r="AV435" s="183">
        <f t="shared" si="465"/>
        <v>5.6025541900000002</v>
      </c>
      <c r="AW435" s="184">
        <f t="shared" si="466"/>
        <v>0</v>
      </c>
      <c r="AX435" s="184">
        <f t="shared" si="467"/>
        <v>2.0000000000000002E-5</v>
      </c>
      <c r="AY435" s="184">
        <f t="shared" si="468"/>
        <v>5.6025541900000004E-5</v>
      </c>
    </row>
    <row r="436" spans="1:51" s="179" customFormat="1" x14ac:dyDescent="0.3">
      <c r="A436" s="169" t="s">
        <v>22</v>
      </c>
      <c r="B436" s="169" t="str">
        <f>B432</f>
        <v>Резервуар РВС (8708Т0001)</v>
      </c>
      <c r="C436" s="171" t="s">
        <v>200</v>
      </c>
      <c r="D436" s="172" t="s">
        <v>165</v>
      </c>
      <c r="E436" s="185">
        <f>E435</f>
        <v>1E-4</v>
      </c>
      <c r="F436" s="186">
        <f>F432</f>
        <v>1</v>
      </c>
      <c r="G436" s="169">
        <v>4.5000000000000005E-2</v>
      </c>
      <c r="H436" s="174">
        <f t="shared" si="458"/>
        <v>4.500000000000001E-6</v>
      </c>
      <c r="I436" s="187">
        <f>0.15*I432</f>
        <v>105.45</v>
      </c>
      <c r="J436" s="176">
        <f>0.15*J433</f>
        <v>1.6409249999999997E-2</v>
      </c>
      <c r="K436" s="190" t="s">
        <v>180</v>
      </c>
      <c r="L436" s="191">
        <v>3</v>
      </c>
      <c r="M436" s="179" t="str">
        <f t="shared" si="459"/>
        <v>С5</v>
      </c>
      <c r="N436" s="179" t="str">
        <f t="shared" si="460"/>
        <v>Резервуар РВС (8708Т0001)</v>
      </c>
      <c r="O436" s="179" t="str">
        <f t="shared" si="461"/>
        <v>Частичное-пожар-вспышка</v>
      </c>
      <c r="P436" s="179" t="s">
        <v>83</v>
      </c>
      <c r="Q436" s="179" t="s">
        <v>83</v>
      </c>
      <c r="R436" s="179" t="s">
        <v>83</v>
      </c>
      <c r="S436" s="179" t="s">
        <v>83</v>
      </c>
      <c r="T436" s="179" t="s">
        <v>83</v>
      </c>
      <c r="U436" s="179" t="s">
        <v>83</v>
      </c>
      <c r="V436" s="179" t="s">
        <v>83</v>
      </c>
      <c r="W436" s="179" t="s">
        <v>83</v>
      </c>
      <c r="X436" s="179" t="s">
        <v>83</v>
      </c>
      <c r="Y436" s="179" t="s">
        <v>83</v>
      </c>
      <c r="Z436" s="179" t="s">
        <v>83</v>
      </c>
      <c r="AA436" s="179">
        <v>15.35</v>
      </c>
      <c r="AB436" s="179">
        <v>18.420000000000002</v>
      </c>
      <c r="AC436" s="179" t="s">
        <v>83</v>
      </c>
      <c r="AD436" s="179" t="s">
        <v>83</v>
      </c>
      <c r="AE436" s="179" t="s">
        <v>83</v>
      </c>
      <c r="AF436" s="179" t="s">
        <v>83</v>
      </c>
      <c r="AG436" s="179" t="s">
        <v>83</v>
      </c>
      <c r="AH436" s="179" t="s">
        <v>83</v>
      </c>
      <c r="AI436" s="179" t="s">
        <v>83</v>
      </c>
      <c r="AJ436" s="179">
        <v>0</v>
      </c>
      <c r="AK436" s="179">
        <v>1</v>
      </c>
      <c r="AL436" s="179">
        <f>0.1*$AL$2</f>
        <v>7.5000000000000002E-4</v>
      </c>
      <c r="AM436" s="179">
        <f>AM432</f>
        <v>2.7E-2</v>
      </c>
      <c r="AN436" s="179">
        <f>ROUNDUP(AN432/3,0)</f>
        <v>1</v>
      </c>
      <c r="AQ436" s="182">
        <f>AM436*I436+AL436</f>
        <v>2.8479000000000001</v>
      </c>
      <c r="AR436" s="182">
        <f t="shared" si="462"/>
        <v>0.28479000000000004</v>
      </c>
      <c r="AS436" s="183">
        <f t="shared" si="463"/>
        <v>0.25</v>
      </c>
      <c r="AT436" s="183">
        <f t="shared" si="464"/>
        <v>0.84567250000000005</v>
      </c>
      <c r="AU436" s="182">
        <f>10068.2*J436*POWER(10,-6)*10</f>
        <v>1.6521161084999997E-3</v>
      </c>
      <c r="AV436" s="183">
        <f t="shared" si="465"/>
        <v>4.2300146161084999</v>
      </c>
      <c r="AW436" s="184">
        <f t="shared" si="466"/>
        <v>0</v>
      </c>
      <c r="AX436" s="184">
        <f t="shared" si="467"/>
        <v>4.500000000000001E-6</v>
      </c>
      <c r="AY436" s="184">
        <f t="shared" si="468"/>
        <v>1.9035065772488255E-5</v>
      </c>
    </row>
    <row r="437" spans="1:51" s="179" customFormat="1" ht="15" thickBot="1" x14ac:dyDescent="0.35">
      <c r="A437" s="169" t="s">
        <v>23</v>
      </c>
      <c r="B437" s="169" t="str">
        <f>B432</f>
        <v>Резервуар РВС (8708Т0001)</v>
      </c>
      <c r="C437" s="171" t="s">
        <v>201</v>
      </c>
      <c r="D437" s="172" t="s">
        <v>61</v>
      </c>
      <c r="E437" s="185">
        <f>E435</f>
        <v>1E-4</v>
      </c>
      <c r="F437" s="186">
        <f>F432</f>
        <v>1</v>
      </c>
      <c r="G437" s="169">
        <v>0.85499999999999998</v>
      </c>
      <c r="H437" s="174">
        <f t="shared" si="458"/>
        <v>8.5500000000000005E-5</v>
      </c>
      <c r="I437" s="187">
        <f>0.15*I432</f>
        <v>105.45</v>
      </c>
      <c r="J437" s="189">
        <v>0</v>
      </c>
      <c r="K437" s="192" t="s">
        <v>191</v>
      </c>
      <c r="L437" s="192">
        <v>9</v>
      </c>
      <c r="M437" s="179" t="str">
        <f t="shared" si="459"/>
        <v>С6</v>
      </c>
      <c r="N437" s="179" t="str">
        <f t="shared" si="460"/>
        <v>Резервуар РВС (8708Т0001)</v>
      </c>
      <c r="O437" s="179" t="str">
        <f t="shared" si="461"/>
        <v>Частичное-ликвидация</v>
      </c>
      <c r="P437" s="179" t="s">
        <v>83</v>
      </c>
      <c r="Q437" s="179" t="s">
        <v>83</v>
      </c>
      <c r="R437" s="179" t="s">
        <v>83</v>
      </c>
      <c r="S437" s="179" t="s">
        <v>83</v>
      </c>
      <c r="T437" s="179" t="s">
        <v>83</v>
      </c>
      <c r="U437" s="179" t="s">
        <v>83</v>
      </c>
      <c r="V437" s="179" t="s">
        <v>83</v>
      </c>
      <c r="W437" s="179" t="s">
        <v>83</v>
      </c>
      <c r="X437" s="179" t="s">
        <v>83</v>
      </c>
      <c r="Y437" s="179" t="s">
        <v>83</v>
      </c>
      <c r="Z437" s="179" t="s">
        <v>83</v>
      </c>
      <c r="AA437" s="179" t="s">
        <v>83</v>
      </c>
      <c r="AB437" s="179" t="s">
        <v>83</v>
      </c>
      <c r="AC437" s="179" t="s">
        <v>83</v>
      </c>
      <c r="AD437" s="179" t="s">
        <v>83</v>
      </c>
      <c r="AE437" s="179" t="s">
        <v>83</v>
      </c>
      <c r="AF437" s="179" t="s">
        <v>83</v>
      </c>
      <c r="AG437" s="179" t="s">
        <v>83</v>
      </c>
      <c r="AH437" s="179" t="s">
        <v>83</v>
      </c>
      <c r="AI437" s="179" t="s">
        <v>83</v>
      </c>
      <c r="AJ437" s="179">
        <v>0</v>
      </c>
      <c r="AK437" s="179">
        <v>0</v>
      </c>
      <c r="AL437" s="179">
        <f>0.1*$AL$2</f>
        <v>7.5000000000000002E-4</v>
      </c>
      <c r="AM437" s="179">
        <f>AM432</f>
        <v>2.7E-2</v>
      </c>
      <c r="AN437" s="179">
        <f>ROUNDUP(AN432/3,0)</f>
        <v>1</v>
      </c>
      <c r="AQ437" s="182">
        <f>AM437*I437*0.1+AL437</f>
        <v>0.28546499999999997</v>
      </c>
      <c r="AR437" s="182">
        <f t="shared" si="462"/>
        <v>2.8546499999999999E-2</v>
      </c>
      <c r="AS437" s="183">
        <f t="shared" si="463"/>
        <v>0</v>
      </c>
      <c r="AT437" s="183">
        <f t="shared" si="464"/>
        <v>7.8502874999999986E-2</v>
      </c>
      <c r="AU437" s="182">
        <f>1333*J436*POWER(10,-6)</f>
        <v>2.1873530249999994E-5</v>
      </c>
      <c r="AV437" s="183">
        <f t="shared" si="465"/>
        <v>0.39253624853024993</v>
      </c>
      <c r="AW437" s="184">
        <f t="shared" si="466"/>
        <v>0</v>
      </c>
      <c r="AX437" s="184">
        <f t="shared" si="467"/>
        <v>0</v>
      </c>
      <c r="AY437" s="184">
        <f t="shared" si="468"/>
        <v>3.3561849249336374E-5</v>
      </c>
    </row>
    <row r="438" spans="1:51" s="179" customFormat="1" x14ac:dyDescent="0.3">
      <c r="A438" s="180"/>
      <c r="B438" s="180"/>
      <c r="D438" s="271"/>
      <c r="E438" s="272"/>
      <c r="F438" s="273"/>
      <c r="G438" s="180"/>
      <c r="H438" s="184"/>
      <c r="I438" s="183"/>
      <c r="J438" s="180"/>
      <c r="K438" s="180"/>
      <c r="L438" s="180"/>
      <c r="AQ438" s="182"/>
      <c r="AR438" s="182"/>
      <c r="AS438" s="183"/>
      <c r="AT438" s="183"/>
      <c r="AU438" s="182"/>
      <c r="AV438" s="183"/>
      <c r="AW438" s="184"/>
      <c r="AX438" s="184"/>
      <c r="AY438" s="184"/>
    </row>
    <row r="439" spans="1:51" s="179" customFormat="1" x14ac:dyDescent="0.3">
      <c r="A439" s="180"/>
      <c r="B439" s="180"/>
      <c r="D439" s="271"/>
      <c r="E439" s="272"/>
      <c r="F439" s="273"/>
      <c r="G439" s="180"/>
      <c r="H439" s="184"/>
      <c r="I439" s="183"/>
      <c r="J439" s="180"/>
      <c r="K439" s="180"/>
      <c r="L439" s="180"/>
      <c r="AQ439" s="182"/>
      <c r="AR439" s="182"/>
      <c r="AS439" s="183"/>
      <c r="AT439" s="183"/>
      <c r="AU439" s="182"/>
      <c r="AV439" s="183"/>
      <c r="AW439" s="184"/>
      <c r="AX439" s="184"/>
      <c r="AY439" s="184"/>
    </row>
    <row r="440" spans="1:51" s="179" customFormat="1" x14ac:dyDescent="0.3">
      <c r="A440" s="180"/>
      <c r="B440" s="180"/>
      <c r="D440" s="271"/>
      <c r="E440" s="272"/>
      <c r="F440" s="273"/>
      <c r="G440" s="180"/>
      <c r="H440" s="184"/>
      <c r="I440" s="183"/>
      <c r="J440" s="180"/>
      <c r="K440" s="180"/>
      <c r="L440" s="180"/>
      <c r="AQ440" s="182"/>
      <c r="AR440" s="182"/>
      <c r="AS440" s="183"/>
      <c r="AT440" s="183"/>
      <c r="AU440" s="182"/>
      <c r="AV440" s="183"/>
      <c r="AW440" s="184"/>
      <c r="AX440" s="184"/>
      <c r="AY440" s="184"/>
    </row>
    <row r="441" spans="1:51" ht="15" thickBot="1" x14ac:dyDescent="0.35"/>
    <row r="442" spans="1:51" s="179" customFormat="1" ht="15" thickBot="1" x14ac:dyDescent="0.35">
      <c r="A442" s="169" t="s">
        <v>18</v>
      </c>
      <c r="B442" s="170" t="s">
        <v>635</v>
      </c>
      <c r="C442" s="171" t="s">
        <v>227</v>
      </c>
      <c r="D442" s="172" t="s">
        <v>183</v>
      </c>
      <c r="E442" s="173">
        <v>1.0000000000000001E-5</v>
      </c>
      <c r="F442" s="170">
        <v>1</v>
      </c>
      <c r="G442" s="169">
        <v>1.4999999999999999E-2</v>
      </c>
      <c r="H442" s="174">
        <f t="shared" ref="H442:H447" si="469">E442*F442*G442</f>
        <v>1.5000000000000002E-7</v>
      </c>
      <c r="I442" s="175">
        <f>(500/3600)*12</f>
        <v>1.6666666666666667</v>
      </c>
      <c r="J442" s="187">
        <f>I442</f>
        <v>1.6666666666666667</v>
      </c>
      <c r="K442" s="177" t="s">
        <v>175</v>
      </c>
      <c r="L442" s="178">
        <f>J442*150</f>
        <v>250</v>
      </c>
      <c r="M442" s="179" t="str">
        <f t="shared" ref="M442:M447" si="470">A442</f>
        <v>С1</v>
      </c>
      <c r="N442" s="179" t="str">
        <f t="shared" ref="N442:N447" si="471">B442</f>
        <v>Насос центробежный (8751P0001A)</v>
      </c>
      <c r="O442" s="179" t="str">
        <f t="shared" ref="O442:O447" si="472">D442</f>
        <v>Полное-факел</v>
      </c>
      <c r="P442" s="179" t="s">
        <v>83</v>
      </c>
      <c r="Q442" s="179" t="s">
        <v>83</v>
      </c>
      <c r="R442" s="179" t="s">
        <v>83</v>
      </c>
      <c r="S442" s="179" t="s">
        <v>83</v>
      </c>
      <c r="T442" s="179" t="s">
        <v>83</v>
      </c>
      <c r="U442" s="179" t="s">
        <v>83</v>
      </c>
      <c r="V442" s="179" t="s">
        <v>83</v>
      </c>
      <c r="W442" s="179" t="s">
        <v>83</v>
      </c>
      <c r="X442" s="179" t="s">
        <v>83</v>
      </c>
      <c r="Y442" s="179" t="s">
        <v>83</v>
      </c>
      <c r="Z442" s="179" t="s">
        <v>83</v>
      </c>
      <c r="AA442" s="179" t="s">
        <v>83</v>
      </c>
      <c r="AB442" s="179" t="s">
        <v>83</v>
      </c>
      <c r="AC442" s="179" t="s">
        <v>83</v>
      </c>
      <c r="AD442" s="179" t="s">
        <v>83</v>
      </c>
      <c r="AE442" s="179" t="s">
        <v>83</v>
      </c>
      <c r="AF442" s="179" t="s">
        <v>83</v>
      </c>
      <c r="AG442" s="179" t="s">
        <v>83</v>
      </c>
      <c r="AH442" s="179" t="s">
        <v>83</v>
      </c>
      <c r="AI442" s="179" t="s">
        <v>83</v>
      </c>
      <c r="AJ442" s="180">
        <v>1</v>
      </c>
      <c r="AK442" s="180">
        <v>1</v>
      </c>
      <c r="AL442" s="181">
        <v>0.75</v>
      </c>
      <c r="AM442" s="181">
        <v>2.7E-2</v>
      </c>
      <c r="AN442" s="181">
        <v>3</v>
      </c>
      <c r="AQ442" s="182">
        <f>AM442*I442+AL442</f>
        <v>0.79500000000000004</v>
      </c>
      <c r="AR442" s="182">
        <f t="shared" ref="AR442:AR447" si="473">0.1*AQ442</f>
        <v>7.9500000000000015E-2</v>
      </c>
      <c r="AS442" s="183">
        <f t="shared" ref="AS442:AS447" si="474">AJ442*3+0.25*AK442</f>
        <v>3.25</v>
      </c>
      <c r="AT442" s="183">
        <f t="shared" ref="AT442:AT447" si="475">SUM(AQ442:AS442)/4</f>
        <v>1.0311250000000001</v>
      </c>
      <c r="AU442" s="182">
        <f>10068.2*J442*POWER(10,-6)</f>
        <v>1.6780333333333335E-2</v>
      </c>
      <c r="AV442" s="183">
        <f t="shared" ref="AV442:AV447" si="476">AU442+AT442+AS442+AR442+AQ442</f>
        <v>5.1724053333333337</v>
      </c>
      <c r="AW442" s="184">
        <f t="shared" ref="AW442:AW447" si="477">AJ442*H442</f>
        <v>1.5000000000000002E-7</v>
      </c>
      <c r="AX442" s="184">
        <f t="shared" ref="AX442:AX447" si="478">H442*AK442</f>
        <v>1.5000000000000002E-7</v>
      </c>
      <c r="AY442" s="184">
        <f t="shared" ref="AY442:AY447" si="479">H442*AV442</f>
        <v>7.7586080000000016E-7</v>
      </c>
    </row>
    <row r="443" spans="1:51" s="179" customFormat="1" ht="15" thickBot="1" x14ac:dyDescent="0.35">
      <c r="A443" s="169" t="s">
        <v>19</v>
      </c>
      <c r="B443" s="169" t="str">
        <f>B442</f>
        <v>Насос центробежный (8751P0001A)</v>
      </c>
      <c r="C443" s="171" t="s">
        <v>228</v>
      </c>
      <c r="D443" s="172" t="s">
        <v>226</v>
      </c>
      <c r="E443" s="185">
        <f>E442</f>
        <v>1.0000000000000001E-5</v>
      </c>
      <c r="F443" s="186">
        <f>F442</f>
        <v>1</v>
      </c>
      <c r="G443" s="169">
        <v>1.4249999999999999E-2</v>
      </c>
      <c r="H443" s="174">
        <f t="shared" si="469"/>
        <v>1.4250000000000001E-7</v>
      </c>
      <c r="I443" s="187">
        <f>I442</f>
        <v>1.6666666666666667</v>
      </c>
      <c r="J443" s="175">
        <f>POWER(10,-6)*35*SQRT(100)*3600*L442/1000*0.1</f>
        <v>3.1499999999999993E-2</v>
      </c>
      <c r="K443" s="177" t="s">
        <v>176</v>
      </c>
      <c r="L443" s="178">
        <v>0</v>
      </c>
      <c r="M443" s="179" t="str">
        <f t="shared" si="470"/>
        <v>С2</v>
      </c>
      <c r="N443" s="179" t="str">
        <f t="shared" si="471"/>
        <v>Насос центробежный (8751P0001A)</v>
      </c>
      <c r="O443" s="179" t="str">
        <f t="shared" si="472"/>
        <v>Полное-взрыв облака ТВС</v>
      </c>
      <c r="P443" s="179" t="s">
        <v>83</v>
      </c>
      <c r="Q443" s="179" t="s">
        <v>83</v>
      </c>
      <c r="R443" s="179" t="s">
        <v>83</v>
      </c>
      <c r="S443" s="179" t="s">
        <v>83</v>
      </c>
      <c r="T443" s="179" t="s">
        <v>83</v>
      </c>
      <c r="U443" s="179" t="s">
        <v>83</v>
      </c>
      <c r="V443" s="179" t="s">
        <v>83</v>
      </c>
      <c r="W443" s="179" t="s">
        <v>83</v>
      </c>
      <c r="X443" s="179" t="s">
        <v>83</v>
      </c>
      <c r="Y443" s="179" t="s">
        <v>83</v>
      </c>
      <c r="Z443" s="179" t="s">
        <v>83</v>
      </c>
      <c r="AA443" s="179" t="s">
        <v>83</v>
      </c>
      <c r="AB443" s="179" t="s">
        <v>83</v>
      </c>
      <c r="AC443" s="179" t="s">
        <v>83</v>
      </c>
      <c r="AD443" s="179" t="s">
        <v>83</v>
      </c>
      <c r="AE443" s="179" t="s">
        <v>83</v>
      </c>
      <c r="AF443" s="179" t="s">
        <v>83</v>
      </c>
      <c r="AG443" s="179" t="s">
        <v>83</v>
      </c>
      <c r="AH443" s="179" t="s">
        <v>83</v>
      </c>
      <c r="AI443" s="179" t="s">
        <v>83</v>
      </c>
      <c r="AJ443" s="180">
        <v>1</v>
      </c>
      <c r="AK443" s="180">
        <v>1</v>
      </c>
      <c r="AL443" s="179">
        <f>AL442</f>
        <v>0.75</v>
      </c>
      <c r="AM443" s="179">
        <f>AM442</f>
        <v>2.7E-2</v>
      </c>
      <c r="AN443" s="179">
        <f>AN442</f>
        <v>3</v>
      </c>
      <c r="AQ443" s="182">
        <f>AM443*I443+AL443</f>
        <v>0.79500000000000004</v>
      </c>
      <c r="AR443" s="182">
        <f t="shared" si="473"/>
        <v>7.9500000000000015E-2</v>
      </c>
      <c r="AS443" s="183">
        <f t="shared" si="474"/>
        <v>3.25</v>
      </c>
      <c r="AT443" s="183">
        <f t="shared" si="475"/>
        <v>1.0311250000000001</v>
      </c>
      <c r="AU443" s="182">
        <f>10068.2*J443*POWER(10,-6)*10</f>
        <v>3.1714829999999992E-3</v>
      </c>
      <c r="AV443" s="183">
        <f t="shared" si="476"/>
        <v>5.1587964830000006</v>
      </c>
      <c r="AW443" s="184">
        <f t="shared" si="477"/>
        <v>1.4250000000000001E-7</v>
      </c>
      <c r="AX443" s="184">
        <f t="shared" si="478"/>
        <v>1.4250000000000001E-7</v>
      </c>
      <c r="AY443" s="184">
        <f t="shared" si="479"/>
        <v>7.3512849882750015E-7</v>
      </c>
    </row>
    <row r="444" spans="1:51" s="179" customFormat="1" x14ac:dyDescent="0.3">
      <c r="A444" s="169" t="s">
        <v>20</v>
      </c>
      <c r="B444" s="169" t="str">
        <f>B442</f>
        <v>Насос центробежный (8751P0001A)</v>
      </c>
      <c r="C444" s="171" t="s">
        <v>229</v>
      </c>
      <c r="D444" s="172" t="s">
        <v>60</v>
      </c>
      <c r="E444" s="185">
        <f>E442</f>
        <v>1.0000000000000001E-5</v>
      </c>
      <c r="F444" s="186">
        <f>F442</f>
        <v>1</v>
      </c>
      <c r="G444" s="169">
        <v>0.27074999999999999</v>
      </c>
      <c r="H444" s="174">
        <f t="shared" si="469"/>
        <v>2.7075000000000003E-6</v>
      </c>
      <c r="I444" s="187">
        <f>I442</f>
        <v>1.6666666666666667</v>
      </c>
      <c r="J444" s="169">
        <v>0</v>
      </c>
      <c r="K444" s="177" t="s">
        <v>177</v>
      </c>
      <c r="L444" s="178">
        <v>1</v>
      </c>
      <c r="M444" s="179" t="str">
        <f t="shared" si="470"/>
        <v>С3</v>
      </c>
      <c r="N444" s="179" t="str">
        <f t="shared" si="471"/>
        <v>Насос центробежный (8751P0001A)</v>
      </c>
      <c r="O444" s="179" t="str">
        <f t="shared" si="472"/>
        <v>Полное-ликвидация</v>
      </c>
      <c r="P444" s="179" t="s">
        <v>83</v>
      </c>
      <c r="Q444" s="179" t="s">
        <v>83</v>
      </c>
      <c r="R444" s="179" t="s">
        <v>83</v>
      </c>
      <c r="S444" s="179" t="s">
        <v>83</v>
      </c>
      <c r="T444" s="179" t="s">
        <v>83</v>
      </c>
      <c r="U444" s="179" t="s">
        <v>83</v>
      </c>
      <c r="V444" s="179" t="s">
        <v>83</v>
      </c>
      <c r="W444" s="179" t="s">
        <v>83</v>
      </c>
      <c r="X444" s="179" t="s">
        <v>83</v>
      </c>
      <c r="Y444" s="179" t="s">
        <v>83</v>
      </c>
      <c r="Z444" s="179" t="s">
        <v>83</v>
      </c>
      <c r="AA444" s="179" t="s">
        <v>83</v>
      </c>
      <c r="AB444" s="179" t="s">
        <v>83</v>
      </c>
      <c r="AC444" s="179" t="s">
        <v>83</v>
      </c>
      <c r="AD444" s="179" t="s">
        <v>83</v>
      </c>
      <c r="AE444" s="179" t="s">
        <v>83</v>
      </c>
      <c r="AF444" s="179" t="s">
        <v>83</v>
      </c>
      <c r="AG444" s="179" t="s">
        <v>83</v>
      </c>
      <c r="AH444" s="179" t="s">
        <v>83</v>
      </c>
      <c r="AI444" s="179" t="s">
        <v>83</v>
      </c>
      <c r="AJ444" s="179">
        <v>0</v>
      </c>
      <c r="AK444" s="179">
        <v>0</v>
      </c>
      <c r="AL444" s="179">
        <f>AL442</f>
        <v>0.75</v>
      </c>
      <c r="AM444" s="179">
        <f>AM442</f>
        <v>2.7E-2</v>
      </c>
      <c r="AN444" s="179">
        <f>AN442</f>
        <v>3</v>
      </c>
      <c r="AQ444" s="182">
        <f>AM444*I444*0.1+AL444</f>
        <v>0.75449999999999995</v>
      </c>
      <c r="AR444" s="182">
        <f t="shared" si="473"/>
        <v>7.5450000000000003E-2</v>
      </c>
      <c r="AS444" s="183">
        <f t="shared" si="474"/>
        <v>0</v>
      </c>
      <c r="AT444" s="183">
        <f t="shared" si="475"/>
        <v>0.20748749999999999</v>
      </c>
      <c r="AU444" s="182">
        <f>1333*J443*POWER(10,-6)</f>
        <v>4.1989499999999988E-5</v>
      </c>
      <c r="AV444" s="183">
        <f t="shared" si="476"/>
        <v>1.0374794894999999</v>
      </c>
      <c r="AW444" s="184">
        <f t="shared" si="477"/>
        <v>0</v>
      </c>
      <c r="AX444" s="184">
        <f t="shared" si="478"/>
        <v>0</v>
      </c>
      <c r="AY444" s="184">
        <f t="shared" si="479"/>
        <v>2.8089757178212501E-6</v>
      </c>
    </row>
    <row r="445" spans="1:51" s="179" customFormat="1" x14ac:dyDescent="0.3">
      <c r="A445" s="169" t="s">
        <v>21</v>
      </c>
      <c r="B445" s="169" t="str">
        <f>B442</f>
        <v>Насос центробежный (8751P0001A)</v>
      </c>
      <c r="C445" s="171" t="s">
        <v>230</v>
      </c>
      <c r="D445" s="172" t="s">
        <v>84</v>
      </c>
      <c r="E445" s="185">
        <f>E443</f>
        <v>1.0000000000000001E-5</v>
      </c>
      <c r="F445" s="186">
        <f>F442</f>
        <v>1</v>
      </c>
      <c r="G445" s="169">
        <v>3.4999999999999996E-2</v>
      </c>
      <c r="H445" s="174">
        <f t="shared" si="469"/>
        <v>3.4999999999999998E-7</v>
      </c>
      <c r="I445" s="187">
        <f>0.15*I442</f>
        <v>0.25</v>
      </c>
      <c r="J445" s="187">
        <f>I445</f>
        <v>0.25</v>
      </c>
      <c r="K445" s="190" t="s">
        <v>179</v>
      </c>
      <c r="L445" s="191">
        <v>45390</v>
      </c>
      <c r="M445" s="179" t="str">
        <f t="shared" si="470"/>
        <v>С4</v>
      </c>
      <c r="N445" s="179" t="str">
        <f t="shared" si="471"/>
        <v>Насос центробежный (8751P0001A)</v>
      </c>
      <c r="O445" s="179" t="str">
        <f t="shared" si="472"/>
        <v>Частичное-пожар</v>
      </c>
      <c r="P445" s="179" t="s">
        <v>83</v>
      </c>
      <c r="Q445" s="179" t="s">
        <v>83</v>
      </c>
      <c r="R445" s="179" t="s">
        <v>83</v>
      </c>
      <c r="S445" s="179" t="s">
        <v>83</v>
      </c>
      <c r="T445" s="179" t="s">
        <v>83</v>
      </c>
      <c r="U445" s="179" t="s">
        <v>83</v>
      </c>
      <c r="V445" s="179" t="s">
        <v>83</v>
      </c>
      <c r="W445" s="179" t="s">
        <v>83</v>
      </c>
      <c r="X445" s="179" t="s">
        <v>83</v>
      </c>
      <c r="Y445" s="179" t="s">
        <v>83</v>
      </c>
      <c r="Z445" s="179" t="s">
        <v>83</v>
      </c>
      <c r="AA445" s="179" t="s">
        <v>83</v>
      </c>
      <c r="AB445" s="179" t="s">
        <v>83</v>
      </c>
      <c r="AC445" s="179" t="s">
        <v>83</v>
      </c>
      <c r="AD445" s="179" t="s">
        <v>83</v>
      </c>
      <c r="AE445" s="179" t="s">
        <v>83</v>
      </c>
      <c r="AF445" s="179" t="s">
        <v>83</v>
      </c>
      <c r="AG445" s="179" t="s">
        <v>83</v>
      </c>
      <c r="AH445" s="179" t="s">
        <v>83</v>
      </c>
      <c r="AI445" s="179" t="s">
        <v>83</v>
      </c>
      <c r="AJ445" s="179">
        <v>0</v>
      </c>
      <c r="AK445" s="179">
        <v>1</v>
      </c>
      <c r="AL445" s="179">
        <f>0.1*$AL$2</f>
        <v>7.5000000000000002E-4</v>
      </c>
      <c r="AM445" s="179">
        <f>AM442</f>
        <v>2.7E-2</v>
      </c>
      <c r="AN445" s="179">
        <f>ROUNDUP(AN442/3,0)</f>
        <v>1</v>
      </c>
      <c r="AQ445" s="182">
        <f>AM445*I445+AL445</f>
        <v>7.4999999999999997E-3</v>
      </c>
      <c r="AR445" s="182">
        <f t="shared" si="473"/>
        <v>7.5000000000000002E-4</v>
      </c>
      <c r="AS445" s="183">
        <f t="shared" si="474"/>
        <v>0.25</v>
      </c>
      <c r="AT445" s="183">
        <f t="shared" si="475"/>
        <v>6.4562499999999995E-2</v>
      </c>
      <c r="AU445" s="182">
        <f>10068.2*J445*POWER(10,-6)</f>
        <v>2.5170500000000003E-3</v>
      </c>
      <c r="AV445" s="183">
        <f t="shared" si="476"/>
        <v>0.32532954999999997</v>
      </c>
      <c r="AW445" s="184">
        <f t="shared" si="477"/>
        <v>0</v>
      </c>
      <c r="AX445" s="184">
        <f t="shared" si="478"/>
        <v>3.4999999999999998E-7</v>
      </c>
      <c r="AY445" s="184">
        <f t="shared" si="479"/>
        <v>1.1386534249999998E-7</v>
      </c>
    </row>
    <row r="446" spans="1:51" s="179" customFormat="1" x14ac:dyDescent="0.3">
      <c r="A446" s="169" t="s">
        <v>22</v>
      </c>
      <c r="B446" s="169" t="str">
        <f>B442</f>
        <v>Насос центробежный (8751P0001A)</v>
      </c>
      <c r="C446" s="171" t="s">
        <v>519</v>
      </c>
      <c r="D446" s="172" t="s">
        <v>518</v>
      </c>
      <c r="E446" s="185">
        <f>E444</f>
        <v>1.0000000000000001E-5</v>
      </c>
      <c r="F446" s="186">
        <f>F442</f>
        <v>1</v>
      </c>
      <c r="G446" s="169">
        <v>3.3249999999999995E-2</v>
      </c>
      <c r="H446" s="174">
        <f t="shared" si="469"/>
        <v>3.3249999999999999E-7</v>
      </c>
      <c r="I446" s="187">
        <f>0.15*I442</f>
        <v>0.25</v>
      </c>
      <c r="J446" s="187">
        <v>0.01</v>
      </c>
      <c r="K446" s="190" t="s">
        <v>180</v>
      </c>
      <c r="L446" s="191">
        <v>3</v>
      </c>
      <c r="M446" s="179" t="str">
        <f t="shared" si="470"/>
        <v>С5</v>
      </c>
      <c r="N446" s="179" t="str">
        <f t="shared" si="471"/>
        <v>Насос центробежный (8751P0001A)</v>
      </c>
      <c r="O446" s="179" t="str">
        <f t="shared" si="472"/>
        <v>Частичное-вспышка</v>
      </c>
      <c r="P446" s="179" t="s">
        <v>83</v>
      </c>
      <c r="Q446" s="179" t="s">
        <v>83</v>
      </c>
      <c r="R446" s="179" t="s">
        <v>83</v>
      </c>
      <c r="S446" s="179" t="s">
        <v>83</v>
      </c>
      <c r="T446" s="179" t="s">
        <v>83</v>
      </c>
      <c r="U446" s="179" t="s">
        <v>83</v>
      </c>
      <c r="V446" s="179" t="s">
        <v>83</v>
      </c>
      <c r="W446" s="179" t="s">
        <v>83</v>
      </c>
      <c r="X446" s="179" t="s">
        <v>83</v>
      </c>
      <c r="Y446" s="179" t="s">
        <v>83</v>
      </c>
      <c r="Z446" s="179" t="s">
        <v>83</v>
      </c>
      <c r="AA446" s="179" t="s">
        <v>83</v>
      </c>
      <c r="AB446" s="179" t="s">
        <v>83</v>
      </c>
      <c r="AC446" s="179" t="s">
        <v>83</v>
      </c>
      <c r="AD446" s="179" t="s">
        <v>83</v>
      </c>
      <c r="AE446" s="179" t="s">
        <v>83</v>
      </c>
      <c r="AF446" s="179" t="s">
        <v>83</v>
      </c>
      <c r="AG446" s="179" t="s">
        <v>83</v>
      </c>
      <c r="AH446" s="179" t="s">
        <v>83</v>
      </c>
      <c r="AI446" s="179" t="s">
        <v>83</v>
      </c>
      <c r="AJ446" s="179">
        <v>0</v>
      </c>
      <c r="AK446" s="179">
        <v>1</v>
      </c>
      <c r="AL446" s="179">
        <f>0.1*$AL$2</f>
        <v>7.5000000000000002E-4</v>
      </c>
      <c r="AM446" s="179">
        <f>AM442</f>
        <v>2.7E-2</v>
      </c>
      <c r="AN446" s="179">
        <f>ROUNDUP(AN442/3,0)</f>
        <v>1</v>
      </c>
      <c r="AQ446" s="182">
        <f>AM446*I446+AL446</f>
        <v>7.4999999999999997E-3</v>
      </c>
      <c r="AR446" s="182">
        <f t="shared" si="473"/>
        <v>7.5000000000000002E-4</v>
      </c>
      <c r="AS446" s="183">
        <f t="shared" si="474"/>
        <v>0.25</v>
      </c>
      <c r="AT446" s="183">
        <f t="shared" si="475"/>
        <v>6.4562499999999995E-2</v>
      </c>
      <c r="AU446" s="182">
        <f>10068.2*J446*POWER(10,-6)*10</f>
        <v>1.0068200000000001E-3</v>
      </c>
      <c r="AV446" s="183">
        <f t="shared" si="476"/>
        <v>0.32381931999999997</v>
      </c>
      <c r="AW446" s="184">
        <f t="shared" si="477"/>
        <v>0</v>
      </c>
      <c r="AX446" s="184">
        <f t="shared" si="478"/>
        <v>3.3249999999999999E-7</v>
      </c>
      <c r="AY446" s="184">
        <f t="shared" si="479"/>
        <v>1.0766992389999999E-7</v>
      </c>
    </row>
    <row r="447" spans="1:51" s="179" customFormat="1" ht="15" thickBot="1" x14ac:dyDescent="0.35">
      <c r="A447" s="169" t="s">
        <v>23</v>
      </c>
      <c r="B447" s="169" t="str">
        <f>B442</f>
        <v>Насос центробежный (8751P0001A)</v>
      </c>
      <c r="C447" s="171" t="s">
        <v>231</v>
      </c>
      <c r="D447" s="172" t="s">
        <v>61</v>
      </c>
      <c r="E447" s="185">
        <f>E445</f>
        <v>1.0000000000000001E-5</v>
      </c>
      <c r="F447" s="186">
        <f>F442</f>
        <v>1</v>
      </c>
      <c r="G447" s="169">
        <v>0.63174999999999992</v>
      </c>
      <c r="H447" s="174">
        <f t="shared" si="469"/>
        <v>6.3175000000000001E-6</v>
      </c>
      <c r="I447" s="187">
        <f>0.15*I442</f>
        <v>0.25</v>
      </c>
      <c r="J447" s="169">
        <v>0</v>
      </c>
      <c r="K447" s="192" t="s">
        <v>191</v>
      </c>
      <c r="L447" s="192">
        <v>16</v>
      </c>
      <c r="M447" s="179" t="str">
        <f t="shared" si="470"/>
        <v>С6</v>
      </c>
      <c r="N447" s="179" t="str">
        <f t="shared" si="471"/>
        <v>Насос центробежный (8751P0001A)</v>
      </c>
      <c r="O447" s="179" t="str">
        <f t="shared" si="472"/>
        <v>Частичное-ликвидация</v>
      </c>
      <c r="P447" s="179" t="s">
        <v>83</v>
      </c>
      <c r="Q447" s="179" t="s">
        <v>83</v>
      </c>
      <c r="R447" s="179" t="s">
        <v>83</v>
      </c>
      <c r="S447" s="179" t="s">
        <v>83</v>
      </c>
      <c r="T447" s="179" t="s">
        <v>83</v>
      </c>
      <c r="U447" s="179" t="s">
        <v>83</v>
      </c>
      <c r="V447" s="179" t="s">
        <v>83</v>
      </c>
      <c r="W447" s="179" t="s">
        <v>83</v>
      </c>
      <c r="X447" s="179" t="s">
        <v>83</v>
      </c>
      <c r="Y447" s="179" t="s">
        <v>83</v>
      </c>
      <c r="Z447" s="179" t="s">
        <v>83</v>
      </c>
      <c r="AA447" s="179" t="s">
        <v>83</v>
      </c>
      <c r="AB447" s="179" t="s">
        <v>83</v>
      </c>
      <c r="AC447" s="179" t="s">
        <v>83</v>
      </c>
      <c r="AD447" s="179" t="s">
        <v>83</v>
      </c>
      <c r="AE447" s="179" t="s">
        <v>83</v>
      </c>
      <c r="AF447" s="179" t="s">
        <v>83</v>
      </c>
      <c r="AG447" s="179" t="s">
        <v>83</v>
      </c>
      <c r="AH447" s="179" t="s">
        <v>83</v>
      </c>
      <c r="AI447" s="179" t="s">
        <v>83</v>
      </c>
      <c r="AJ447" s="179">
        <v>0</v>
      </c>
      <c r="AK447" s="179">
        <v>0</v>
      </c>
      <c r="AL447" s="179">
        <f>0.1*$AL$2</f>
        <v>7.5000000000000002E-4</v>
      </c>
      <c r="AM447" s="179">
        <f>AM442</f>
        <v>2.7E-2</v>
      </c>
      <c r="AN447" s="179">
        <f>ROUNDUP(AN442/3,0)</f>
        <v>1</v>
      </c>
      <c r="AQ447" s="182">
        <f>AM447*I447*0.1+AL447</f>
        <v>1.4250000000000001E-3</v>
      </c>
      <c r="AR447" s="182">
        <f t="shared" si="473"/>
        <v>1.4250000000000002E-4</v>
      </c>
      <c r="AS447" s="183">
        <f t="shared" si="474"/>
        <v>0</v>
      </c>
      <c r="AT447" s="183">
        <f t="shared" si="475"/>
        <v>3.9187500000000002E-4</v>
      </c>
      <c r="AU447" s="182">
        <f>1333*J446*POWER(10,-6)</f>
        <v>1.3329999999999999E-5</v>
      </c>
      <c r="AV447" s="183">
        <f t="shared" si="476"/>
        <v>1.9727049999999999E-3</v>
      </c>
      <c r="AW447" s="184">
        <f t="shared" si="477"/>
        <v>0</v>
      </c>
      <c r="AX447" s="184">
        <f t="shared" si="478"/>
        <v>0</v>
      </c>
      <c r="AY447" s="184">
        <f t="shared" si="479"/>
        <v>1.24625638375E-8</v>
      </c>
    </row>
    <row r="448" spans="1:51" s="179" customFormat="1" x14ac:dyDescent="0.3">
      <c r="A448" s="180"/>
      <c r="B448" s="180"/>
      <c r="D448" s="271"/>
      <c r="E448" s="272"/>
      <c r="F448" s="273"/>
      <c r="G448" s="180"/>
      <c r="H448" s="184"/>
      <c r="I448" s="183"/>
      <c r="J448" s="180"/>
      <c r="K448" s="180"/>
      <c r="L448" s="180"/>
      <c r="AQ448" s="182"/>
      <c r="AR448" s="182"/>
      <c r="AS448" s="183"/>
      <c r="AT448" s="183"/>
      <c r="AU448" s="182"/>
      <c r="AV448" s="183"/>
      <c r="AW448" s="184"/>
      <c r="AX448" s="184"/>
      <c r="AY448" s="184"/>
    </row>
    <row r="449" spans="1:51" s="179" customFormat="1" x14ac:dyDescent="0.3">
      <c r="A449" s="180"/>
      <c r="B449" s="180"/>
      <c r="D449" s="271"/>
      <c r="E449" s="272"/>
      <c r="F449" s="273"/>
      <c r="G449" s="180"/>
      <c r="H449" s="184"/>
      <c r="I449" s="183"/>
      <c r="J449" s="180"/>
      <c r="K449" s="180"/>
      <c r="L449" s="180"/>
      <c r="AQ449" s="182"/>
      <c r="AR449" s="182"/>
      <c r="AS449" s="183"/>
      <c r="AT449" s="183"/>
      <c r="AU449" s="182"/>
      <c r="AV449" s="183"/>
      <c r="AW449" s="184"/>
      <c r="AX449" s="184"/>
      <c r="AY449" s="184"/>
    </row>
    <row r="450" spans="1:51" s="179" customFormat="1" x14ac:dyDescent="0.3">
      <c r="A450" s="180"/>
      <c r="B450" s="180"/>
      <c r="D450" s="271"/>
      <c r="E450" s="272"/>
      <c r="F450" s="273"/>
      <c r="G450" s="180"/>
      <c r="H450" s="184"/>
      <c r="I450" s="183"/>
      <c r="J450" s="180"/>
      <c r="K450" s="180"/>
      <c r="L450" s="180"/>
      <c r="AQ450" s="182"/>
      <c r="AR450" s="182"/>
      <c r="AS450" s="183"/>
      <c r="AT450" s="183"/>
      <c r="AU450" s="182"/>
      <c r="AV450" s="183"/>
      <c r="AW450" s="184"/>
      <c r="AX450" s="184"/>
      <c r="AY450" s="184"/>
    </row>
    <row r="451" spans="1:51" ht="15" thickBot="1" x14ac:dyDescent="0.35"/>
    <row r="452" spans="1:51" ht="15" thickBot="1" x14ac:dyDescent="0.35">
      <c r="A452" s="48" t="s">
        <v>18</v>
      </c>
      <c r="B452" s="294" t="s">
        <v>636</v>
      </c>
      <c r="C452" s="166" t="s">
        <v>159</v>
      </c>
      <c r="D452" s="49" t="s">
        <v>59</v>
      </c>
      <c r="E452" s="153">
        <v>9.9999999999999995E-8</v>
      </c>
      <c r="F452" s="150">
        <v>36</v>
      </c>
      <c r="G452" s="48">
        <v>0.2</v>
      </c>
      <c r="H452" s="50">
        <f t="shared" ref="H452:H457" si="480">E452*F452*G452</f>
        <v>7.1999999999999999E-7</v>
      </c>
      <c r="I452" s="151">
        <v>1.2</v>
      </c>
      <c r="J452" s="149">
        <f>I452</f>
        <v>1.2</v>
      </c>
      <c r="K452" s="159" t="s">
        <v>175</v>
      </c>
      <c r="L452" s="164">
        <f>J452*20</f>
        <v>24</v>
      </c>
      <c r="M452" s="92" t="str">
        <f t="shared" ref="M452:M457" si="481">A452</f>
        <v>С1</v>
      </c>
      <c r="N452" s="92" t="str">
        <f t="shared" ref="N452:N457" si="482">B452</f>
        <v>Трубопровод, Изомеризат рег. № 1608</v>
      </c>
      <c r="O452" s="92" t="str">
        <f t="shared" ref="O452:O457" si="483">D452</f>
        <v>Полное-пожар</v>
      </c>
      <c r="P452" s="92">
        <v>17.100000000000001</v>
      </c>
      <c r="Q452" s="92">
        <v>23.5</v>
      </c>
      <c r="R452" s="92">
        <v>33.1</v>
      </c>
      <c r="S452" s="92">
        <v>61.2</v>
      </c>
      <c r="T452" s="92" t="s">
        <v>83</v>
      </c>
      <c r="U452" s="92" t="s">
        <v>83</v>
      </c>
      <c r="V452" s="92" t="s">
        <v>83</v>
      </c>
      <c r="W452" s="92" t="s">
        <v>83</v>
      </c>
      <c r="X452" s="92" t="s">
        <v>83</v>
      </c>
      <c r="Y452" s="92" t="s">
        <v>83</v>
      </c>
      <c r="Z452" s="92" t="s">
        <v>83</v>
      </c>
      <c r="AA452" s="92" t="s">
        <v>83</v>
      </c>
      <c r="AB452" s="92" t="s">
        <v>83</v>
      </c>
      <c r="AC452" s="92" t="s">
        <v>83</v>
      </c>
      <c r="AD452" s="92" t="s">
        <v>83</v>
      </c>
      <c r="AE452" s="92" t="s">
        <v>83</v>
      </c>
      <c r="AF452" s="92" t="s">
        <v>83</v>
      </c>
      <c r="AG452" s="92" t="s">
        <v>83</v>
      </c>
      <c r="AH452" s="92" t="s">
        <v>83</v>
      </c>
      <c r="AI452" s="92" t="s">
        <v>83</v>
      </c>
      <c r="AJ452" s="52">
        <v>1</v>
      </c>
      <c r="AK452" s="52">
        <v>2</v>
      </c>
      <c r="AL452" s="152">
        <v>0.75</v>
      </c>
      <c r="AM452" s="152">
        <v>2.7E-2</v>
      </c>
      <c r="AN452" s="152">
        <v>3</v>
      </c>
      <c r="AO452" s="92"/>
      <c r="AP452" s="92"/>
      <c r="AQ452" s="93">
        <f>AM452*I452+AL452</f>
        <v>0.78239999999999998</v>
      </c>
      <c r="AR452" s="93">
        <f t="shared" ref="AR452:AR457" si="484">0.1*AQ452</f>
        <v>7.8240000000000004E-2</v>
      </c>
      <c r="AS452" s="94">
        <f t="shared" ref="AS452:AS457" si="485">AJ452*3+0.25*AK452</f>
        <v>3.5</v>
      </c>
      <c r="AT452" s="94">
        <f t="shared" ref="AT452:AT457" si="486">SUM(AQ452:AS452)/4</f>
        <v>1.09016</v>
      </c>
      <c r="AU452" s="93">
        <f>10068.2*J452*POWER(10,-6)</f>
        <v>1.208184E-2</v>
      </c>
      <c r="AV452" s="94">
        <f t="shared" ref="AV452:AV457" si="487">AU452+AT452+AS452+AR452+AQ452</f>
        <v>5.4628818399999997</v>
      </c>
      <c r="AW452" s="95">
        <f t="shared" ref="AW452:AW457" si="488">AJ452*H452</f>
        <v>7.1999999999999999E-7</v>
      </c>
      <c r="AX452" s="95">
        <f t="shared" ref="AX452:AX457" si="489">H452*AK452</f>
        <v>1.44E-6</v>
      </c>
      <c r="AY452" s="95">
        <f t="shared" ref="AY452:AY457" si="490">H452*AV452</f>
        <v>3.9332749247999999E-6</v>
      </c>
    </row>
    <row r="453" spans="1:51" ht="15" thickBot="1" x14ac:dyDescent="0.35">
      <c r="A453" s="48" t="s">
        <v>19</v>
      </c>
      <c r="B453" s="48" t="str">
        <f>B452</f>
        <v>Трубопровод, Изомеризат рег. № 1608</v>
      </c>
      <c r="C453" s="166" t="s">
        <v>174</v>
      </c>
      <c r="D453" s="49" t="s">
        <v>59</v>
      </c>
      <c r="E453" s="154">
        <f>E452</f>
        <v>9.9999999999999995E-8</v>
      </c>
      <c r="F453" s="155">
        <f>F452</f>
        <v>36</v>
      </c>
      <c r="G453" s="48">
        <v>0.04</v>
      </c>
      <c r="H453" s="50">
        <f t="shared" si="480"/>
        <v>1.4399999999999999E-7</v>
      </c>
      <c r="I453" s="149">
        <f>I452</f>
        <v>1.2</v>
      </c>
      <c r="J453" s="149">
        <f>I452</f>
        <v>1.2</v>
      </c>
      <c r="K453" s="159" t="s">
        <v>176</v>
      </c>
      <c r="L453" s="164">
        <v>0</v>
      </c>
      <c r="M453" s="92" t="str">
        <f t="shared" si="481"/>
        <v>С2</v>
      </c>
      <c r="N453" s="92" t="str">
        <f t="shared" si="482"/>
        <v>Трубопровод, Изомеризат рег. № 1608</v>
      </c>
      <c r="O453" s="92" t="str">
        <f t="shared" si="483"/>
        <v>Полное-пожар</v>
      </c>
      <c r="P453" s="92">
        <v>17.100000000000001</v>
      </c>
      <c r="Q453" s="92">
        <v>23.5</v>
      </c>
      <c r="R453" s="92">
        <v>33.1</v>
      </c>
      <c r="S453" s="92">
        <v>61.2</v>
      </c>
      <c r="T453" s="92" t="s">
        <v>83</v>
      </c>
      <c r="U453" s="92" t="s">
        <v>83</v>
      </c>
      <c r="V453" s="92" t="s">
        <v>83</v>
      </c>
      <c r="W453" s="92" t="s">
        <v>83</v>
      </c>
      <c r="X453" s="92" t="s">
        <v>83</v>
      </c>
      <c r="Y453" s="92" t="s">
        <v>83</v>
      </c>
      <c r="Z453" s="92" t="s">
        <v>83</v>
      </c>
      <c r="AA453" s="92" t="s">
        <v>83</v>
      </c>
      <c r="AB453" s="92" t="s">
        <v>83</v>
      </c>
      <c r="AC453" s="92" t="s">
        <v>83</v>
      </c>
      <c r="AD453" s="92" t="s">
        <v>83</v>
      </c>
      <c r="AE453" s="92" t="s">
        <v>83</v>
      </c>
      <c r="AF453" s="92" t="s">
        <v>83</v>
      </c>
      <c r="AG453" s="92" t="s">
        <v>83</v>
      </c>
      <c r="AH453" s="92" t="s">
        <v>83</v>
      </c>
      <c r="AI453" s="92" t="s">
        <v>83</v>
      </c>
      <c r="AJ453" s="52">
        <v>2</v>
      </c>
      <c r="AK453" s="52">
        <v>2</v>
      </c>
      <c r="AL453" s="92">
        <f>AL452</f>
        <v>0.75</v>
      </c>
      <c r="AM453" s="92">
        <f>AM452</f>
        <v>2.7E-2</v>
      </c>
      <c r="AN453" s="92">
        <f>AN452</f>
        <v>3</v>
      </c>
      <c r="AO453" s="92"/>
      <c r="AP453" s="92"/>
      <c r="AQ453" s="93">
        <f>AM453*I453+AL453</f>
        <v>0.78239999999999998</v>
      </c>
      <c r="AR453" s="93">
        <f t="shared" si="484"/>
        <v>7.8240000000000004E-2</v>
      </c>
      <c r="AS453" s="94">
        <f t="shared" si="485"/>
        <v>6.5</v>
      </c>
      <c r="AT453" s="94">
        <f t="shared" si="486"/>
        <v>1.84016</v>
      </c>
      <c r="AU453" s="93">
        <f>10068.2*J453*POWER(10,-6)*10</f>
        <v>0.12081839999999999</v>
      </c>
      <c r="AV453" s="94">
        <f t="shared" si="487"/>
        <v>9.3216183999999984</v>
      </c>
      <c r="AW453" s="95">
        <f t="shared" si="488"/>
        <v>2.8799999999999998E-7</v>
      </c>
      <c r="AX453" s="95">
        <f t="shared" si="489"/>
        <v>2.8799999999999998E-7</v>
      </c>
      <c r="AY453" s="95">
        <f t="shared" si="490"/>
        <v>1.3423130495999997E-6</v>
      </c>
    </row>
    <row r="454" spans="1:51" x14ac:dyDescent="0.3">
      <c r="A454" s="48" t="s">
        <v>20</v>
      </c>
      <c r="B454" s="48" t="str">
        <f>B452</f>
        <v>Трубопровод, Изомеризат рег. № 1608</v>
      </c>
      <c r="C454" s="166" t="s">
        <v>161</v>
      </c>
      <c r="D454" s="49" t="s">
        <v>60</v>
      </c>
      <c r="E454" s="154">
        <f>E452</f>
        <v>9.9999999999999995E-8</v>
      </c>
      <c r="F454" s="155">
        <f>F452</f>
        <v>36</v>
      </c>
      <c r="G454" s="48">
        <v>0.76</v>
      </c>
      <c r="H454" s="50">
        <f t="shared" si="480"/>
        <v>2.7359999999999997E-6</v>
      </c>
      <c r="I454" s="149">
        <f>I452</f>
        <v>1.2</v>
      </c>
      <c r="J454" s="48">
        <v>0</v>
      </c>
      <c r="K454" s="159" t="s">
        <v>177</v>
      </c>
      <c r="L454" s="164">
        <v>0</v>
      </c>
      <c r="M454" s="92" t="str">
        <f t="shared" si="481"/>
        <v>С3</v>
      </c>
      <c r="N454" s="92" t="str">
        <f t="shared" si="482"/>
        <v>Трубопровод, Изомеризат рег. № 1608</v>
      </c>
      <c r="O454" s="92" t="str">
        <f t="shared" si="483"/>
        <v>Полное-ликвидация</v>
      </c>
      <c r="P454" s="92" t="s">
        <v>83</v>
      </c>
      <c r="Q454" s="92" t="s">
        <v>83</v>
      </c>
      <c r="R454" s="92" t="s">
        <v>83</v>
      </c>
      <c r="S454" s="92" t="s">
        <v>83</v>
      </c>
      <c r="T454" s="92" t="s">
        <v>83</v>
      </c>
      <c r="U454" s="92" t="s">
        <v>83</v>
      </c>
      <c r="V454" s="92" t="s">
        <v>83</v>
      </c>
      <c r="W454" s="92" t="s">
        <v>83</v>
      </c>
      <c r="X454" s="92" t="s">
        <v>83</v>
      </c>
      <c r="Y454" s="92" t="s">
        <v>83</v>
      </c>
      <c r="Z454" s="92" t="s">
        <v>83</v>
      </c>
      <c r="AA454" s="92" t="s">
        <v>83</v>
      </c>
      <c r="AB454" s="92" t="s">
        <v>83</v>
      </c>
      <c r="AC454" s="92" t="s">
        <v>83</v>
      </c>
      <c r="AD454" s="92" t="s">
        <v>83</v>
      </c>
      <c r="AE454" s="92" t="s">
        <v>83</v>
      </c>
      <c r="AF454" s="92" t="s">
        <v>83</v>
      </c>
      <c r="AG454" s="92" t="s">
        <v>83</v>
      </c>
      <c r="AH454" s="92" t="s">
        <v>83</v>
      </c>
      <c r="AI454" s="92" t="s">
        <v>83</v>
      </c>
      <c r="AJ454" s="92">
        <v>0</v>
      </c>
      <c r="AK454" s="92">
        <v>0</v>
      </c>
      <c r="AL454" s="92">
        <f>AL452</f>
        <v>0.75</v>
      </c>
      <c r="AM454" s="92">
        <f>AM452</f>
        <v>2.7E-2</v>
      </c>
      <c r="AN454" s="92">
        <f>AN452</f>
        <v>3</v>
      </c>
      <c r="AO454" s="92"/>
      <c r="AP454" s="92"/>
      <c r="AQ454" s="93">
        <f>AM454*I454*0.1+AL454</f>
        <v>0.75324000000000002</v>
      </c>
      <c r="AR454" s="93">
        <f t="shared" si="484"/>
        <v>7.5324000000000002E-2</v>
      </c>
      <c r="AS454" s="94">
        <f t="shared" si="485"/>
        <v>0</v>
      </c>
      <c r="AT454" s="94">
        <f t="shared" si="486"/>
        <v>0.20714100000000002</v>
      </c>
      <c r="AU454" s="93">
        <f>1333*J453*POWER(10,-6)</f>
        <v>1.5995999999999999E-3</v>
      </c>
      <c r="AV454" s="94">
        <f t="shared" si="487"/>
        <v>1.0373046000000001</v>
      </c>
      <c r="AW454" s="95">
        <f t="shared" si="488"/>
        <v>0</v>
      </c>
      <c r="AX454" s="95">
        <f t="shared" si="489"/>
        <v>0</v>
      </c>
      <c r="AY454" s="95">
        <f t="shared" si="490"/>
        <v>2.8380653856000001E-6</v>
      </c>
    </row>
    <row r="455" spans="1:51" x14ac:dyDescent="0.3">
      <c r="A455" s="48" t="s">
        <v>21</v>
      </c>
      <c r="B455" s="48" t="str">
        <f>B452</f>
        <v>Трубопровод, Изомеризат рег. № 1608</v>
      </c>
      <c r="C455" s="166" t="s">
        <v>162</v>
      </c>
      <c r="D455" s="49" t="s">
        <v>84</v>
      </c>
      <c r="E455" s="153">
        <v>5.0000000000000004E-6</v>
      </c>
      <c r="F455" s="155">
        <f>F452</f>
        <v>36</v>
      </c>
      <c r="G455" s="48">
        <v>0.2</v>
      </c>
      <c r="H455" s="50">
        <f t="shared" si="480"/>
        <v>3.6000000000000001E-5</v>
      </c>
      <c r="I455" s="149">
        <f>0.15*I452</f>
        <v>0.18</v>
      </c>
      <c r="J455" s="149">
        <f>I455</f>
        <v>0.18</v>
      </c>
      <c r="K455" s="161" t="s">
        <v>179</v>
      </c>
      <c r="L455" s="165">
        <v>45390</v>
      </c>
      <c r="M455" s="92" t="str">
        <f t="shared" si="481"/>
        <v>С4</v>
      </c>
      <c r="N455" s="92" t="str">
        <f t="shared" si="482"/>
        <v>Трубопровод, Изомеризат рег. № 1608</v>
      </c>
      <c r="O455" s="92" t="str">
        <f t="shared" si="483"/>
        <v>Частичное-пожар</v>
      </c>
      <c r="P455" s="92">
        <v>12.8</v>
      </c>
      <c r="Q455" s="92">
        <v>16.399999999999999</v>
      </c>
      <c r="R455" s="92">
        <v>21.7</v>
      </c>
      <c r="S455" s="92">
        <v>37.299999999999997</v>
      </c>
      <c r="T455" s="92" t="s">
        <v>83</v>
      </c>
      <c r="U455" s="92" t="s">
        <v>83</v>
      </c>
      <c r="V455" s="92" t="s">
        <v>83</v>
      </c>
      <c r="W455" s="92" t="s">
        <v>83</v>
      </c>
      <c r="X455" s="92" t="s">
        <v>83</v>
      </c>
      <c r="Y455" s="92" t="s">
        <v>83</v>
      </c>
      <c r="Z455" s="92" t="s">
        <v>83</v>
      </c>
      <c r="AA455" s="92" t="s">
        <v>83</v>
      </c>
      <c r="AB455" s="92" t="s">
        <v>83</v>
      </c>
      <c r="AC455" s="92" t="s">
        <v>83</v>
      </c>
      <c r="AD455" s="92" t="s">
        <v>83</v>
      </c>
      <c r="AE455" s="92" t="s">
        <v>83</v>
      </c>
      <c r="AF455" s="92" t="s">
        <v>83</v>
      </c>
      <c r="AG455" s="92" t="s">
        <v>83</v>
      </c>
      <c r="AH455" s="92" t="s">
        <v>83</v>
      </c>
      <c r="AI455" s="92" t="s">
        <v>83</v>
      </c>
      <c r="AJ455" s="92">
        <v>0</v>
      </c>
      <c r="AK455" s="92">
        <v>2</v>
      </c>
      <c r="AL455" s="92">
        <f>0.1*$AL$2</f>
        <v>7.5000000000000002E-4</v>
      </c>
      <c r="AM455" s="92">
        <f>AM452</f>
        <v>2.7E-2</v>
      </c>
      <c r="AN455" s="92">
        <f>ROUNDUP(AN452/3,0)</f>
        <v>1</v>
      </c>
      <c r="AO455" s="92"/>
      <c r="AP455" s="92"/>
      <c r="AQ455" s="93">
        <f>AM455*I455+AL455</f>
        <v>5.6099999999999995E-3</v>
      </c>
      <c r="AR455" s="93">
        <f t="shared" si="484"/>
        <v>5.6099999999999998E-4</v>
      </c>
      <c r="AS455" s="94">
        <f t="shared" si="485"/>
        <v>0.5</v>
      </c>
      <c r="AT455" s="94">
        <f t="shared" si="486"/>
        <v>0.12654275000000001</v>
      </c>
      <c r="AU455" s="93">
        <f>10068.2*J455*POWER(10,-6)</f>
        <v>1.812276E-3</v>
      </c>
      <c r="AV455" s="94">
        <f t="shared" si="487"/>
        <v>0.63452602600000008</v>
      </c>
      <c r="AW455" s="95">
        <f t="shared" si="488"/>
        <v>0</v>
      </c>
      <c r="AX455" s="95">
        <f t="shared" si="489"/>
        <v>7.2000000000000002E-5</v>
      </c>
      <c r="AY455" s="95">
        <f t="shared" si="490"/>
        <v>2.2842936936000002E-5</v>
      </c>
    </row>
    <row r="456" spans="1:51" x14ac:dyDescent="0.3">
      <c r="A456" s="48" t="s">
        <v>22</v>
      </c>
      <c r="B456" s="48" t="str">
        <f>B452</f>
        <v>Трубопровод, Изомеризат рег. № 1608</v>
      </c>
      <c r="C456" s="166" t="s">
        <v>190</v>
      </c>
      <c r="D456" s="49" t="s">
        <v>84</v>
      </c>
      <c r="E456" s="154">
        <f>E455</f>
        <v>5.0000000000000004E-6</v>
      </c>
      <c r="F456" s="155">
        <f>F452</f>
        <v>36</v>
      </c>
      <c r="G456" s="48">
        <v>0.04</v>
      </c>
      <c r="H456" s="50">
        <f t="shared" si="480"/>
        <v>7.2000000000000005E-6</v>
      </c>
      <c r="I456" s="149">
        <f>0.15*I452</f>
        <v>0.18</v>
      </c>
      <c r="J456" s="149">
        <f>I455</f>
        <v>0.18</v>
      </c>
      <c r="K456" s="161" t="s">
        <v>180</v>
      </c>
      <c r="L456" s="165">
        <v>3</v>
      </c>
      <c r="M456" s="92" t="str">
        <f t="shared" si="481"/>
        <v>С5</v>
      </c>
      <c r="N456" s="92" t="str">
        <f t="shared" si="482"/>
        <v>Трубопровод, Изомеризат рег. № 1608</v>
      </c>
      <c r="O456" s="92" t="str">
        <f t="shared" si="483"/>
        <v>Частичное-пожар</v>
      </c>
      <c r="P456" s="92">
        <v>12.8</v>
      </c>
      <c r="Q456" s="92">
        <v>16.399999999999999</v>
      </c>
      <c r="R456" s="92">
        <v>21.7</v>
      </c>
      <c r="S456" s="92">
        <v>37.299999999999997</v>
      </c>
      <c r="T456" s="92" t="s">
        <v>83</v>
      </c>
      <c r="U456" s="92" t="s">
        <v>83</v>
      </c>
      <c r="V456" s="92" t="s">
        <v>83</v>
      </c>
      <c r="W456" s="92" t="s">
        <v>83</v>
      </c>
      <c r="X456" s="92" t="s">
        <v>83</v>
      </c>
      <c r="Y456" s="92" t="s">
        <v>83</v>
      </c>
      <c r="Z456" s="92" t="s">
        <v>83</v>
      </c>
      <c r="AA456" s="92" t="s">
        <v>83</v>
      </c>
      <c r="AB456" s="92" t="s">
        <v>83</v>
      </c>
      <c r="AC456" s="92" t="s">
        <v>83</v>
      </c>
      <c r="AD456" s="92" t="s">
        <v>83</v>
      </c>
      <c r="AE456" s="92" t="s">
        <v>83</v>
      </c>
      <c r="AF456" s="92" t="s">
        <v>83</v>
      </c>
      <c r="AG456" s="92" t="s">
        <v>83</v>
      </c>
      <c r="AH456" s="92" t="s">
        <v>83</v>
      </c>
      <c r="AI456" s="92" t="s">
        <v>83</v>
      </c>
      <c r="AJ456" s="92">
        <v>0</v>
      </c>
      <c r="AK456" s="92">
        <v>1</v>
      </c>
      <c r="AL456" s="92">
        <f>0.1*$AL$2</f>
        <v>7.5000000000000002E-4</v>
      </c>
      <c r="AM456" s="92">
        <f>AM452</f>
        <v>2.7E-2</v>
      </c>
      <c r="AN456" s="92">
        <f>ROUNDUP(AN452/3,0)</f>
        <v>1</v>
      </c>
      <c r="AO456" s="92"/>
      <c r="AP456" s="92"/>
      <c r="AQ456" s="93">
        <f>AM456*I456+AL456</f>
        <v>5.6099999999999995E-3</v>
      </c>
      <c r="AR456" s="93">
        <f t="shared" si="484"/>
        <v>5.6099999999999998E-4</v>
      </c>
      <c r="AS456" s="94">
        <f t="shared" si="485"/>
        <v>0.25</v>
      </c>
      <c r="AT456" s="94">
        <f t="shared" si="486"/>
        <v>6.4042749999999996E-2</v>
      </c>
      <c r="AU456" s="93">
        <f>10068.2*J456*POWER(10,-6)*10</f>
        <v>1.8122760000000002E-2</v>
      </c>
      <c r="AV456" s="94">
        <f t="shared" si="487"/>
        <v>0.33833650999999998</v>
      </c>
      <c r="AW456" s="95">
        <f t="shared" si="488"/>
        <v>0</v>
      </c>
      <c r="AX456" s="95">
        <f t="shared" si="489"/>
        <v>7.2000000000000005E-6</v>
      </c>
      <c r="AY456" s="95">
        <f t="shared" si="490"/>
        <v>2.436022872E-6</v>
      </c>
    </row>
    <row r="457" spans="1:51" ht="15" thickBot="1" x14ac:dyDescent="0.35">
      <c r="A457" s="48" t="s">
        <v>23</v>
      </c>
      <c r="B457" s="48" t="str">
        <f>B452</f>
        <v>Трубопровод, Изомеризат рег. № 1608</v>
      </c>
      <c r="C457" s="166" t="s">
        <v>164</v>
      </c>
      <c r="D457" s="49" t="s">
        <v>61</v>
      </c>
      <c r="E457" s="154">
        <f>E455</f>
        <v>5.0000000000000004E-6</v>
      </c>
      <c r="F457" s="155">
        <f>F452</f>
        <v>36</v>
      </c>
      <c r="G457" s="48">
        <v>0.76</v>
      </c>
      <c r="H457" s="50">
        <f t="shared" si="480"/>
        <v>1.3680000000000002E-4</v>
      </c>
      <c r="I457" s="149">
        <f>0.15*I452</f>
        <v>0.18</v>
      </c>
      <c r="J457" s="48">
        <v>0</v>
      </c>
      <c r="K457" s="162" t="s">
        <v>191</v>
      </c>
      <c r="L457" s="168">
        <v>3</v>
      </c>
      <c r="M457" s="92" t="str">
        <f t="shared" si="481"/>
        <v>С6</v>
      </c>
      <c r="N457" s="92" t="str">
        <f t="shared" si="482"/>
        <v>Трубопровод, Изомеризат рег. № 1608</v>
      </c>
      <c r="O457" s="92" t="str">
        <f t="shared" si="483"/>
        <v>Частичное-ликвидация</v>
      </c>
      <c r="P457" s="92" t="s">
        <v>83</v>
      </c>
      <c r="Q457" s="92" t="s">
        <v>83</v>
      </c>
      <c r="R457" s="92" t="s">
        <v>83</v>
      </c>
      <c r="S457" s="92" t="s">
        <v>83</v>
      </c>
      <c r="T457" s="92" t="s">
        <v>83</v>
      </c>
      <c r="U457" s="92" t="s">
        <v>83</v>
      </c>
      <c r="V457" s="92" t="s">
        <v>83</v>
      </c>
      <c r="W457" s="92" t="s">
        <v>83</v>
      </c>
      <c r="X457" s="92" t="s">
        <v>83</v>
      </c>
      <c r="Y457" s="92" t="s">
        <v>83</v>
      </c>
      <c r="Z457" s="92" t="s">
        <v>83</v>
      </c>
      <c r="AA457" s="92" t="s">
        <v>83</v>
      </c>
      <c r="AB457" s="92" t="s">
        <v>83</v>
      </c>
      <c r="AC457" s="92" t="s">
        <v>83</v>
      </c>
      <c r="AD457" s="92" t="s">
        <v>83</v>
      </c>
      <c r="AE457" s="92" t="s">
        <v>83</v>
      </c>
      <c r="AF457" s="92" t="s">
        <v>83</v>
      </c>
      <c r="AG457" s="92" t="s">
        <v>83</v>
      </c>
      <c r="AH457" s="92" t="s">
        <v>83</v>
      </c>
      <c r="AI457" s="92" t="s">
        <v>83</v>
      </c>
      <c r="AJ457" s="92">
        <v>0</v>
      </c>
      <c r="AK457" s="92">
        <v>0</v>
      </c>
      <c r="AL457" s="92">
        <f>0.1*$AL$2</f>
        <v>7.5000000000000002E-4</v>
      </c>
      <c r="AM457" s="92">
        <f>AM452</f>
        <v>2.7E-2</v>
      </c>
      <c r="AN457" s="92">
        <f>ROUNDUP(AN452/3,0)</f>
        <v>1</v>
      </c>
      <c r="AO457" s="92"/>
      <c r="AP457" s="92"/>
      <c r="AQ457" s="93">
        <f>AM457*I457*0.1+AL457</f>
        <v>1.2360000000000001E-3</v>
      </c>
      <c r="AR457" s="93">
        <f t="shared" si="484"/>
        <v>1.2360000000000002E-4</v>
      </c>
      <c r="AS457" s="94">
        <f t="shared" si="485"/>
        <v>0</v>
      </c>
      <c r="AT457" s="94">
        <f t="shared" si="486"/>
        <v>3.3990000000000002E-4</v>
      </c>
      <c r="AU457" s="93">
        <f>1333*J456*POWER(10,-6)</f>
        <v>2.3993999999999998E-4</v>
      </c>
      <c r="AV457" s="94">
        <f t="shared" si="487"/>
        <v>1.9394400000000002E-3</v>
      </c>
      <c r="AW457" s="95">
        <f t="shared" si="488"/>
        <v>0</v>
      </c>
      <c r="AX457" s="95">
        <f t="shared" si="489"/>
        <v>0</v>
      </c>
      <c r="AY457" s="95">
        <f t="shared" si="490"/>
        <v>2.6531539200000006E-7</v>
      </c>
    </row>
    <row r="458" spans="1:51" x14ac:dyDescent="0.3">
      <c r="A458" s="48"/>
      <c r="B458" s="48"/>
      <c r="C458" s="166"/>
      <c r="D458" s="49"/>
      <c r="E458" s="154"/>
      <c r="F458" s="155"/>
      <c r="G458" s="48"/>
      <c r="H458" s="50"/>
      <c r="I458" s="149"/>
      <c r="J458" s="48"/>
      <c r="K458" s="278"/>
      <c r="L458" s="279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  <c r="AL458" s="92"/>
      <c r="AM458" s="92"/>
      <c r="AN458" s="92"/>
      <c r="AO458" s="92"/>
      <c r="AP458" s="92"/>
      <c r="AQ458" s="93"/>
      <c r="AR458" s="93"/>
      <c r="AS458" s="94"/>
      <c r="AT458" s="94"/>
      <c r="AU458" s="93"/>
      <c r="AV458" s="94"/>
      <c r="AW458" s="95"/>
      <c r="AX458" s="95"/>
      <c r="AY458" s="95"/>
    </row>
    <row r="459" spans="1:51" s="267" customFormat="1" x14ac:dyDescent="0.3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</row>
    <row r="460" spans="1:51" s="267" customFormat="1" x14ac:dyDescent="0.3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</row>
    <row r="461" spans="1:51" ht="15" thickBot="1" x14ac:dyDescent="0.35"/>
    <row r="462" spans="1:51" ht="15" thickBot="1" x14ac:dyDescent="0.35">
      <c r="A462" s="48" t="s">
        <v>18</v>
      </c>
      <c r="B462" s="294" t="s">
        <v>638</v>
      </c>
      <c r="C462" s="166" t="s">
        <v>159</v>
      </c>
      <c r="D462" s="49" t="s">
        <v>59</v>
      </c>
      <c r="E462" s="153">
        <v>9.9999999999999995E-8</v>
      </c>
      <c r="F462" s="150">
        <v>171</v>
      </c>
      <c r="G462" s="48">
        <v>0.2</v>
      </c>
      <c r="H462" s="50">
        <f t="shared" ref="H462:H467" si="491">E462*F462*G462</f>
        <v>3.4199999999999999E-6</v>
      </c>
      <c r="I462" s="151">
        <v>1.02</v>
      </c>
      <c r="J462" s="149">
        <f>I462</f>
        <v>1.02</v>
      </c>
      <c r="K462" s="159" t="s">
        <v>175</v>
      </c>
      <c r="L462" s="164">
        <f>J462*20</f>
        <v>20.399999999999999</v>
      </c>
      <c r="M462" s="92" t="str">
        <f t="shared" ref="M462:M467" si="492">A462</f>
        <v>С1</v>
      </c>
      <c r="N462" s="92" t="str">
        <f t="shared" ref="N462:N467" si="493">B462</f>
        <v>Арктическое дизельное топливо рег. № 859 трубопровод</v>
      </c>
      <c r="O462" s="92" t="str">
        <f t="shared" ref="O462:O467" si="494">D462</f>
        <v>Полное-пожар</v>
      </c>
      <c r="P462" s="92">
        <v>17.100000000000001</v>
      </c>
      <c r="Q462" s="92">
        <v>23.5</v>
      </c>
      <c r="R462" s="92">
        <v>33.1</v>
      </c>
      <c r="S462" s="92">
        <v>61.2</v>
      </c>
      <c r="T462" s="92" t="s">
        <v>83</v>
      </c>
      <c r="U462" s="92" t="s">
        <v>83</v>
      </c>
      <c r="V462" s="92" t="s">
        <v>83</v>
      </c>
      <c r="W462" s="92" t="s">
        <v>83</v>
      </c>
      <c r="X462" s="92" t="s">
        <v>83</v>
      </c>
      <c r="Y462" s="92" t="s">
        <v>83</v>
      </c>
      <c r="Z462" s="92" t="s">
        <v>83</v>
      </c>
      <c r="AA462" s="92" t="s">
        <v>83</v>
      </c>
      <c r="AB462" s="92" t="s">
        <v>83</v>
      </c>
      <c r="AC462" s="92" t="s">
        <v>83</v>
      </c>
      <c r="AD462" s="92" t="s">
        <v>83</v>
      </c>
      <c r="AE462" s="92" t="s">
        <v>83</v>
      </c>
      <c r="AF462" s="92" t="s">
        <v>83</v>
      </c>
      <c r="AG462" s="92" t="s">
        <v>83</v>
      </c>
      <c r="AH462" s="92" t="s">
        <v>83</v>
      </c>
      <c r="AI462" s="92" t="s">
        <v>83</v>
      </c>
      <c r="AJ462" s="52">
        <v>1</v>
      </c>
      <c r="AK462" s="52">
        <v>2</v>
      </c>
      <c r="AL462" s="152">
        <v>0.75</v>
      </c>
      <c r="AM462" s="152">
        <v>2.7E-2</v>
      </c>
      <c r="AN462" s="152">
        <v>3</v>
      </c>
      <c r="AO462" s="92"/>
      <c r="AP462" s="92"/>
      <c r="AQ462" s="93">
        <f>AM462*I462+AL462</f>
        <v>0.77754000000000001</v>
      </c>
      <c r="AR462" s="93">
        <f t="shared" ref="AR462:AR467" si="495">0.1*AQ462</f>
        <v>7.7754000000000004E-2</v>
      </c>
      <c r="AS462" s="94">
        <f t="shared" ref="AS462:AS467" si="496">AJ462*3+0.25*AK462</f>
        <v>3.5</v>
      </c>
      <c r="AT462" s="94">
        <f t="shared" ref="AT462:AT467" si="497">SUM(AQ462:AS462)/4</f>
        <v>1.0888234999999999</v>
      </c>
      <c r="AU462" s="93">
        <f>10068.2*J462*POWER(10,-6)</f>
        <v>1.0269564E-2</v>
      </c>
      <c r="AV462" s="94">
        <f t="shared" ref="AV462:AV467" si="498">AU462+AT462+AS462+AR462+AQ462</f>
        <v>5.4543870639999996</v>
      </c>
      <c r="AW462" s="95">
        <f t="shared" ref="AW462:AW467" si="499">AJ462*H462</f>
        <v>3.4199999999999999E-6</v>
      </c>
      <c r="AX462" s="95">
        <f t="shared" ref="AX462:AX467" si="500">H462*AK462</f>
        <v>6.8399999999999997E-6</v>
      </c>
      <c r="AY462" s="95">
        <f t="shared" ref="AY462:AY467" si="501">H462*AV462</f>
        <v>1.8654003758879999E-5</v>
      </c>
    </row>
    <row r="463" spans="1:51" ht="15" thickBot="1" x14ac:dyDescent="0.35">
      <c r="A463" s="48" t="s">
        <v>19</v>
      </c>
      <c r="B463" s="48" t="str">
        <f>B462</f>
        <v>Арктическое дизельное топливо рег. № 859 трубопровод</v>
      </c>
      <c r="C463" s="166" t="s">
        <v>174</v>
      </c>
      <c r="D463" s="49" t="s">
        <v>59</v>
      </c>
      <c r="E463" s="154">
        <f>E462</f>
        <v>9.9999999999999995E-8</v>
      </c>
      <c r="F463" s="155">
        <f>F462</f>
        <v>171</v>
      </c>
      <c r="G463" s="48">
        <v>0.04</v>
      </c>
      <c r="H463" s="50">
        <f t="shared" si="491"/>
        <v>6.8399999999999993E-7</v>
      </c>
      <c r="I463" s="149">
        <f>I462</f>
        <v>1.02</v>
      </c>
      <c r="J463" s="149">
        <f>I462</f>
        <v>1.02</v>
      </c>
      <c r="K463" s="159" t="s">
        <v>176</v>
      </c>
      <c r="L463" s="164">
        <v>0</v>
      </c>
      <c r="M463" s="92" t="str">
        <f t="shared" si="492"/>
        <v>С2</v>
      </c>
      <c r="N463" s="92" t="str">
        <f t="shared" si="493"/>
        <v>Арктическое дизельное топливо рег. № 859 трубопровод</v>
      </c>
      <c r="O463" s="92" t="str">
        <f t="shared" si="494"/>
        <v>Полное-пожар</v>
      </c>
      <c r="P463" s="92">
        <v>17.100000000000001</v>
      </c>
      <c r="Q463" s="92">
        <v>23.5</v>
      </c>
      <c r="R463" s="92">
        <v>33.1</v>
      </c>
      <c r="S463" s="92">
        <v>61.2</v>
      </c>
      <c r="T463" s="92" t="s">
        <v>83</v>
      </c>
      <c r="U463" s="92" t="s">
        <v>83</v>
      </c>
      <c r="V463" s="92" t="s">
        <v>83</v>
      </c>
      <c r="W463" s="92" t="s">
        <v>83</v>
      </c>
      <c r="X463" s="92" t="s">
        <v>83</v>
      </c>
      <c r="Y463" s="92" t="s">
        <v>83</v>
      </c>
      <c r="Z463" s="92" t="s">
        <v>83</v>
      </c>
      <c r="AA463" s="92" t="s">
        <v>83</v>
      </c>
      <c r="AB463" s="92" t="s">
        <v>83</v>
      </c>
      <c r="AC463" s="92" t="s">
        <v>83</v>
      </c>
      <c r="AD463" s="92" t="s">
        <v>83</v>
      </c>
      <c r="AE463" s="92" t="s">
        <v>83</v>
      </c>
      <c r="AF463" s="92" t="s">
        <v>83</v>
      </c>
      <c r="AG463" s="92" t="s">
        <v>83</v>
      </c>
      <c r="AH463" s="92" t="s">
        <v>83</v>
      </c>
      <c r="AI463" s="92" t="s">
        <v>83</v>
      </c>
      <c r="AJ463" s="52">
        <v>2</v>
      </c>
      <c r="AK463" s="52">
        <v>2</v>
      </c>
      <c r="AL463" s="92">
        <f>AL462</f>
        <v>0.75</v>
      </c>
      <c r="AM463" s="92">
        <f>AM462</f>
        <v>2.7E-2</v>
      </c>
      <c r="AN463" s="92">
        <f>AN462</f>
        <v>3</v>
      </c>
      <c r="AO463" s="92"/>
      <c r="AP463" s="92"/>
      <c r="AQ463" s="93">
        <f>AM463*I463+AL463</f>
        <v>0.77754000000000001</v>
      </c>
      <c r="AR463" s="93">
        <f t="shared" si="495"/>
        <v>7.7754000000000004E-2</v>
      </c>
      <c r="AS463" s="94">
        <f t="shared" si="496"/>
        <v>6.5</v>
      </c>
      <c r="AT463" s="94">
        <f t="shared" si="497"/>
        <v>1.8388234999999999</v>
      </c>
      <c r="AU463" s="93">
        <f>10068.2*J463*POWER(10,-6)*10</f>
        <v>0.10269564</v>
      </c>
      <c r="AV463" s="94">
        <f t="shared" si="498"/>
        <v>9.2968131400000011</v>
      </c>
      <c r="AW463" s="95">
        <f t="shared" si="499"/>
        <v>1.3679999999999999E-6</v>
      </c>
      <c r="AX463" s="95">
        <f t="shared" si="500"/>
        <v>1.3679999999999999E-6</v>
      </c>
      <c r="AY463" s="95">
        <f t="shared" si="501"/>
        <v>6.3590201877600004E-6</v>
      </c>
    </row>
    <row r="464" spans="1:51" x14ac:dyDescent="0.3">
      <c r="A464" s="48" t="s">
        <v>20</v>
      </c>
      <c r="B464" s="48" t="str">
        <f>B462</f>
        <v>Арктическое дизельное топливо рег. № 859 трубопровод</v>
      </c>
      <c r="C464" s="166" t="s">
        <v>161</v>
      </c>
      <c r="D464" s="49" t="s">
        <v>60</v>
      </c>
      <c r="E464" s="154">
        <f>E462</f>
        <v>9.9999999999999995E-8</v>
      </c>
      <c r="F464" s="155">
        <f>F462</f>
        <v>171</v>
      </c>
      <c r="G464" s="48">
        <v>0.76</v>
      </c>
      <c r="H464" s="50">
        <f t="shared" si="491"/>
        <v>1.2995999999999999E-5</v>
      </c>
      <c r="I464" s="149">
        <f>I462</f>
        <v>1.02</v>
      </c>
      <c r="J464" s="48">
        <v>0</v>
      </c>
      <c r="K464" s="159" t="s">
        <v>177</v>
      </c>
      <c r="L464" s="164">
        <v>0</v>
      </c>
      <c r="M464" s="92" t="str">
        <f t="shared" si="492"/>
        <v>С3</v>
      </c>
      <c r="N464" s="92" t="str">
        <f t="shared" si="493"/>
        <v>Арктическое дизельное топливо рег. № 859 трубопровод</v>
      </c>
      <c r="O464" s="92" t="str">
        <f t="shared" si="494"/>
        <v>Полное-ликвидация</v>
      </c>
      <c r="P464" s="92" t="s">
        <v>83</v>
      </c>
      <c r="Q464" s="92" t="s">
        <v>83</v>
      </c>
      <c r="R464" s="92" t="s">
        <v>83</v>
      </c>
      <c r="S464" s="92" t="s">
        <v>83</v>
      </c>
      <c r="T464" s="92" t="s">
        <v>83</v>
      </c>
      <c r="U464" s="92" t="s">
        <v>83</v>
      </c>
      <c r="V464" s="92" t="s">
        <v>83</v>
      </c>
      <c r="W464" s="92" t="s">
        <v>83</v>
      </c>
      <c r="X464" s="92" t="s">
        <v>83</v>
      </c>
      <c r="Y464" s="92" t="s">
        <v>83</v>
      </c>
      <c r="Z464" s="92" t="s">
        <v>83</v>
      </c>
      <c r="AA464" s="92" t="s">
        <v>83</v>
      </c>
      <c r="AB464" s="92" t="s">
        <v>83</v>
      </c>
      <c r="AC464" s="92" t="s">
        <v>83</v>
      </c>
      <c r="AD464" s="92" t="s">
        <v>83</v>
      </c>
      <c r="AE464" s="92" t="s">
        <v>83</v>
      </c>
      <c r="AF464" s="92" t="s">
        <v>83</v>
      </c>
      <c r="AG464" s="92" t="s">
        <v>83</v>
      </c>
      <c r="AH464" s="92" t="s">
        <v>83</v>
      </c>
      <c r="AI464" s="92" t="s">
        <v>83</v>
      </c>
      <c r="AJ464" s="92">
        <v>0</v>
      </c>
      <c r="AK464" s="92">
        <v>0</v>
      </c>
      <c r="AL464" s="92">
        <f>AL462</f>
        <v>0.75</v>
      </c>
      <c r="AM464" s="92">
        <f>AM462</f>
        <v>2.7E-2</v>
      </c>
      <c r="AN464" s="92">
        <f>AN462</f>
        <v>3</v>
      </c>
      <c r="AO464" s="92"/>
      <c r="AP464" s="92"/>
      <c r="AQ464" s="93">
        <f>AM464*I464*0.1+AL464</f>
        <v>0.75275400000000003</v>
      </c>
      <c r="AR464" s="93">
        <f t="shared" si="495"/>
        <v>7.5275400000000006E-2</v>
      </c>
      <c r="AS464" s="94">
        <f t="shared" si="496"/>
        <v>0</v>
      </c>
      <c r="AT464" s="94">
        <f t="shared" si="497"/>
        <v>0.20700735000000001</v>
      </c>
      <c r="AU464" s="93">
        <f>1333*J463*POWER(10,-6)</f>
        <v>1.3596599999999999E-3</v>
      </c>
      <c r="AV464" s="94">
        <f t="shared" si="498"/>
        <v>1.03639641</v>
      </c>
      <c r="AW464" s="95">
        <f t="shared" si="499"/>
        <v>0</v>
      </c>
      <c r="AX464" s="95">
        <f t="shared" si="500"/>
        <v>0</v>
      </c>
      <c r="AY464" s="95">
        <f t="shared" si="501"/>
        <v>1.3469007744359999E-5</v>
      </c>
    </row>
    <row r="465" spans="1:51" x14ac:dyDescent="0.3">
      <c r="A465" s="48" t="s">
        <v>21</v>
      </c>
      <c r="B465" s="48" t="str">
        <f>B462</f>
        <v>Арктическое дизельное топливо рег. № 859 трубопровод</v>
      </c>
      <c r="C465" s="166" t="s">
        <v>162</v>
      </c>
      <c r="D465" s="49" t="s">
        <v>84</v>
      </c>
      <c r="E465" s="153">
        <v>5.0000000000000004E-6</v>
      </c>
      <c r="F465" s="155">
        <f>F462</f>
        <v>171</v>
      </c>
      <c r="G465" s="48">
        <v>0.2</v>
      </c>
      <c r="H465" s="50">
        <f t="shared" si="491"/>
        <v>1.7100000000000004E-4</v>
      </c>
      <c r="I465" s="149">
        <f>0.15*I462</f>
        <v>0.153</v>
      </c>
      <c r="J465" s="149">
        <f>I465</f>
        <v>0.153</v>
      </c>
      <c r="K465" s="161" t="s">
        <v>179</v>
      </c>
      <c r="L465" s="165">
        <v>45390</v>
      </c>
      <c r="M465" s="92" t="str">
        <f t="shared" si="492"/>
        <v>С4</v>
      </c>
      <c r="N465" s="92" t="str">
        <f t="shared" si="493"/>
        <v>Арктическое дизельное топливо рег. № 859 трубопровод</v>
      </c>
      <c r="O465" s="92" t="str">
        <f t="shared" si="494"/>
        <v>Частичное-пожар</v>
      </c>
      <c r="P465" s="92">
        <v>12.8</v>
      </c>
      <c r="Q465" s="92">
        <v>16.399999999999999</v>
      </c>
      <c r="R465" s="92">
        <v>21.7</v>
      </c>
      <c r="S465" s="92">
        <v>37.299999999999997</v>
      </c>
      <c r="T465" s="92" t="s">
        <v>83</v>
      </c>
      <c r="U465" s="92" t="s">
        <v>83</v>
      </c>
      <c r="V465" s="92" t="s">
        <v>83</v>
      </c>
      <c r="W465" s="92" t="s">
        <v>83</v>
      </c>
      <c r="X465" s="92" t="s">
        <v>83</v>
      </c>
      <c r="Y465" s="92" t="s">
        <v>83</v>
      </c>
      <c r="Z465" s="92" t="s">
        <v>83</v>
      </c>
      <c r="AA465" s="92" t="s">
        <v>83</v>
      </c>
      <c r="AB465" s="92" t="s">
        <v>83</v>
      </c>
      <c r="AC465" s="92" t="s">
        <v>83</v>
      </c>
      <c r="AD465" s="92" t="s">
        <v>83</v>
      </c>
      <c r="AE465" s="92" t="s">
        <v>83</v>
      </c>
      <c r="AF465" s="92" t="s">
        <v>83</v>
      </c>
      <c r="AG465" s="92" t="s">
        <v>83</v>
      </c>
      <c r="AH465" s="92" t="s">
        <v>83</v>
      </c>
      <c r="AI465" s="92" t="s">
        <v>83</v>
      </c>
      <c r="AJ465" s="92">
        <v>0</v>
      </c>
      <c r="AK465" s="92">
        <v>2</v>
      </c>
      <c r="AL465" s="92">
        <f>0.1*$AL$2</f>
        <v>7.5000000000000002E-4</v>
      </c>
      <c r="AM465" s="92">
        <f>AM462</f>
        <v>2.7E-2</v>
      </c>
      <c r="AN465" s="92">
        <f>ROUNDUP(AN462/3,0)</f>
        <v>1</v>
      </c>
      <c r="AO465" s="92"/>
      <c r="AP465" s="92"/>
      <c r="AQ465" s="93">
        <f>AM465*I465+AL465</f>
        <v>4.8809999999999999E-3</v>
      </c>
      <c r="AR465" s="93">
        <f t="shared" si="495"/>
        <v>4.8809999999999999E-4</v>
      </c>
      <c r="AS465" s="94">
        <f t="shared" si="496"/>
        <v>0.5</v>
      </c>
      <c r="AT465" s="94">
        <f t="shared" si="497"/>
        <v>0.126342275</v>
      </c>
      <c r="AU465" s="93">
        <f>10068.2*J465*POWER(10,-6)</f>
        <v>1.5404346E-3</v>
      </c>
      <c r="AV465" s="94">
        <f t="shared" si="498"/>
        <v>0.63325180960000005</v>
      </c>
      <c r="AW465" s="95">
        <f t="shared" si="499"/>
        <v>0</v>
      </c>
      <c r="AX465" s="95">
        <f t="shared" si="500"/>
        <v>3.4200000000000007E-4</v>
      </c>
      <c r="AY465" s="95">
        <f t="shared" si="501"/>
        <v>1.0828605944160003E-4</v>
      </c>
    </row>
    <row r="466" spans="1:51" x14ac:dyDescent="0.3">
      <c r="A466" s="48" t="s">
        <v>22</v>
      </c>
      <c r="B466" s="48" t="str">
        <f>B462</f>
        <v>Арктическое дизельное топливо рег. № 859 трубопровод</v>
      </c>
      <c r="C466" s="166" t="s">
        <v>190</v>
      </c>
      <c r="D466" s="49" t="s">
        <v>84</v>
      </c>
      <c r="E466" s="154">
        <f>E465</f>
        <v>5.0000000000000004E-6</v>
      </c>
      <c r="F466" s="155">
        <f>F462</f>
        <v>171</v>
      </c>
      <c r="G466" s="48">
        <v>0.04</v>
      </c>
      <c r="H466" s="50">
        <f t="shared" si="491"/>
        <v>3.4200000000000005E-5</v>
      </c>
      <c r="I466" s="149">
        <f>0.15*I462</f>
        <v>0.153</v>
      </c>
      <c r="J466" s="149">
        <f>I465</f>
        <v>0.153</v>
      </c>
      <c r="K466" s="161" t="s">
        <v>180</v>
      </c>
      <c r="L466" s="165">
        <v>3</v>
      </c>
      <c r="M466" s="92" t="str">
        <f t="shared" si="492"/>
        <v>С5</v>
      </c>
      <c r="N466" s="92" t="str">
        <f t="shared" si="493"/>
        <v>Арктическое дизельное топливо рег. № 859 трубопровод</v>
      </c>
      <c r="O466" s="92" t="str">
        <f t="shared" si="494"/>
        <v>Частичное-пожар</v>
      </c>
      <c r="P466" s="92">
        <v>12.8</v>
      </c>
      <c r="Q466" s="92">
        <v>16.399999999999999</v>
      </c>
      <c r="R466" s="92">
        <v>21.7</v>
      </c>
      <c r="S466" s="92">
        <v>37.299999999999997</v>
      </c>
      <c r="T466" s="92" t="s">
        <v>83</v>
      </c>
      <c r="U466" s="92" t="s">
        <v>83</v>
      </c>
      <c r="V466" s="92" t="s">
        <v>83</v>
      </c>
      <c r="W466" s="92" t="s">
        <v>83</v>
      </c>
      <c r="X466" s="92" t="s">
        <v>83</v>
      </c>
      <c r="Y466" s="92" t="s">
        <v>83</v>
      </c>
      <c r="Z466" s="92" t="s">
        <v>83</v>
      </c>
      <c r="AA466" s="92" t="s">
        <v>83</v>
      </c>
      <c r="AB466" s="92" t="s">
        <v>83</v>
      </c>
      <c r="AC466" s="92" t="s">
        <v>83</v>
      </c>
      <c r="AD466" s="92" t="s">
        <v>83</v>
      </c>
      <c r="AE466" s="92" t="s">
        <v>83</v>
      </c>
      <c r="AF466" s="92" t="s">
        <v>83</v>
      </c>
      <c r="AG466" s="92" t="s">
        <v>83</v>
      </c>
      <c r="AH466" s="92" t="s">
        <v>83</v>
      </c>
      <c r="AI466" s="92" t="s">
        <v>83</v>
      </c>
      <c r="AJ466" s="92">
        <v>0</v>
      </c>
      <c r="AK466" s="92">
        <v>1</v>
      </c>
      <c r="AL466" s="92">
        <f>0.1*$AL$2</f>
        <v>7.5000000000000002E-4</v>
      </c>
      <c r="AM466" s="92">
        <f>AM462</f>
        <v>2.7E-2</v>
      </c>
      <c r="AN466" s="92">
        <f>ROUNDUP(AN462/3,0)</f>
        <v>1</v>
      </c>
      <c r="AO466" s="92"/>
      <c r="AP466" s="92"/>
      <c r="AQ466" s="93">
        <f>AM466*I466+AL466</f>
        <v>4.8809999999999999E-3</v>
      </c>
      <c r="AR466" s="93">
        <f t="shared" si="495"/>
        <v>4.8809999999999999E-4</v>
      </c>
      <c r="AS466" s="94">
        <f t="shared" si="496"/>
        <v>0.25</v>
      </c>
      <c r="AT466" s="94">
        <f t="shared" si="497"/>
        <v>6.3842275000000004E-2</v>
      </c>
      <c r="AU466" s="93">
        <f>10068.2*J466*POWER(10,-6)*10</f>
        <v>1.5404345999999999E-2</v>
      </c>
      <c r="AV466" s="94">
        <f t="shared" si="498"/>
        <v>0.33461572100000003</v>
      </c>
      <c r="AW466" s="95">
        <f t="shared" si="499"/>
        <v>0</v>
      </c>
      <c r="AX466" s="95">
        <f t="shared" si="500"/>
        <v>3.4200000000000005E-5</v>
      </c>
      <c r="AY466" s="95">
        <f t="shared" si="501"/>
        <v>1.1443857658200002E-5</v>
      </c>
    </row>
    <row r="467" spans="1:51" ht="15" thickBot="1" x14ac:dyDescent="0.35">
      <c r="A467" s="48" t="s">
        <v>23</v>
      </c>
      <c r="B467" s="48" t="str">
        <f>B462</f>
        <v>Арктическое дизельное топливо рег. № 859 трубопровод</v>
      </c>
      <c r="C467" s="166" t="s">
        <v>164</v>
      </c>
      <c r="D467" s="49" t="s">
        <v>61</v>
      </c>
      <c r="E467" s="154">
        <f>E465</f>
        <v>5.0000000000000004E-6</v>
      </c>
      <c r="F467" s="155">
        <f>F462</f>
        <v>171</v>
      </c>
      <c r="G467" s="48">
        <v>0.76</v>
      </c>
      <c r="H467" s="50">
        <f t="shared" si="491"/>
        <v>6.4980000000000007E-4</v>
      </c>
      <c r="I467" s="149">
        <f>0.15*I462</f>
        <v>0.153</v>
      </c>
      <c r="J467" s="48">
        <v>0</v>
      </c>
      <c r="K467" s="162" t="s">
        <v>191</v>
      </c>
      <c r="L467" s="168">
        <v>3</v>
      </c>
      <c r="M467" s="92" t="str">
        <f t="shared" si="492"/>
        <v>С6</v>
      </c>
      <c r="N467" s="92" t="str">
        <f t="shared" si="493"/>
        <v>Арктическое дизельное топливо рег. № 859 трубопровод</v>
      </c>
      <c r="O467" s="92" t="str">
        <f t="shared" si="494"/>
        <v>Частичное-ликвидация</v>
      </c>
      <c r="P467" s="92" t="s">
        <v>83</v>
      </c>
      <c r="Q467" s="92" t="s">
        <v>83</v>
      </c>
      <c r="R467" s="92" t="s">
        <v>83</v>
      </c>
      <c r="S467" s="92" t="s">
        <v>83</v>
      </c>
      <c r="T467" s="92" t="s">
        <v>83</v>
      </c>
      <c r="U467" s="92" t="s">
        <v>83</v>
      </c>
      <c r="V467" s="92" t="s">
        <v>83</v>
      </c>
      <c r="W467" s="92" t="s">
        <v>83</v>
      </c>
      <c r="X467" s="92" t="s">
        <v>83</v>
      </c>
      <c r="Y467" s="92" t="s">
        <v>83</v>
      </c>
      <c r="Z467" s="92" t="s">
        <v>83</v>
      </c>
      <c r="AA467" s="92" t="s">
        <v>83</v>
      </c>
      <c r="AB467" s="92" t="s">
        <v>83</v>
      </c>
      <c r="AC467" s="92" t="s">
        <v>83</v>
      </c>
      <c r="AD467" s="92" t="s">
        <v>83</v>
      </c>
      <c r="AE467" s="92" t="s">
        <v>83</v>
      </c>
      <c r="AF467" s="92" t="s">
        <v>83</v>
      </c>
      <c r="AG467" s="92" t="s">
        <v>83</v>
      </c>
      <c r="AH467" s="92" t="s">
        <v>83</v>
      </c>
      <c r="AI467" s="92" t="s">
        <v>83</v>
      </c>
      <c r="AJ467" s="92">
        <v>0</v>
      </c>
      <c r="AK467" s="92">
        <v>0</v>
      </c>
      <c r="AL467" s="92">
        <f>0.1*$AL$2</f>
        <v>7.5000000000000002E-4</v>
      </c>
      <c r="AM467" s="92">
        <f>AM462</f>
        <v>2.7E-2</v>
      </c>
      <c r="AN467" s="92">
        <f>ROUNDUP(AN462/3,0)</f>
        <v>1</v>
      </c>
      <c r="AO467" s="92"/>
      <c r="AP467" s="92"/>
      <c r="AQ467" s="93">
        <f>AM467*I467*0.1+AL467</f>
        <v>1.1631E-3</v>
      </c>
      <c r="AR467" s="93">
        <f t="shared" si="495"/>
        <v>1.1631E-4</v>
      </c>
      <c r="AS467" s="94">
        <f t="shared" si="496"/>
        <v>0</v>
      </c>
      <c r="AT467" s="94">
        <f t="shared" si="497"/>
        <v>3.1985249999999998E-4</v>
      </c>
      <c r="AU467" s="93">
        <f>1333*J466*POWER(10,-6)</f>
        <v>2.0394899999999998E-4</v>
      </c>
      <c r="AV467" s="94">
        <f t="shared" si="498"/>
        <v>1.8032115E-3</v>
      </c>
      <c r="AW467" s="95">
        <f t="shared" si="499"/>
        <v>0</v>
      </c>
      <c r="AX467" s="95">
        <f t="shared" si="500"/>
        <v>0</v>
      </c>
      <c r="AY467" s="95">
        <f t="shared" si="501"/>
        <v>1.1717268327000002E-6</v>
      </c>
    </row>
    <row r="468" spans="1:51" x14ac:dyDescent="0.3">
      <c r="A468" s="48"/>
      <c r="B468" s="48"/>
      <c r="C468" s="166"/>
      <c r="D468" s="49"/>
      <c r="E468" s="154"/>
      <c r="F468" s="155"/>
      <c r="G468" s="48"/>
      <c r="H468" s="50"/>
      <c r="I468" s="149"/>
      <c r="J468" s="48"/>
      <c r="K468" s="278"/>
      <c r="L468" s="279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  <c r="AE468" s="92"/>
      <c r="AF468" s="92"/>
      <c r="AG468" s="92"/>
      <c r="AH468" s="92"/>
      <c r="AI468" s="92"/>
      <c r="AJ468" s="92"/>
      <c r="AK468" s="92"/>
      <c r="AL468" s="92"/>
      <c r="AM468" s="92"/>
      <c r="AN468" s="92"/>
      <c r="AO468" s="92"/>
      <c r="AP468" s="92"/>
      <c r="AQ468" s="93"/>
      <c r="AR468" s="93"/>
      <c r="AS468" s="94"/>
      <c r="AT468" s="94"/>
      <c r="AU468" s="93"/>
      <c r="AV468" s="94"/>
      <c r="AW468" s="95"/>
      <c r="AX468" s="95"/>
      <c r="AY468" s="95"/>
    </row>
    <row r="469" spans="1:51" s="267" customFormat="1" x14ac:dyDescent="0.3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</row>
    <row r="470" spans="1:51" s="267" customFormat="1" x14ac:dyDescent="0.3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</row>
    <row r="471" spans="1:51" ht="15" thickBot="1" x14ac:dyDescent="0.35"/>
    <row r="472" spans="1:51" s="179" customFormat="1" ht="15" thickBot="1" x14ac:dyDescent="0.35">
      <c r="A472" s="169" t="s">
        <v>18</v>
      </c>
      <c r="B472" s="312" t="s">
        <v>637</v>
      </c>
      <c r="C472" s="171" t="s">
        <v>196</v>
      </c>
      <c r="D472" s="172" t="s">
        <v>59</v>
      </c>
      <c r="E472" s="173">
        <v>1.0000000000000001E-5</v>
      </c>
      <c r="F472" s="170">
        <v>1</v>
      </c>
      <c r="G472" s="169">
        <v>0.1</v>
      </c>
      <c r="H472" s="174">
        <f t="shared" ref="H472:H477" si="502">E472*F472*G472</f>
        <v>1.0000000000000002E-6</v>
      </c>
      <c r="I472" s="175">
        <v>6600</v>
      </c>
      <c r="J472" s="187">
        <f>I472</f>
        <v>6600</v>
      </c>
      <c r="K472" s="177" t="s">
        <v>175</v>
      </c>
      <c r="L472" s="178">
        <v>4225</v>
      </c>
      <c r="M472" s="179" t="str">
        <f t="shared" ref="M472:M477" si="503">A472</f>
        <v>С1</v>
      </c>
      <c r="N472" s="179" t="str">
        <f t="shared" ref="N472:N477" si="504">B472</f>
        <v>Резервуар РВС (8719T0003)</v>
      </c>
      <c r="O472" s="179" t="str">
        <f t="shared" ref="O472:O477" si="505">D472</f>
        <v>Полное-пожар</v>
      </c>
      <c r="P472" s="179" t="s">
        <v>83</v>
      </c>
      <c r="Q472" s="179" t="s">
        <v>83</v>
      </c>
      <c r="R472" s="179" t="s">
        <v>83</v>
      </c>
      <c r="S472" s="179" t="s">
        <v>83</v>
      </c>
      <c r="T472" s="179" t="s">
        <v>83</v>
      </c>
      <c r="U472" s="179" t="s">
        <v>83</v>
      </c>
      <c r="V472" s="179" t="s">
        <v>83</v>
      </c>
      <c r="W472" s="179" t="s">
        <v>83</v>
      </c>
      <c r="X472" s="179" t="s">
        <v>83</v>
      </c>
      <c r="Y472" s="179" t="s">
        <v>83</v>
      </c>
      <c r="Z472" s="179" t="s">
        <v>83</v>
      </c>
      <c r="AA472" s="179" t="s">
        <v>83</v>
      </c>
      <c r="AB472" s="179" t="s">
        <v>83</v>
      </c>
      <c r="AC472" s="179" t="s">
        <v>83</v>
      </c>
      <c r="AD472" s="179" t="s">
        <v>83</v>
      </c>
      <c r="AE472" s="179" t="s">
        <v>83</v>
      </c>
      <c r="AF472" s="179" t="s">
        <v>83</v>
      </c>
      <c r="AG472" s="179" t="s">
        <v>83</v>
      </c>
      <c r="AH472" s="179" t="s">
        <v>83</v>
      </c>
      <c r="AI472" s="179" t="s">
        <v>83</v>
      </c>
      <c r="AJ472" s="180">
        <v>1</v>
      </c>
      <c r="AK472" s="180">
        <v>2</v>
      </c>
      <c r="AL472" s="181">
        <v>0.75</v>
      </c>
      <c r="AM472" s="181">
        <v>2.7E-2</v>
      </c>
      <c r="AN472" s="181">
        <v>3</v>
      </c>
      <c r="AQ472" s="182">
        <f>AM472*I472+AL472</f>
        <v>178.95</v>
      </c>
      <c r="AR472" s="182">
        <f t="shared" ref="AR472:AR477" si="506">0.1*AQ472</f>
        <v>17.895</v>
      </c>
      <c r="AS472" s="183">
        <f t="shared" ref="AS472:AS477" si="507">AJ472*3+0.25*AK472</f>
        <v>3.5</v>
      </c>
      <c r="AT472" s="183">
        <f t="shared" ref="AT472:AT477" si="508">SUM(AQ472:AS472)/4</f>
        <v>50.08625</v>
      </c>
      <c r="AU472" s="182">
        <f>10068.2*J472*POWER(10,-6)</f>
        <v>66.450119999999998</v>
      </c>
      <c r="AV472" s="183">
        <f t="shared" ref="AV472:AV477" si="509">AU472+AT472+AS472+AR472+AQ472</f>
        <v>316.88137</v>
      </c>
      <c r="AW472" s="184">
        <f t="shared" ref="AW472:AW477" si="510">AJ472*H472</f>
        <v>1.0000000000000002E-6</v>
      </c>
      <c r="AX472" s="184">
        <f t="shared" ref="AX472:AX477" si="511">H472*AK472</f>
        <v>2.0000000000000003E-6</v>
      </c>
      <c r="AY472" s="184">
        <f t="shared" ref="AY472:AY477" si="512">H472*AV472</f>
        <v>3.1688137000000007E-4</v>
      </c>
    </row>
    <row r="473" spans="1:51" s="179" customFormat="1" ht="15" thickBot="1" x14ac:dyDescent="0.35">
      <c r="A473" s="169" t="s">
        <v>19</v>
      </c>
      <c r="B473" s="169" t="str">
        <f>B472</f>
        <v>Резервуар РВС (8719T0003)</v>
      </c>
      <c r="C473" s="171" t="s">
        <v>205</v>
      </c>
      <c r="D473" s="172" t="s">
        <v>59</v>
      </c>
      <c r="E473" s="185">
        <f>E472</f>
        <v>1.0000000000000001E-5</v>
      </c>
      <c r="F473" s="186">
        <f>F472</f>
        <v>1</v>
      </c>
      <c r="G473" s="169">
        <v>0.18000000000000002</v>
      </c>
      <c r="H473" s="174">
        <f t="shared" si="502"/>
        <v>1.8000000000000003E-6</v>
      </c>
      <c r="I473" s="187">
        <f>I472</f>
        <v>6600</v>
      </c>
      <c r="J473" s="187">
        <f>I472</f>
        <v>6600</v>
      </c>
      <c r="K473" s="177" t="s">
        <v>176</v>
      </c>
      <c r="L473" s="178">
        <v>0</v>
      </c>
      <c r="M473" s="179" t="str">
        <f t="shared" si="503"/>
        <v>С2</v>
      </c>
      <c r="N473" s="179" t="str">
        <f t="shared" si="504"/>
        <v>Резервуар РВС (8719T0003)</v>
      </c>
      <c r="O473" s="179" t="str">
        <f t="shared" si="505"/>
        <v>Полное-пожар</v>
      </c>
      <c r="P473" s="179" t="s">
        <v>83</v>
      </c>
      <c r="Q473" s="179" t="s">
        <v>83</v>
      </c>
      <c r="R473" s="179" t="s">
        <v>83</v>
      </c>
      <c r="S473" s="179" t="s">
        <v>83</v>
      </c>
      <c r="T473" s="179" t="s">
        <v>83</v>
      </c>
      <c r="U473" s="179" t="s">
        <v>83</v>
      </c>
      <c r="V473" s="179" t="s">
        <v>83</v>
      </c>
      <c r="W473" s="179" t="s">
        <v>83</v>
      </c>
      <c r="X473" s="179" t="s">
        <v>83</v>
      </c>
      <c r="Y473" s="179" t="s">
        <v>83</v>
      </c>
      <c r="Z473" s="179" t="s">
        <v>83</v>
      </c>
      <c r="AA473" s="179" t="s">
        <v>83</v>
      </c>
      <c r="AB473" s="179" t="s">
        <v>83</v>
      </c>
      <c r="AC473" s="179" t="s">
        <v>83</v>
      </c>
      <c r="AD473" s="179" t="s">
        <v>83</v>
      </c>
      <c r="AE473" s="179" t="s">
        <v>83</v>
      </c>
      <c r="AF473" s="179" t="s">
        <v>83</v>
      </c>
      <c r="AG473" s="179" t="s">
        <v>83</v>
      </c>
      <c r="AH473" s="179" t="s">
        <v>83</v>
      </c>
      <c r="AI473" s="179" t="s">
        <v>83</v>
      </c>
      <c r="AJ473" s="180">
        <v>2</v>
      </c>
      <c r="AK473" s="180">
        <v>2</v>
      </c>
      <c r="AL473" s="179">
        <f>AL472</f>
        <v>0.75</v>
      </c>
      <c r="AM473" s="179">
        <f>AM472</f>
        <v>2.7E-2</v>
      </c>
      <c r="AN473" s="179">
        <f>AN472</f>
        <v>3</v>
      </c>
      <c r="AQ473" s="182">
        <f>AM473*I473+AL473</f>
        <v>178.95</v>
      </c>
      <c r="AR473" s="182">
        <f t="shared" si="506"/>
        <v>17.895</v>
      </c>
      <c r="AS473" s="183">
        <f t="shared" si="507"/>
        <v>6.5</v>
      </c>
      <c r="AT473" s="183">
        <f t="shared" si="508"/>
        <v>50.83625</v>
      </c>
      <c r="AU473" s="182">
        <f>10068.2*J473*POWER(10,-6)*10</f>
        <v>664.50119999999993</v>
      </c>
      <c r="AV473" s="183">
        <f t="shared" si="509"/>
        <v>918.68244999999979</v>
      </c>
      <c r="AW473" s="184">
        <f t="shared" si="510"/>
        <v>3.6000000000000007E-6</v>
      </c>
      <c r="AX473" s="184">
        <f t="shared" si="511"/>
        <v>3.6000000000000007E-6</v>
      </c>
      <c r="AY473" s="184">
        <f t="shared" si="512"/>
        <v>1.65362841E-3</v>
      </c>
    </row>
    <row r="474" spans="1:51" s="179" customFormat="1" x14ac:dyDescent="0.3">
      <c r="A474" s="169" t="s">
        <v>20</v>
      </c>
      <c r="B474" s="169" t="str">
        <f>B472</f>
        <v>Резервуар РВС (8719T0003)</v>
      </c>
      <c r="C474" s="171" t="s">
        <v>198</v>
      </c>
      <c r="D474" s="172" t="s">
        <v>60</v>
      </c>
      <c r="E474" s="185">
        <f>E472</f>
        <v>1.0000000000000001E-5</v>
      </c>
      <c r="F474" s="186">
        <f>F472</f>
        <v>1</v>
      </c>
      <c r="G474" s="169">
        <v>0.72000000000000008</v>
      </c>
      <c r="H474" s="174">
        <f t="shared" si="502"/>
        <v>7.2000000000000014E-6</v>
      </c>
      <c r="I474" s="187">
        <f>I472</f>
        <v>6600</v>
      </c>
      <c r="J474" s="169">
        <v>0</v>
      </c>
      <c r="K474" s="177" t="s">
        <v>177</v>
      </c>
      <c r="L474" s="178">
        <v>0</v>
      </c>
      <c r="M474" s="179" t="str">
        <f t="shared" si="503"/>
        <v>С3</v>
      </c>
      <c r="N474" s="179" t="str">
        <f t="shared" si="504"/>
        <v>Резервуар РВС (8719T0003)</v>
      </c>
      <c r="O474" s="179" t="str">
        <f t="shared" si="505"/>
        <v>Полное-ликвидация</v>
      </c>
      <c r="P474" s="179" t="s">
        <v>83</v>
      </c>
      <c r="Q474" s="179" t="s">
        <v>83</v>
      </c>
      <c r="R474" s="179" t="s">
        <v>83</v>
      </c>
      <c r="S474" s="179" t="s">
        <v>83</v>
      </c>
      <c r="T474" s="179" t="s">
        <v>83</v>
      </c>
      <c r="U474" s="179" t="s">
        <v>83</v>
      </c>
      <c r="V474" s="179" t="s">
        <v>83</v>
      </c>
      <c r="W474" s="179" t="s">
        <v>83</v>
      </c>
      <c r="X474" s="179" t="s">
        <v>83</v>
      </c>
      <c r="Y474" s="179" t="s">
        <v>83</v>
      </c>
      <c r="Z474" s="179" t="s">
        <v>83</v>
      </c>
      <c r="AA474" s="179" t="s">
        <v>83</v>
      </c>
      <c r="AB474" s="179" t="s">
        <v>83</v>
      </c>
      <c r="AC474" s="179" t="s">
        <v>83</v>
      </c>
      <c r="AD474" s="179" t="s">
        <v>83</v>
      </c>
      <c r="AE474" s="179" t="s">
        <v>83</v>
      </c>
      <c r="AF474" s="179" t="s">
        <v>83</v>
      </c>
      <c r="AG474" s="179" t="s">
        <v>83</v>
      </c>
      <c r="AH474" s="179" t="s">
        <v>83</v>
      </c>
      <c r="AI474" s="179" t="s">
        <v>83</v>
      </c>
      <c r="AJ474" s="179">
        <v>0</v>
      </c>
      <c r="AK474" s="179">
        <v>0</v>
      </c>
      <c r="AL474" s="179">
        <f>AL472</f>
        <v>0.75</v>
      </c>
      <c r="AM474" s="179">
        <f>AM472</f>
        <v>2.7E-2</v>
      </c>
      <c r="AN474" s="179">
        <f>AN472</f>
        <v>3</v>
      </c>
      <c r="AQ474" s="182">
        <f>AM474*I474*0.1+AL474</f>
        <v>18.57</v>
      </c>
      <c r="AR474" s="182">
        <f t="shared" si="506"/>
        <v>1.8570000000000002</v>
      </c>
      <c r="AS474" s="183">
        <f t="shared" si="507"/>
        <v>0</v>
      </c>
      <c r="AT474" s="183">
        <f t="shared" si="508"/>
        <v>5.1067499999999999</v>
      </c>
      <c r="AU474" s="182">
        <f>1333*J473*POWER(10,-6)</f>
        <v>8.7977999999999987</v>
      </c>
      <c r="AV474" s="183">
        <f t="shared" si="509"/>
        <v>34.33155</v>
      </c>
      <c r="AW474" s="184">
        <f t="shared" si="510"/>
        <v>0</v>
      </c>
      <c r="AX474" s="184">
        <f t="shared" si="511"/>
        <v>0</v>
      </c>
      <c r="AY474" s="184">
        <f t="shared" si="512"/>
        <v>2.4718716000000007E-4</v>
      </c>
    </row>
    <row r="475" spans="1:51" s="179" customFormat="1" x14ac:dyDescent="0.3">
      <c r="A475" s="169" t="s">
        <v>21</v>
      </c>
      <c r="B475" s="169" t="str">
        <f>B472</f>
        <v>Резервуар РВС (8719T0003)</v>
      </c>
      <c r="C475" s="171" t="s">
        <v>199</v>
      </c>
      <c r="D475" s="172" t="s">
        <v>84</v>
      </c>
      <c r="E475" s="173">
        <v>1E-4</v>
      </c>
      <c r="F475" s="186">
        <f>F472</f>
        <v>1</v>
      </c>
      <c r="G475" s="169">
        <v>0.1</v>
      </c>
      <c r="H475" s="174">
        <f t="shared" si="502"/>
        <v>1.0000000000000001E-5</v>
      </c>
      <c r="I475" s="187">
        <f>0.15*I472</f>
        <v>990</v>
      </c>
      <c r="J475" s="187">
        <f>I475</f>
        <v>990</v>
      </c>
      <c r="K475" s="190" t="s">
        <v>179</v>
      </c>
      <c r="L475" s="191">
        <v>45390</v>
      </c>
      <c r="M475" s="179" t="str">
        <f t="shared" si="503"/>
        <v>С4</v>
      </c>
      <c r="N475" s="179" t="str">
        <f t="shared" si="504"/>
        <v>Резервуар РВС (8719T0003)</v>
      </c>
      <c r="O475" s="179" t="str">
        <f t="shared" si="505"/>
        <v>Частичное-пожар</v>
      </c>
      <c r="P475" s="179" t="s">
        <v>83</v>
      </c>
      <c r="Q475" s="179" t="s">
        <v>83</v>
      </c>
      <c r="R475" s="179" t="s">
        <v>83</v>
      </c>
      <c r="S475" s="179" t="s">
        <v>83</v>
      </c>
      <c r="T475" s="179" t="s">
        <v>83</v>
      </c>
      <c r="U475" s="179" t="s">
        <v>83</v>
      </c>
      <c r="V475" s="179" t="s">
        <v>83</v>
      </c>
      <c r="W475" s="179" t="s">
        <v>83</v>
      </c>
      <c r="X475" s="179" t="s">
        <v>83</v>
      </c>
      <c r="Y475" s="179" t="s">
        <v>83</v>
      </c>
      <c r="Z475" s="179" t="s">
        <v>83</v>
      </c>
      <c r="AA475" s="179" t="s">
        <v>83</v>
      </c>
      <c r="AB475" s="179" t="s">
        <v>83</v>
      </c>
      <c r="AC475" s="179" t="s">
        <v>83</v>
      </c>
      <c r="AD475" s="179" t="s">
        <v>83</v>
      </c>
      <c r="AE475" s="179" t="s">
        <v>83</v>
      </c>
      <c r="AF475" s="179" t="s">
        <v>83</v>
      </c>
      <c r="AG475" s="179" t="s">
        <v>83</v>
      </c>
      <c r="AH475" s="179" t="s">
        <v>83</v>
      </c>
      <c r="AI475" s="179" t="s">
        <v>83</v>
      </c>
      <c r="AJ475" s="179">
        <v>0</v>
      </c>
      <c r="AK475" s="179">
        <v>2</v>
      </c>
      <c r="AL475" s="179">
        <f>0.1*$AL$2</f>
        <v>7.5000000000000002E-4</v>
      </c>
      <c r="AM475" s="179">
        <f>AM472</f>
        <v>2.7E-2</v>
      </c>
      <c r="AN475" s="179">
        <f>ROUNDUP(AN472/3,0)</f>
        <v>1</v>
      </c>
      <c r="AQ475" s="182">
        <f>AM475*I475+AL475</f>
        <v>26.73075</v>
      </c>
      <c r="AR475" s="182">
        <f t="shared" si="506"/>
        <v>2.6730750000000003</v>
      </c>
      <c r="AS475" s="183">
        <f t="shared" si="507"/>
        <v>0.5</v>
      </c>
      <c r="AT475" s="183">
        <f t="shared" si="508"/>
        <v>7.4759562500000003</v>
      </c>
      <c r="AU475" s="182">
        <f>10068.2*J475*POWER(10,-6)</f>
        <v>9.9675180000000001</v>
      </c>
      <c r="AV475" s="183">
        <f t="shared" si="509"/>
        <v>47.347299250000006</v>
      </c>
      <c r="AW475" s="184">
        <f t="shared" si="510"/>
        <v>0</v>
      </c>
      <c r="AX475" s="184">
        <f t="shared" si="511"/>
        <v>2.0000000000000002E-5</v>
      </c>
      <c r="AY475" s="184">
        <f t="shared" si="512"/>
        <v>4.7347299250000011E-4</v>
      </c>
    </row>
    <row r="476" spans="1:51" s="179" customFormat="1" x14ac:dyDescent="0.3">
      <c r="A476" s="169" t="s">
        <v>22</v>
      </c>
      <c r="B476" s="169" t="str">
        <f>B472</f>
        <v>Резервуар РВС (8719T0003)</v>
      </c>
      <c r="C476" s="171" t="s">
        <v>206</v>
      </c>
      <c r="D476" s="172" t="s">
        <v>84</v>
      </c>
      <c r="E476" s="185">
        <f>E475</f>
        <v>1E-4</v>
      </c>
      <c r="F476" s="186">
        <f>F472</f>
        <v>1</v>
      </c>
      <c r="G476" s="169">
        <v>4.5000000000000005E-2</v>
      </c>
      <c r="H476" s="174">
        <f t="shared" si="502"/>
        <v>4.500000000000001E-6</v>
      </c>
      <c r="I476" s="187">
        <f>0.15*I472</f>
        <v>990</v>
      </c>
      <c r="J476" s="187">
        <f>I475</f>
        <v>990</v>
      </c>
      <c r="K476" s="190" t="s">
        <v>180</v>
      </c>
      <c r="L476" s="191">
        <v>3</v>
      </c>
      <c r="M476" s="179" t="str">
        <f t="shared" si="503"/>
        <v>С5</v>
      </c>
      <c r="N476" s="179" t="str">
        <f t="shared" si="504"/>
        <v>Резервуар РВС (8719T0003)</v>
      </c>
      <c r="O476" s="179" t="str">
        <f t="shared" si="505"/>
        <v>Частичное-пожар</v>
      </c>
      <c r="P476" s="179" t="s">
        <v>83</v>
      </c>
      <c r="Q476" s="179" t="s">
        <v>83</v>
      </c>
      <c r="R476" s="179" t="s">
        <v>83</v>
      </c>
      <c r="S476" s="179" t="s">
        <v>83</v>
      </c>
      <c r="T476" s="179" t="s">
        <v>83</v>
      </c>
      <c r="U476" s="179" t="s">
        <v>83</v>
      </c>
      <c r="V476" s="179" t="s">
        <v>83</v>
      </c>
      <c r="W476" s="179" t="s">
        <v>83</v>
      </c>
      <c r="X476" s="179" t="s">
        <v>83</v>
      </c>
      <c r="Y476" s="179" t="s">
        <v>83</v>
      </c>
      <c r="Z476" s="179" t="s">
        <v>83</v>
      </c>
      <c r="AA476" s="179" t="s">
        <v>83</v>
      </c>
      <c r="AB476" s="179" t="s">
        <v>83</v>
      </c>
      <c r="AC476" s="179" t="s">
        <v>83</v>
      </c>
      <c r="AD476" s="179" t="s">
        <v>83</v>
      </c>
      <c r="AE476" s="179" t="s">
        <v>83</v>
      </c>
      <c r="AF476" s="179" t="s">
        <v>83</v>
      </c>
      <c r="AG476" s="179" t="s">
        <v>83</v>
      </c>
      <c r="AH476" s="179" t="s">
        <v>83</v>
      </c>
      <c r="AI476" s="179" t="s">
        <v>83</v>
      </c>
      <c r="AJ476" s="179">
        <v>0</v>
      </c>
      <c r="AK476" s="179">
        <v>1</v>
      </c>
      <c r="AL476" s="179">
        <f>0.1*$AL$2</f>
        <v>7.5000000000000002E-4</v>
      </c>
      <c r="AM476" s="179">
        <f>AM472</f>
        <v>2.7E-2</v>
      </c>
      <c r="AN476" s="179">
        <f>ROUNDUP(AN472/3,0)</f>
        <v>1</v>
      </c>
      <c r="AQ476" s="182">
        <f>AM476*I476+AL476</f>
        <v>26.73075</v>
      </c>
      <c r="AR476" s="182">
        <f t="shared" si="506"/>
        <v>2.6730750000000003</v>
      </c>
      <c r="AS476" s="183">
        <f t="shared" si="507"/>
        <v>0.25</v>
      </c>
      <c r="AT476" s="183">
        <f t="shared" si="508"/>
        <v>7.4134562500000003</v>
      </c>
      <c r="AU476" s="182">
        <f>10068.2*J476*POWER(10,-6)*10</f>
        <v>99.675179999999997</v>
      </c>
      <c r="AV476" s="183">
        <f t="shared" si="509"/>
        <v>136.74246124999999</v>
      </c>
      <c r="AW476" s="184">
        <f t="shared" si="510"/>
        <v>0</v>
      </c>
      <c r="AX476" s="184">
        <f t="shared" si="511"/>
        <v>4.500000000000001E-6</v>
      </c>
      <c r="AY476" s="184">
        <f t="shared" si="512"/>
        <v>6.1534107562500012E-4</v>
      </c>
    </row>
    <row r="477" spans="1:51" s="179" customFormat="1" ht="15" thickBot="1" x14ac:dyDescent="0.35">
      <c r="A477" s="169" t="s">
        <v>23</v>
      </c>
      <c r="B477" s="169" t="str">
        <f>B472</f>
        <v>Резервуар РВС (8719T0003)</v>
      </c>
      <c r="C477" s="171" t="s">
        <v>201</v>
      </c>
      <c r="D477" s="172" t="s">
        <v>61</v>
      </c>
      <c r="E477" s="185">
        <f>E475</f>
        <v>1E-4</v>
      </c>
      <c r="F477" s="186">
        <f>F472</f>
        <v>1</v>
      </c>
      <c r="G477" s="169">
        <v>0.85499999999999998</v>
      </c>
      <c r="H477" s="174">
        <f t="shared" si="502"/>
        <v>8.5500000000000005E-5</v>
      </c>
      <c r="I477" s="187">
        <f>0.15*I472</f>
        <v>990</v>
      </c>
      <c r="J477" s="169">
        <v>0</v>
      </c>
      <c r="K477" s="192" t="s">
        <v>191</v>
      </c>
      <c r="L477" s="192">
        <v>11</v>
      </c>
      <c r="M477" s="179" t="str">
        <f t="shared" si="503"/>
        <v>С6</v>
      </c>
      <c r="N477" s="179" t="str">
        <f t="shared" si="504"/>
        <v>Резервуар РВС (8719T0003)</v>
      </c>
      <c r="O477" s="179" t="str">
        <f t="shared" si="505"/>
        <v>Частичное-ликвидация</v>
      </c>
      <c r="P477" s="179" t="s">
        <v>83</v>
      </c>
      <c r="Q477" s="179" t="s">
        <v>83</v>
      </c>
      <c r="R477" s="179" t="s">
        <v>83</v>
      </c>
      <c r="S477" s="179" t="s">
        <v>83</v>
      </c>
      <c r="T477" s="179" t="s">
        <v>83</v>
      </c>
      <c r="U477" s="179" t="s">
        <v>83</v>
      </c>
      <c r="V477" s="179" t="s">
        <v>83</v>
      </c>
      <c r="W477" s="179" t="s">
        <v>83</v>
      </c>
      <c r="X477" s="179" t="s">
        <v>83</v>
      </c>
      <c r="Y477" s="179" t="s">
        <v>83</v>
      </c>
      <c r="Z477" s="179" t="s">
        <v>83</v>
      </c>
      <c r="AA477" s="179" t="s">
        <v>83</v>
      </c>
      <c r="AB477" s="179" t="s">
        <v>83</v>
      </c>
      <c r="AC477" s="179" t="s">
        <v>83</v>
      </c>
      <c r="AD477" s="179" t="s">
        <v>83</v>
      </c>
      <c r="AE477" s="179" t="s">
        <v>83</v>
      </c>
      <c r="AF477" s="179" t="s">
        <v>83</v>
      </c>
      <c r="AG477" s="179" t="s">
        <v>83</v>
      </c>
      <c r="AH477" s="179" t="s">
        <v>83</v>
      </c>
      <c r="AI477" s="179" t="s">
        <v>83</v>
      </c>
      <c r="AJ477" s="179">
        <v>0</v>
      </c>
      <c r="AK477" s="179">
        <v>0</v>
      </c>
      <c r="AL477" s="179">
        <f>0.1*$AL$2</f>
        <v>7.5000000000000002E-4</v>
      </c>
      <c r="AM477" s="179">
        <f>AM472</f>
        <v>2.7E-2</v>
      </c>
      <c r="AN477" s="179">
        <f>ROUNDUP(AN472/3,0)</f>
        <v>1</v>
      </c>
      <c r="AQ477" s="182">
        <f>AM477*I477*0.1+AL477</f>
        <v>2.6737500000000001</v>
      </c>
      <c r="AR477" s="182">
        <f t="shared" si="506"/>
        <v>0.26737500000000003</v>
      </c>
      <c r="AS477" s="183">
        <f t="shared" si="507"/>
        <v>0</v>
      </c>
      <c r="AT477" s="183">
        <f t="shared" si="508"/>
        <v>0.73528125</v>
      </c>
      <c r="AU477" s="182">
        <f>1333*J476*POWER(10,-6)</f>
        <v>1.3196699999999999</v>
      </c>
      <c r="AV477" s="183">
        <f t="shared" si="509"/>
        <v>4.9960762499999998</v>
      </c>
      <c r="AW477" s="184">
        <f t="shared" si="510"/>
        <v>0</v>
      </c>
      <c r="AX477" s="184">
        <f t="shared" si="511"/>
        <v>0</v>
      </c>
      <c r="AY477" s="184">
        <f t="shared" si="512"/>
        <v>4.2716451937499999E-4</v>
      </c>
    </row>
    <row r="478" spans="1:51" s="179" customFormat="1" x14ac:dyDescent="0.3">
      <c r="A478" s="180"/>
      <c r="B478" s="180"/>
      <c r="D478" s="271"/>
      <c r="E478" s="272"/>
      <c r="F478" s="273"/>
      <c r="G478" s="180"/>
      <c r="H478" s="184"/>
      <c r="I478" s="183"/>
      <c r="J478" s="180"/>
      <c r="K478" s="180"/>
      <c r="L478" s="180"/>
      <c r="AQ478" s="182"/>
      <c r="AR478" s="182"/>
      <c r="AS478" s="183"/>
      <c r="AT478" s="183"/>
      <c r="AU478" s="182"/>
      <c r="AV478" s="183"/>
      <c r="AW478" s="184"/>
      <c r="AX478" s="184"/>
      <c r="AY478" s="184"/>
    </row>
    <row r="479" spans="1:51" s="179" customFormat="1" x14ac:dyDescent="0.3">
      <c r="A479" s="180"/>
      <c r="B479" s="180"/>
      <c r="D479" s="271"/>
      <c r="E479" s="272"/>
      <c r="F479" s="273"/>
      <c r="G479" s="180"/>
      <c r="H479" s="184"/>
      <c r="I479" s="183"/>
      <c r="J479" s="180"/>
      <c r="K479" s="180"/>
      <c r="L479" s="180"/>
      <c r="AQ479" s="182"/>
      <c r="AR479" s="182"/>
      <c r="AS479" s="183"/>
      <c r="AT479" s="183"/>
      <c r="AU479" s="182"/>
      <c r="AV479" s="183"/>
      <c r="AW479" s="184"/>
      <c r="AX479" s="184"/>
      <c r="AY479" s="184"/>
    </row>
    <row r="480" spans="1:51" s="179" customFormat="1" x14ac:dyDescent="0.3">
      <c r="A480" s="180"/>
      <c r="B480" s="180"/>
      <c r="D480" s="271"/>
      <c r="E480" s="272"/>
      <c r="F480" s="273"/>
      <c r="G480" s="180"/>
      <c r="H480" s="184"/>
      <c r="I480" s="183"/>
      <c r="J480" s="180"/>
      <c r="K480" s="180"/>
      <c r="L480" s="180"/>
      <c r="AQ480" s="182"/>
      <c r="AR480" s="182"/>
      <c r="AS480" s="183"/>
      <c r="AT480" s="183"/>
      <c r="AU480" s="182"/>
      <c r="AV480" s="183"/>
      <c r="AW480" s="184"/>
      <c r="AX480" s="184"/>
      <c r="AY480" s="184"/>
    </row>
    <row r="481" spans="1:51" ht="15" thickBot="1" x14ac:dyDescent="0.35"/>
    <row r="482" spans="1:51" s="179" customFormat="1" ht="15" thickBot="1" x14ac:dyDescent="0.35">
      <c r="A482" s="169" t="s">
        <v>18</v>
      </c>
      <c r="B482" s="312" t="s">
        <v>613</v>
      </c>
      <c r="C482" s="171" t="s">
        <v>196</v>
      </c>
      <c r="D482" s="172" t="s">
        <v>59</v>
      </c>
      <c r="E482" s="173">
        <v>1.0000000000000001E-5</v>
      </c>
      <c r="F482" s="170">
        <v>1</v>
      </c>
      <c r="G482" s="169">
        <v>0.1</v>
      </c>
      <c r="H482" s="174">
        <f t="shared" ref="H482:H487" si="513">E482*F482*G482</f>
        <v>1.0000000000000002E-6</v>
      </c>
      <c r="I482" s="175">
        <v>45.36</v>
      </c>
      <c r="J482" s="187">
        <f>I482</f>
        <v>45.36</v>
      </c>
      <c r="K482" s="177" t="s">
        <v>175</v>
      </c>
      <c r="L482" s="178">
        <v>1350</v>
      </c>
      <c r="M482" s="179" t="str">
        <f t="shared" ref="M482:M487" si="514">A482</f>
        <v>С1</v>
      </c>
      <c r="N482" s="179" t="str">
        <f t="shared" ref="N482:N487" si="515">B482</f>
        <v>Емкость (8712D0001)</v>
      </c>
      <c r="O482" s="179" t="str">
        <f t="shared" ref="O482:O487" si="516">D482</f>
        <v>Полное-пожар</v>
      </c>
      <c r="P482" s="179" t="s">
        <v>83</v>
      </c>
      <c r="Q482" s="179" t="s">
        <v>83</v>
      </c>
      <c r="R482" s="179" t="s">
        <v>83</v>
      </c>
      <c r="S482" s="179" t="s">
        <v>83</v>
      </c>
      <c r="T482" s="179" t="s">
        <v>83</v>
      </c>
      <c r="U482" s="179" t="s">
        <v>83</v>
      </c>
      <c r="V482" s="179" t="s">
        <v>83</v>
      </c>
      <c r="W482" s="179" t="s">
        <v>83</v>
      </c>
      <c r="X482" s="179" t="s">
        <v>83</v>
      </c>
      <c r="Y482" s="179" t="s">
        <v>83</v>
      </c>
      <c r="Z482" s="179" t="s">
        <v>83</v>
      </c>
      <c r="AA482" s="179" t="s">
        <v>83</v>
      </c>
      <c r="AB482" s="179" t="s">
        <v>83</v>
      </c>
      <c r="AC482" s="179" t="s">
        <v>83</v>
      </c>
      <c r="AD482" s="179" t="s">
        <v>83</v>
      </c>
      <c r="AE482" s="179" t="s">
        <v>83</v>
      </c>
      <c r="AF482" s="179" t="s">
        <v>83</v>
      </c>
      <c r="AG482" s="179" t="s">
        <v>83</v>
      </c>
      <c r="AH482" s="179" t="s">
        <v>83</v>
      </c>
      <c r="AI482" s="179" t="s">
        <v>83</v>
      </c>
      <c r="AJ482" s="180">
        <v>1</v>
      </c>
      <c r="AK482" s="180">
        <v>2</v>
      </c>
      <c r="AL482" s="181">
        <v>0.75</v>
      </c>
      <c r="AM482" s="181">
        <v>2.7E-2</v>
      </c>
      <c r="AN482" s="181">
        <v>3</v>
      </c>
      <c r="AQ482" s="182">
        <f>AM482*I482+AL482</f>
        <v>1.97472</v>
      </c>
      <c r="AR482" s="182">
        <f t="shared" ref="AR482:AR487" si="517">0.1*AQ482</f>
        <v>0.19747200000000001</v>
      </c>
      <c r="AS482" s="183">
        <f t="shared" ref="AS482:AS487" si="518">AJ482*3+0.25*AK482</f>
        <v>3.5</v>
      </c>
      <c r="AT482" s="183">
        <f t="shared" ref="AT482:AT487" si="519">SUM(AQ482:AS482)/4</f>
        <v>1.418048</v>
      </c>
      <c r="AU482" s="182">
        <f>10068.2*J482*POWER(10,-6)</f>
        <v>0.456693552</v>
      </c>
      <c r="AV482" s="183">
        <f t="shared" ref="AV482:AV487" si="520">AU482+AT482+AS482+AR482+AQ482</f>
        <v>7.5469335520000005</v>
      </c>
      <c r="AW482" s="184">
        <f t="shared" ref="AW482:AW487" si="521">AJ482*H482</f>
        <v>1.0000000000000002E-6</v>
      </c>
      <c r="AX482" s="184">
        <f t="shared" ref="AX482:AX487" si="522">H482*AK482</f>
        <v>2.0000000000000003E-6</v>
      </c>
      <c r="AY482" s="184">
        <f t="shared" ref="AY482:AY487" si="523">H482*AV482</f>
        <v>7.546933552000002E-6</v>
      </c>
    </row>
    <row r="483" spans="1:51" s="179" customFormat="1" ht="15" thickBot="1" x14ac:dyDescent="0.35">
      <c r="A483" s="169" t="s">
        <v>19</v>
      </c>
      <c r="B483" s="169" t="str">
        <f>B482</f>
        <v>Емкость (8712D0001)</v>
      </c>
      <c r="C483" s="171" t="s">
        <v>205</v>
      </c>
      <c r="D483" s="172" t="s">
        <v>59</v>
      </c>
      <c r="E483" s="185">
        <f>E482</f>
        <v>1.0000000000000001E-5</v>
      </c>
      <c r="F483" s="186">
        <f>F482</f>
        <v>1</v>
      </c>
      <c r="G483" s="169">
        <v>0.18000000000000002</v>
      </c>
      <c r="H483" s="174">
        <f t="shared" si="513"/>
        <v>1.8000000000000003E-6</v>
      </c>
      <c r="I483" s="187">
        <f>I482</f>
        <v>45.36</v>
      </c>
      <c r="J483" s="187">
        <f>I482</f>
        <v>45.36</v>
      </c>
      <c r="K483" s="177" t="s">
        <v>176</v>
      </c>
      <c r="L483" s="178">
        <v>0</v>
      </c>
      <c r="M483" s="179" t="str">
        <f t="shared" si="514"/>
        <v>С2</v>
      </c>
      <c r="N483" s="179" t="str">
        <f t="shared" si="515"/>
        <v>Емкость (8712D0001)</v>
      </c>
      <c r="O483" s="179" t="str">
        <f t="shared" si="516"/>
        <v>Полное-пожар</v>
      </c>
      <c r="P483" s="179" t="s">
        <v>83</v>
      </c>
      <c r="Q483" s="179" t="s">
        <v>83</v>
      </c>
      <c r="R483" s="179" t="s">
        <v>83</v>
      </c>
      <c r="S483" s="179" t="s">
        <v>83</v>
      </c>
      <c r="T483" s="179" t="s">
        <v>83</v>
      </c>
      <c r="U483" s="179" t="s">
        <v>83</v>
      </c>
      <c r="V483" s="179" t="s">
        <v>83</v>
      </c>
      <c r="W483" s="179" t="s">
        <v>83</v>
      </c>
      <c r="X483" s="179" t="s">
        <v>83</v>
      </c>
      <c r="Y483" s="179" t="s">
        <v>83</v>
      </c>
      <c r="Z483" s="179" t="s">
        <v>83</v>
      </c>
      <c r="AA483" s="179" t="s">
        <v>83</v>
      </c>
      <c r="AB483" s="179" t="s">
        <v>83</v>
      </c>
      <c r="AC483" s="179" t="s">
        <v>83</v>
      </c>
      <c r="AD483" s="179" t="s">
        <v>83</v>
      </c>
      <c r="AE483" s="179" t="s">
        <v>83</v>
      </c>
      <c r="AF483" s="179" t="s">
        <v>83</v>
      </c>
      <c r="AG483" s="179" t="s">
        <v>83</v>
      </c>
      <c r="AH483" s="179" t="s">
        <v>83</v>
      </c>
      <c r="AI483" s="179" t="s">
        <v>83</v>
      </c>
      <c r="AJ483" s="180">
        <v>2</v>
      </c>
      <c r="AK483" s="180">
        <v>2</v>
      </c>
      <c r="AL483" s="179">
        <f>AL482</f>
        <v>0.75</v>
      </c>
      <c r="AM483" s="179">
        <f>AM482</f>
        <v>2.7E-2</v>
      </c>
      <c r="AN483" s="179">
        <f>AN482</f>
        <v>3</v>
      </c>
      <c r="AQ483" s="182">
        <f>AM483*I483+AL483</f>
        <v>1.97472</v>
      </c>
      <c r="AR483" s="182">
        <f t="shared" si="517"/>
        <v>0.19747200000000001</v>
      </c>
      <c r="AS483" s="183">
        <f t="shared" si="518"/>
        <v>6.5</v>
      </c>
      <c r="AT483" s="183">
        <f t="shared" si="519"/>
        <v>2.1680479999999998</v>
      </c>
      <c r="AU483" s="182">
        <f>10068.2*J483*POWER(10,-6)*10</f>
        <v>4.5669355200000004</v>
      </c>
      <c r="AV483" s="183">
        <f t="shared" si="520"/>
        <v>15.407175519999999</v>
      </c>
      <c r="AW483" s="184">
        <f t="shared" si="521"/>
        <v>3.6000000000000007E-6</v>
      </c>
      <c r="AX483" s="184">
        <f t="shared" si="522"/>
        <v>3.6000000000000007E-6</v>
      </c>
      <c r="AY483" s="184">
        <f t="shared" si="523"/>
        <v>2.7732915936000004E-5</v>
      </c>
    </row>
    <row r="484" spans="1:51" s="179" customFormat="1" x14ac:dyDescent="0.3">
      <c r="A484" s="169" t="s">
        <v>20</v>
      </c>
      <c r="B484" s="169" t="str">
        <f>B482</f>
        <v>Емкость (8712D0001)</v>
      </c>
      <c r="C484" s="171" t="s">
        <v>198</v>
      </c>
      <c r="D484" s="172" t="s">
        <v>60</v>
      </c>
      <c r="E484" s="185">
        <f>E482</f>
        <v>1.0000000000000001E-5</v>
      </c>
      <c r="F484" s="186">
        <f>F482</f>
        <v>1</v>
      </c>
      <c r="G484" s="169">
        <v>0.72000000000000008</v>
      </c>
      <c r="H484" s="174">
        <f t="shared" si="513"/>
        <v>7.2000000000000014E-6</v>
      </c>
      <c r="I484" s="187">
        <f>I482</f>
        <v>45.36</v>
      </c>
      <c r="J484" s="169">
        <v>0</v>
      </c>
      <c r="K484" s="177" t="s">
        <v>177</v>
      </c>
      <c r="L484" s="178">
        <v>0</v>
      </c>
      <c r="M484" s="179" t="str">
        <f t="shared" si="514"/>
        <v>С3</v>
      </c>
      <c r="N484" s="179" t="str">
        <f t="shared" si="515"/>
        <v>Емкость (8712D0001)</v>
      </c>
      <c r="O484" s="179" t="str">
        <f t="shared" si="516"/>
        <v>Полное-ликвидация</v>
      </c>
      <c r="P484" s="179" t="s">
        <v>83</v>
      </c>
      <c r="Q484" s="179" t="s">
        <v>83</v>
      </c>
      <c r="R484" s="179" t="s">
        <v>83</v>
      </c>
      <c r="S484" s="179" t="s">
        <v>83</v>
      </c>
      <c r="T484" s="179" t="s">
        <v>83</v>
      </c>
      <c r="U484" s="179" t="s">
        <v>83</v>
      </c>
      <c r="V484" s="179" t="s">
        <v>83</v>
      </c>
      <c r="W484" s="179" t="s">
        <v>83</v>
      </c>
      <c r="X484" s="179" t="s">
        <v>83</v>
      </c>
      <c r="Y484" s="179" t="s">
        <v>83</v>
      </c>
      <c r="Z484" s="179" t="s">
        <v>83</v>
      </c>
      <c r="AA484" s="179" t="s">
        <v>83</v>
      </c>
      <c r="AB484" s="179" t="s">
        <v>83</v>
      </c>
      <c r="AC484" s="179" t="s">
        <v>83</v>
      </c>
      <c r="AD484" s="179" t="s">
        <v>83</v>
      </c>
      <c r="AE484" s="179" t="s">
        <v>83</v>
      </c>
      <c r="AF484" s="179" t="s">
        <v>83</v>
      </c>
      <c r="AG484" s="179" t="s">
        <v>83</v>
      </c>
      <c r="AH484" s="179" t="s">
        <v>83</v>
      </c>
      <c r="AI484" s="179" t="s">
        <v>83</v>
      </c>
      <c r="AJ484" s="179">
        <v>0</v>
      </c>
      <c r="AK484" s="179">
        <v>0</v>
      </c>
      <c r="AL484" s="179">
        <f>AL482</f>
        <v>0.75</v>
      </c>
      <c r="AM484" s="179">
        <f>AM482</f>
        <v>2.7E-2</v>
      </c>
      <c r="AN484" s="179">
        <f>AN482</f>
        <v>3</v>
      </c>
      <c r="AQ484" s="182">
        <f>AM484*I484*0.1+AL484</f>
        <v>0.87247200000000003</v>
      </c>
      <c r="AR484" s="182">
        <f t="shared" si="517"/>
        <v>8.7247200000000011E-2</v>
      </c>
      <c r="AS484" s="183">
        <f t="shared" si="518"/>
        <v>0</v>
      </c>
      <c r="AT484" s="183">
        <f t="shared" si="519"/>
        <v>0.2399298</v>
      </c>
      <c r="AU484" s="182">
        <f>1333*J483*POWER(10,-6)</f>
        <v>6.0464879999999992E-2</v>
      </c>
      <c r="AV484" s="183">
        <f t="shared" si="520"/>
        <v>1.26011388</v>
      </c>
      <c r="AW484" s="184">
        <f t="shared" si="521"/>
        <v>0</v>
      </c>
      <c r="AX484" s="184">
        <f t="shared" si="522"/>
        <v>0</v>
      </c>
      <c r="AY484" s="184">
        <f t="shared" si="523"/>
        <v>9.0728199360000018E-6</v>
      </c>
    </row>
    <row r="485" spans="1:51" s="179" customFormat="1" x14ac:dyDescent="0.3">
      <c r="A485" s="169" t="s">
        <v>21</v>
      </c>
      <c r="B485" s="169" t="str">
        <f>B482</f>
        <v>Емкость (8712D0001)</v>
      </c>
      <c r="C485" s="171" t="s">
        <v>199</v>
      </c>
      <c r="D485" s="172" t="s">
        <v>84</v>
      </c>
      <c r="E485" s="173">
        <v>1E-4</v>
      </c>
      <c r="F485" s="186">
        <f>F482</f>
        <v>1</v>
      </c>
      <c r="G485" s="169">
        <v>0.1</v>
      </c>
      <c r="H485" s="174">
        <f t="shared" si="513"/>
        <v>1.0000000000000001E-5</v>
      </c>
      <c r="I485" s="187">
        <f>0.15*I482</f>
        <v>6.8039999999999994</v>
      </c>
      <c r="J485" s="187">
        <f>I485</f>
        <v>6.8039999999999994</v>
      </c>
      <c r="K485" s="190" t="s">
        <v>179</v>
      </c>
      <c r="L485" s="191">
        <v>45390</v>
      </c>
      <c r="M485" s="179" t="str">
        <f t="shared" si="514"/>
        <v>С4</v>
      </c>
      <c r="N485" s="179" t="str">
        <f t="shared" si="515"/>
        <v>Емкость (8712D0001)</v>
      </c>
      <c r="O485" s="179" t="str">
        <f t="shared" si="516"/>
        <v>Частичное-пожар</v>
      </c>
      <c r="P485" s="179" t="s">
        <v>83</v>
      </c>
      <c r="Q485" s="179" t="s">
        <v>83</v>
      </c>
      <c r="R485" s="179" t="s">
        <v>83</v>
      </c>
      <c r="S485" s="179" t="s">
        <v>83</v>
      </c>
      <c r="T485" s="179" t="s">
        <v>83</v>
      </c>
      <c r="U485" s="179" t="s">
        <v>83</v>
      </c>
      <c r="V485" s="179" t="s">
        <v>83</v>
      </c>
      <c r="W485" s="179" t="s">
        <v>83</v>
      </c>
      <c r="X485" s="179" t="s">
        <v>83</v>
      </c>
      <c r="Y485" s="179" t="s">
        <v>83</v>
      </c>
      <c r="Z485" s="179" t="s">
        <v>83</v>
      </c>
      <c r="AA485" s="179" t="s">
        <v>83</v>
      </c>
      <c r="AB485" s="179" t="s">
        <v>83</v>
      </c>
      <c r="AC485" s="179" t="s">
        <v>83</v>
      </c>
      <c r="AD485" s="179" t="s">
        <v>83</v>
      </c>
      <c r="AE485" s="179" t="s">
        <v>83</v>
      </c>
      <c r="AF485" s="179" t="s">
        <v>83</v>
      </c>
      <c r="AG485" s="179" t="s">
        <v>83</v>
      </c>
      <c r="AH485" s="179" t="s">
        <v>83</v>
      </c>
      <c r="AI485" s="179" t="s">
        <v>83</v>
      </c>
      <c r="AJ485" s="179">
        <v>0</v>
      </c>
      <c r="AK485" s="179">
        <v>2</v>
      </c>
      <c r="AL485" s="179">
        <f>0.1*$AL$2</f>
        <v>7.5000000000000002E-4</v>
      </c>
      <c r="AM485" s="179">
        <f>AM482</f>
        <v>2.7E-2</v>
      </c>
      <c r="AN485" s="179">
        <f>ROUNDUP(AN482/3,0)</f>
        <v>1</v>
      </c>
      <c r="AQ485" s="182">
        <f>AM485*I485+AL485</f>
        <v>0.18445799999999998</v>
      </c>
      <c r="AR485" s="182">
        <f t="shared" si="517"/>
        <v>1.8445799999999998E-2</v>
      </c>
      <c r="AS485" s="183">
        <f t="shared" si="518"/>
        <v>0.5</v>
      </c>
      <c r="AT485" s="183">
        <f t="shared" si="519"/>
        <v>0.17572594999999999</v>
      </c>
      <c r="AU485" s="182">
        <f>10068.2*J485*POWER(10,-6)</f>
        <v>6.8504032800000003E-2</v>
      </c>
      <c r="AV485" s="183">
        <f t="shared" si="520"/>
        <v>0.94713378279999993</v>
      </c>
      <c r="AW485" s="184">
        <f t="shared" si="521"/>
        <v>0</v>
      </c>
      <c r="AX485" s="184">
        <f t="shared" si="522"/>
        <v>2.0000000000000002E-5</v>
      </c>
      <c r="AY485" s="184">
        <f t="shared" si="523"/>
        <v>9.4713378279999999E-6</v>
      </c>
    </row>
    <row r="486" spans="1:51" s="179" customFormat="1" x14ac:dyDescent="0.3">
      <c r="A486" s="169" t="s">
        <v>22</v>
      </c>
      <c r="B486" s="169" t="str">
        <f>B482</f>
        <v>Емкость (8712D0001)</v>
      </c>
      <c r="C486" s="171" t="s">
        <v>206</v>
      </c>
      <c r="D486" s="172" t="s">
        <v>84</v>
      </c>
      <c r="E486" s="185">
        <f>E485</f>
        <v>1E-4</v>
      </c>
      <c r="F486" s="186">
        <f>F482</f>
        <v>1</v>
      </c>
      <c r="G486" s="169">
        <v>4.5000000000000005E-2</v>
      </c>
      <c r="H486" s="174">
        <f t="shared" si="513"/>
        <v>4.500000000000001E-6</v>
      </c>
      <c r="I486" s="187">
        <f>0.15*I482</f>
        <v>6.8039999999999994</v>
      </c>
      <c r="J486" s="187">
        <f>I485</f>
        <v>6.8039999999999994</v>
      </c>
      <c r="K486" s="190" t="s">
        <v>180</v>
      </c>
      <c r="L486" s="191">
        <v>3</v>
      </c>
      <c r="M486" s="179" t="str">
        <f t="shared" si="514"/>
        <v>С5</v>
      </c>
      <c r="N486" s="179" t="str">
        <f t="shared" si="515"/>
        <v>Емкость (8712D0001)</v>
      </c>
      <c r="O486" s="179" t="str">
        <f t="shared" si="516"/>
        <v>Частичное-пожар</v>
      </c>
      <c r="P486" s="179" t="s">
        <v>83</v>
      </c>
      <c r="Q486" s="179" t="s">
        <v>83</v>
      </c>
      <c r="R486" s="179" t="s">
        <v>83</v>
      </c>
      <c r="S486" s="179" t="s">
        <v>83</v>
      </c>
      <c r="T486" s="179" t="s">
        <v>83</v>
      </c>
      <c r="U486" s="179" t="s">
        <v>83</v>
      </c>
      <c r="V486" s="179" t="s">
        <v>83</v>
      </c>
      <c r="W486" s="179" t="s">
        <v>83</v>
      </c>
      <c r="X486" s="179" t="s">
        <v>83</v>
      </c>
      <c r="Y486" s="179" t="s">
        <v>83</v>
      </c>
      <c r="Z486" s="179" t="s">
        <v>83</v>
      </c>
      <c r="AA486" s="179" t="s">
        <v>83</v>
      </c>
      <c r="AB486" s="179" t="s">
        <v>83</v>
      </c>
      <c r="AC486" s="179" t="s">
        <v>83</v>
      </c>
      <c r="AD486" s="179" t="s">
        <v>83</v>
      </c>
      <c r="AE486" s="179" t="s">
        <v>83</v>
      </c>
      <c r="AF486" s="179" t="s">
        <v>83</v>
      </c>
      <c r="AG486" s="179" t="s">
        <v>83</v>
      </c>
      <c r="AH486" s="179" t="s">
        <v>83</v>
      </c>
      <c r="AI486" s="179" t="s">
        <v>83</v>
      </c>
      <c r="AJ486" s="179">
        <v>0</v>
      </c>
      <c r="AK486" s="179">
        <v>1</v>
      </c>
      <c r="AL486" s="179">
        <f>0.1*$AL$2</f>
        <v>7.5000000000000002E-4</v>
      </c>
      <c r="AM486" s="179">
        <f>AM482</f>
        <v>2.7E-2</v>
      </c>
      <c r="AN486" s="179">
        <f>ROUNDUP(AN482/3,0)</f>
        <v>1</v>
      </c>
      <c r="AQ486" s="182">
        <f>AM486*I486+AL486</f>
        <v>0.18445799999999998</v>
      </c>
      <c r="AR486" s="182">
        <f t="shared" si="517"/>
        <v>1.8445799999999998E-2</v>
      </c>
      <c r="AS486" s="183">
        <f t="shared" si="518"/>
        <v>0.25</v>
      </c>
      <c r="AT486" s="183">
        <f t="shared" si="519"/>
        <v>0.11322594999999999</v>
      </c>
      <c r="AU486" s="182">
        <f>10068.2*J486*POWER(10,-6)*10</f>
        <v>0.68504032800000003</v>
      </c>
      <c r="AV486" s="183">
        <f t="shared" si="520"/>
        <v>1.2511700780000001</v>
      </c>
      <c r="AW486" s="184">
        <f t="shared" si="521"/>
        <v>0</v>
      </c>
      <c r="AX486" s="184">
        <f t="shared" si="522"/>
        <v>4.500000000000001E-6</v>
      </c>
      <c r="AY486" s="184">
        <f t="shared" si="523"/>
        <v>5.630265351000002E-6</v>
      </c>
    </row>
    <row r="487" spans="1:51" s="179" customFormat="1" ht="15" thickBot="1" x14ac:dyDescent="0.35">
      <c r="A487" s="169" t="s">
        <v>23</v>
      </c>
      <c r="B487" s="169" t="str">
        <f>B482</f>
        <v>Емкость (8712D0001)</v>
      </c>
      <c r="C487" s="171" t="s">
        <v>201</v>
      </c>
      <c r="D487" s="172" t="s">
        <v>61</v>
      </c>
      <c r="E487" s="185">
        <f>E485</f>
        <v>1E-4</v>
      </c>
      <c r="F487" s="186">
        <f>F482</f>
        <v>1</v>
      </c>
      <c r="G487" s="169">
        <v>0.85499999999999998</v>
      </c>
      <c r="H487" s="174">
        <f t="shared" si="513"/>
        <v>8.5500000000000005E-5</v>
      </c>
      <c r="I487" s="187">
        <f>0.15*I482</f>
        <v>6.8039999999999994</v>
      </c>
      <c r="J487" s="169">
        <v>0</v>
      </c>
      <c r="K487" s="192" t="s">
        <v>191</v>
      </c>
      <c r="L487" s="192">
        <v>11</v>
      </c>
      <c r="M487" s="179" t="str">
        <f t="shared" si="514"/>
        <v>С6</v>
      </c>
      <c r="N487" s="179" t="str">
        <f t="shared" si="515"/>
        <v>Емкость (8712D0001)</v>
      </c>
      <c r="O487" s="179" t="str">
        <f t="shared" si="516"/>
        <v>Частичное-ликвидация</v>
      </c>
      <c r="P487" s="179" t="s">
        <v>83</v>
      </c>
      <c r="Q487" s="179" t="s">
        <v>83</v>
      </c>
      <c r="R487" s="179" t="s">
        <v>83</v>
      </c>
      <c r="S487" s="179" t="s">
        <v>83</v>
      </c>
      <c r="T487" s="179" t="s">
        <v>83</v>
      </c>
      <c r="U487" s="179" t="s">
        <v>83</v>
      </c>
      <c r="V487" s="179" t="s">
        <v>83</v>
      </c>
      <c r="W487" s="179" t="s">
        <v>83</v>
      </c>
      <c r="X487" s="179" t="s">
        <v>83</v>
      </c>
      <c r="Y487" s="179" t="s">
        <v>83</v>
      </c>
      <c r="Z487" s="179" t="s">
        <v>83</v>
      </c>
      <c r="AA487" s="179" t="s">
        <v>83</v>
      </c>
      <c r="AB487" s="179" t="s">
        <v>83</v>
      </c>
      <c r="AC487" s="179" t="s">
        <v>83</v>
      </c>
      <c r="AD487" s="179" t="s">
        <v>83</v>
      </c>
      <c r="AE487" s="179" t="s">
        <v>83</v>
      </c>
      <c r="AF487" s="179" t="s">
        <v>83</v>
      </c>
      <c r="AG487" s="179" t="s">
        <v>83</v>
      </c>
      <c r="AH487" s="179" t="s">
        <v>83</v>
      </c>
      <c r="AI487" s="179" t="s">
        <v>83</v>
      </c>
      <c r="AJ487" s="179">
        <v>0</v>
      </c>
      <c r="AK487" s="179">
        <v>0</v>
      </c>
      <c r="AL487" s="179">
        <f>0.1*$AL$2</f>
        <v>7.5000000000000002E-4</v>
      </c>
      <c r="AM487" s="179">
        <f>AM482</f>
        <v>2.7E-2</v>
      </c>
      <c r="AN487" s="179">
        <f>ROUNDUP(AN482/3,0)</f>
        <v>1</v>
      </c>
      <c r="AQ487" s="182">
        <f>AM487*I487*0.1+AL487</f>
        <v>1.91208E-2</v>
      </c>
      <c r="AR487" s="182">
        <f t="shared" si="517"/>
        <v>1.91208E-3</v>
      </c>
      <c r="AS487" s="183">
        <f t="shared" si="518"/>
        <v>0</v>
      </c>
      <c r="AT487" s="183">
        <f t="shared" si="519"/>
        <v>5.2582200000000001E-3</v>
      </c>
      <c r="AU487" s="182">
        <f>1333*J486*POWER(10,-6)</f>
        <v>9.0697319999999988E-3</v>
      </c>
      <c r="AV487" s="183">
        <f t="shared" si="520"/>
        <v>3.5360831999999995E-2</v>
      </c>
      <c r="AW487" s="184">
        <f t="shared" si="521"/>
        <v>0</v>
      </c>
      <c r="AX487" s="184">
        <f t="shared" si="522"/>
        <v>0</v>
      </c>
      <c r="AY487" s="184">
        <f t="shared" si="523"/>
        <v>3.0233511359999999E-6</v>
      </c>
    </row>
    <row r="488" spans="1:51" s="179" customFormat="1" x14ac:dyDescent="0.3">
      <c r="A488" s="180"/>
      <c r="B488" s="180"/>
      <c r="D488" s="271"/>
      <c r="E488" s="272"/>
      <c r="F488" s="273"/>
      <c r="G488" s="180"/>
      <c r="H488" s="184"/>
      <c r="I488" s="183"/>
      <c r="J488" s="180"/>
      <c r="K488" s="180"/>
      <c r="L488" s="180"/>
      <c r="AQ488" s="182"/>
      <c r="AR488" s="182"/>
      <c r="AS488" s="183"/>
      <c r="AT488" s="183"/>
      <c r="AU488" s="182"/>
      <c r="AV488" s="183"/>
      <c r="AW488" s="184"/>
      <c r="AX488" s="184"/>
      <c r="AY488" s="184"/>
    </row>
    <row r="489" spans="1:51" s="179" customFormat="1" x14ac:dyDescent="0.3">
      <c r="A489" s="180"/>
      <c r="B489" s="180"/>
      <c r="D489" s="271"/>
      <c r="E489" s="272"/>
      <c r="F489" s="273"/>
      <c r="G489" s="180"/>
      <c r="H489" s="184"/>
      <c r="I489" s="183"/>
      <c r="J489" s="180"/>
      <c r="K489" s="180"/>
      <c r="L489" s="180"/>
      <c r="AQ489" s="182"/>
      <c r="AR489" s="182"/>
      <c r="AS489" s="183"/>
      <c r="AT489" s="183"/>
      <c r="AU489" s="182"/>
      <c r="AV489" s="183"/>
      <c r="AW489" s="184"/>
      <c r="AX489" s="184"/>
      <c r="AY489" s="184"/>
    </row>
    <row r="490" spans="1:51" s="179" customFormat="1" x14ac:dyDescent="0.3">
      <c r="A490" s="180"/>
      <c r="B490" s="180"/>
      <c r="D490" s="271"/>
      <c r="E490" s="272"/>
      <c r="F490" s="273"/>
      <c r="G490" s="180"/>
      <c r="H490" s="184"/>
      <c r="I490" s="183"/>
      <c r="J490" s="180"/>
      <c r="K490" s="180"/>
      <c r="L490" s="180"/>
      <c r="AQ490" s="182"/>
      <c r="AR490" s="182"/>
      <c r="AS490" s="183"/>
      <c r="AT490" s="183"/>
      <c r="AU490" s="182"/>
      <c r="AV490" s="183"/>
      <c r="AW490" s="184"/>
      <c r="AX490" s="184"/>
      <c r="AY490" s="184"/>
    </row>
    <row r="491" spans="1:51" ht="15" thickBot="1" x14ac:dyDescent="0.35"/>
    <row r="492" spans="1:51" ht="15" thickBot="1" x14ac:dyDescent="0.35">
      <c r="A492" s="48" t="s">
        <v>18</v>
      </c>
      <c r="B492" s="294" t="s">
        <v>639</v>
      </c>
      <c r="C492" s="166" t="s">
        <v>159</v>
      </c>
      <c r="D492" s="49" t="s">
        <v>59</v>
      </c>
      <c r="E492" s="153">
        <v>9.9999999999999995E-8</v>
      </c>
      <c r="F492" s="150">
        <v>171</v>
      </c>
      <c r="G492" s="48">
        <v>0.2</v>
      </c>
      <c r="H492" s="50">
        <f t="shared" ref="H492:H497" si="524">E492*F492*G492</f>
        <v>3.4199999999999999E-6</v>
      </c>
      <c r="I492" s="151">
        <v>36.96</v>
      </c>
      <c r="J492" s="149">
        <f>I492</f>
        <v>36.96</v>
      </c>
      <c r="K492" s="159" t="s">
        <v>175</v>
      </c>
      <c r="L492" s="164">
        <f>J492*20</f>
        <v>739.2</v>
      </c>
      <c r="M492" s="92" t="str">
        <f t="shared" ref="M492:M497" si="525">A492</f>
        <v>С1</v>
      </c>
      <c r="N492" s="92" t="str">
        <f t="shared" ref="N492:N497" si="526">B492</f>
        <v>Арктическое дизельное топливо рег. № 1118 трубопровод</v>
      </c>
      <c r="O492" s="92" t="str">
        <f t="shared" ref="O492:O497" si="527">D492</f>
        <v>Полное-пожар</v>
      </c>
      <c r="P492" s="92">
        <v>17.100000000000001</v>
      </c>
      <c r="Q492" s="92">
        <v>23.5</v>
      </c>
      <c r="R492" s="92">
        <v>33.1</v>
      </c>
      <c r="S492" s="92">
        <v>61.2</v>
      </c>
      <c r="T492" s="92" t="s">
        <v>83</v>
      </c>
      <c r="U492" s="92" t="s">
        <v>83</v>
      </c>
      <c r="V492" s="92" t="s">
        <v>83</v>
      </c>
      <c r="W492" s="92" t="s">
        <v>83</v>
      </c>
      <c r="X492" s="92" t="s">
        <v>83</v>
      </c>
      <c r="Y492" s="92" t="s">
        <v>83</v>
      </c>
      <c r="Z492" s="92" t="s">
        <v>83</v>
      </c>
      <c r="AA492" s="92" t="s">
        <v>83</v>
      </c>
      <c r="AB492" s="92" t="s">
        <v>83</v>
      </c>
      <c r="AC492" s="92" t="s">
        <v>83</v>
      </c>
      <c r="AD492" s="92" t="s">
        <v>83</v>
      </c>
      <c r="AE492" s="92" t="s">
        <v>83</v>
      </c>
      <c r="AF492" s="92" t="s">
        <v>83</v>
      </c>
      <c r="AG492" s="92" t="s">
        <v>83</v>
      </c>
      <c r="AH492" s="92" t="s">
        <v>83</v>
      </c>
      <c r="AI492" s="92" t="s">
        <v>83</v>
      </c>
      <c r="AJ492" s="52">
        <v>1</v>
      </c>
      <c r="AK492" s="52">
        <v>2</v>
      </c>
      <c r="AL492" s="152">
        <v>0.75</v>
      </c>
      <c r="AM492" s="152">
        <v>2.7E-2</v>
      </c>
      <c r="AN492" s="152">
        <v>3</v>
      </c>
      <c r="AO492" s="92"/>
      <c r="AP492" s="92"/>
      <c r="AQ492" s="93">
        <f>AM492*I492+AL492</f>
        <v>1.7479200000000001</v>
      </c>
      <c r="AR492" s="93">
        <f t="shared" ref="AR492:AR497" si="528">0.1*AQ492</f>
        <v>0.17479200000000003</v>
      </c>
      <c r="AS492" s="94">
        <f t="shared" ref="AS492:AS497" si="529">AJ492*3+0.25*AK492</f>
        <v>3.5</v>
      </c>
      <c r="AT492" s="94">
        <f t="shared" ref="AT492:AT497" si="530">SUM(AQ492:AS492)/4</f>
        <v>1.3556780000000002</v>
      </c>
      <c r="AU492" s="93">
        <f>10068.2*J492*POWER(10,-6)</f>
        <v>0.37212067199999999</v>
      </c>
      <c r="AV492" s="94">
        <f t="shared" ref="AV492:AV497" si="531">AU492+AT492+AS492+AR492+AQ492</f>
        <v>7.1505106720000011</v>
      </c>
      <c r="AW492" s="95">
        <f t="shared" ref="AW492:AW497" si="532">AJ492*H492</f>
        <v>3.4199999999999999E-6</v>
      </c>
      <c r="AX492" s="95">
        <f t="shared" ref="AX492:AX497" si="533">H492*AK492</f>
        <v>6.8399999999999997E-6</v>
      </c>
      <c r="AY492" s="95">
        <f t="shared" ref="AY492:AY497" si="534">H492*AV492</f>
        <v>2.4454746498240003E-5</v>
      </c>
    </row>
    <row r="493" spans="1:51" ht="15" thickBot="1" x14ac:dyDescent="0.35">
      <c r="A493" s="48" t="s">
        <v>19</v>
      </c>
      <c r="B493" s="48" t="str">
        <f>B492</f>
        <v>Арктическое дизельное топливо рег. № 1118 трубопровод</v>
      </c>
      <c r="C493" s="166" t="s">
        <v>174</v>
      </c>
      <c r="D493" s="49" t="s">
        <v>59</v>
      </c>
      <c r="E493" s="154">
        <f>E492</f>
        <v>9.9999999999999995E-8</v>
      </c>
      <c r="F493" s="155">
        <f>F492</f>
        <v>171</v>
      </c>
      <c r="G493" s="48">
        <v>0.04</v>
      </c>
      <c r="H493" s="50">
        <f t="shared" si="524"/>
        <v>6.8399999999999993E-7</v>
      </c>
      <c r="I493" s="149">
        <f>I492</f>
        <v>36.96</v>
      </c>
      <c r="J493" s="149">
        <f>I492</f>
        <v>36.96</v>
      </c>
      <c r="K493" s="159" t="s">
        <v>176</v>
      </c>
      <c r="L493" s="164">
        <v>0</v>
      </c>
      <c r="M493" s="92" t="str">
        <f t="shared" si="525"/>
        <v>С2</v>
      </c>
      <c r="N493" s="92" t="str">
        <f t="shared" si="526"/>
        <v>Арктическое дизельное топливо рег. № 1118 трубопровод</v>
      </c>
      <c r="O493" s="92" t="str">
        <f t="shared" si="527"/>
        <v>Полное-пожар</v>
      </c>
      <c r="P493" s="92">
        <v>17.100000000000001</v>
      </c>
      <c r="Q493" s="92">
        <v>23.5</v>
      </c>
      <c r="R493" s="92">
        <v>33.1</v>
      </c>
      <c r="S493" s="92">
        <v>61.2</v>
      </c>
      <c r="T493" s="92" t="s">
        <v>83</v>
      </c>
      <c r="U493" s="92" t="s">
        <v>83</v>
      </c>
      <c r="V493" s="92" t="s">
        <v>83</v>
      </c>
      <c r="W493" s="92" t="s">
        <v>83</v>
      </c>
      <c r="X493" s="92" t="s">
        <v>83</v>
      </c>
      <c r="Y493" s="92" t="s">
        <v>83</v>
      </c>
      <c r="Z493" s="92" t="s">
        <v>83</v>
      </c>
      <c r="AA493" s="92" t="s">
        <v>83</v>
      </c>
      <c r="AB493" s="92" t="s">
        <v>83</v>
      </c>
      <c r="AC493" s="92" t="s">
        <v>83</v>
      </c>
      <c r="AD493" s="92" t="s">
        <v>83</v>
      </c>
      <c r="AE493" s="92" t="s">
        <v>83</v>
      </c>
      <c r="AF493" s="92" t="s">
        <v>83</v>
      </c>
      <c r="AG493" s="92" t="s">
        <v>83</v>
      </c>
      <c r="AH493" s="92" t="s">
        <v>83</v>
      </c>
      <c r="AI493" s="92" t="s">
        <v>83</v>
      </c>
      <c r="AJ493" s="52">
        <v>2</v>
      </c>
      <c r="AK493" s="52">
        <v>2</v>
      </c>
      <c r="AL493" s="92">
        <f>AL492</f>
        <v>0.75</v>
      </c>
      <c r="AM493" s="92">
        <f>AM492</f>
        <v>2.7E-2</v>
      </c>
      <c r="AN493" s="92">
        <f>AN492</f>
        <v>3</v>
      </c>
      <c r="AO493" s="92"/>
      <c r="AP493" s="92"/>
      <c r="AQ493" s="93">
        <f>AM493*I493+AL493</f>
        <v>1.7479200000000001</v>
      </c>
      <c r="AR493" s="93">
        <f t="shared" si="528"/>
        <v>0.17479200000000003</v>
      </c>
      <c r="AS493" s="94">
        <f t="shared" si="529"/>
        <v>6.5</v>
      </c>
      <c r="AT493" s="94">
        <f t="shared" si="530"/>
        <v>2.1056780000000002</v>
      </c>
      <c r="AU493" s="93">
        <f>10068.2*J493*POWER(10,-6)*10</f>
        <v>3.7212067199999996</v>
      </c>
      <c r="AV493" s="94">
        <f t="shared" si="531"/>
        <v>14.24959672</v>
      </c>
      <c r="AW493" s="95">
        <f t="shared" si="532"/>
        <v>1.3679999999999999E-6</v>
      </c>
      <c r="AX493" s="95">
        <f t="shared" si="533"/>
        <v>1.3679999999999999E-6</v>
      </c>
      <c r="AY493" s="95">
        <f t="shared" si="534"/>
        <v>9.7467241564799993E-6</v>
      </c>
    </row>
    <row r="494" spans="1:51" x14ac:dyDescent="0.3">
      <c r="A494" s="48" t="s">
        <v>20</v>
      </c>
      <c r="B494" s="48" t="str">
        <f>B492</f>
        <v>Арктическое дизельное топливо рег. № 1118 трубопровод</v>
      </c>
      <c r="C494" s="166" t="s">
        <v>161</v>
      </c>
      <c r="D494" s="49" t="s">
        <v>60</v>
      </c>
      <c r="E494" s="154">
        <f>E492</f>
        <v>9.9999999999999995E-8</v>
      </c>
      <c r="F494" s="155">
        <f>F492</f>
        <v>171</v>
      </c>
      <c r="G494" s="48">
        <v>0.76</v>
      </c>
      <c r="H494" s="50">
        <f t="shared" si="524"/>
        <v>1.2995999999999999E-5</v>
      </c>
      <c r="I494" s="149">
        <f>I492</f>
        <v>36.96</v>
      </c>
      <c r="J494" s="48">
        <v>0</v>
      </c>
      <c r="K494" s="159" t="s">
        <v>177</v>
      </c>
      <c r="L494" s="164">
        <v>0</v>
      </c>
      <c r="M494" s="92" t="str">
        <f t="shared" si="525"/>
        <v>С3</v>
      </c>
      <c r="N494" s="92" t="str">
        <f t="shared" si="526"/>
        <v>Арктическое дизельное топливо рег. № 1118 трубопровод</v>
      </c>
      <c r="O494" s="92" t="str">
        <f t="shared" si="527"/>
        <v>Полное-ликвидация</v>
      </c>
      <c r="P494" s="92" t="s">
        <v>83</v>
      </c>
      <c r="Q494" s="92" t="s">
        <v>83</v>
      </c>
      <c r="R494" s="92" t="s">
        <v>83</v>
      </c>
      <c r="S494" s="92" t="s">
        <v>83</v>
      </c>
      <c r="T494" s="92" t="s">
        <v>83</v>
      </c>
      <c r="U494" s="92" t="s">
        <v>83</v>
      </c>
      <c r="V494" s="92" t="s">
        <v>83</v>
      </c>
      <c r="W494" s="92" t="s">
        <v>83</v>
      </c>
      <c r="X494" s="92" t="s">
        <v>83</v>
      </c>
      <c r="Y494" s="92" t="s">
        <v>83</v>
      </c>
      <c r="Z494" s="92" t="s">
        <v>83</v>
      </c>
      <c r="AA494" s="92" t="s">
        <v>83</v>
      </c>
      <c r="AB494" s="92" t="s">
        <v>83</v>
      </c>
      <c r="AC494" s="92" t="s">
        <v>83</v>
      </c>
      <c r="AD494" s="92" t="s">
        <v>83</v>
      </c>
      <c r="AE494" s="92" t="s">
        <v>83</v>
      </c>
      <c r="AF494" s="92" t="s">
        <v>83</v>
      </c>
      <c r="AG494" s="92" t="s">
        <v>83</v>
      </c>
      <c r="AH494" s="92" t="s">
        <v>83</v>
      </c>
      <c r="AI494" s="92" t="s">
        <v>83</v>
      </c>
      <c r="AJ494" s="92">
        <v>0</v>
      </c>
      <c r="AK494" s="92">
        <v>0</v>
      </c>
      <c r="AL494" s="92">
        <f>AL492</f>
        <v>0.75</v>
      </c>
      <c r="AM494" s="92">
        <f>AM492</f>
        <v>2.7E-2</v>
      </c>
      <c r="AN494" s="92">
        <f>AN492</f>
        <v>3</v>
      </c>
      <c r="AO494" s="92"/>
      <c r="AP494" s="92"/>
      <c r="AQ494" s="93">
        <f>AM494*I494*0.1+AL494</f>
        <v>0.84979199999999999</v>
      </c>
      <c r="AR494" s="93">
        <f t="shared" si="528"/>
        <v>8.4979200000000005E-2</v>
      </c>
      <c r="AS494" s="94">
        <f t="shared" si="529"/>
        <v>0</v>
      </c>
      <c r="AT494" s="94">
        <f t="shared" si="530"/>
        <v>0.23369280000000001</v>
      </c>
      <c r="AU494" s="93">
        <f>1333*J493*POWER(10,-6)</f>
        <v>4.9267680000000001E-2</v>
      </c>
      <c r="AV494" s="94">
        <f t="shared" si="531"/>
        <v>1.21773168</v>
      </c>
      <c r="AW494" s="95">
        <f t="shared" si="532"/>
        <v>0</v>
      </c>
      <c r="AX494" s="95">
        <f t="shared" si="533"/>
        <v>0</v>
      </c>
      <c r="AY494" s="95">
        <f t="shared" si="534"/>
        <v>1.582564091328E-5</v>
      </c>
    </row>
    <row r="495" spans="1:51" x14ac:dyDescent="0.3">
      <c r="A495" s="48" t="s">
        <v>21</v>
      </c>
      <c r="B495" s="48" t="str">
        <f>B492</f>
        <v>Арктическое дизельное топливо рег. № 1118 трубопровод</v>
      </c>
      <c r="C495" s="166" t="s">
        <v>162</v>
      </c>
      <c r="D495" s="49" t="s">
        <v>84</v>
      </c>
      <c r="E495" s="153">
        <v>5.0000000000000004E-6</v>
      </c>
      <c r="F495" s="155">
        <f>F492</f>
        <v>171</v>
      </c>
      <c r="G495" s="48">
        <v>0.2</v>
      </c>
      <c r="H495" s="50">
        <f t="shared" si="524"/>
        <v>1.7100000000000004E-4</v>
      </c>
      <c r="I495" s="149">
        <f>0.15*I492</f>
        <v>5.5439999999999996</v>
      </c>
      <c r="J495" s="149">
        <f>I495</f>
        <v>5.5439999999999996</v>
      </c>
      <c r="K495" s="161" t="s">
        <v>179</v>
      </c>
      <c r="L495" s="165">
        <v>45390</v>
      </c>
      <c r="M495" s="92" t="str">
        <f t="shared" si="525"/>
        <v>С4</v>
      </c>
      <c r="N495" s="92" t="str">
        <f t="shared" si="526"/>
        <v>Арктическое дизельное топливо рег. № 1118 трубопровод</v>
      </c>
      <c r="O495" s="92" t="str">
        <f t="shared" si="527"/>
        <v>Частичное-пожар</v>
      </c>
      <c r="P495" s="92">
        <v>12.8</v>
      </c>
      <c r="Q495" s="92">
        <v>16.399999999999999</v>
      </c>
      <c r="R495" s="92">
        <v>21.7</v>
      </c>
      <c r="S495" s="92">
        <v>37.299999999999997</v>
      </c>
      <c r="T495" s="92" t="s">
        <v>83</v>
      </c>
      <c r="U495" s="92" t="s">
        <v>83</v>
      </c>
      <c r="V495" s="92" t="s">
        <v>83</v>
      </c>
      <c r="W495" s="92" t="s">
        <v>83</v>
      </c>
      <c r="X495" s="92" t="s">
        <v>83</v>
      </c>
      <c r="Y495" s="92" t="s">
        <v>83</v>
      </c>
      <c r="Z495" s="92" t="s">
        <v>83</v>
      </c>
      <c r="AA495" s="92" t="s">
        <v>83</v>
      </c>
      <c r="AB495" s="92" t="s">
        <v>83</v>
      </c>
      <c r="AC495" s="92" t="s">
        <v>83</v>
      </c>
      <c r="AD495" s="92" t="s">
        <v>83</v>
      </c>
      <c r="AE495" s="92" t="s">
        <v>83</v>
      </c>
      <c r="AF495" s="92" t="s">
        <v>83</v>
      </c>
      <c r="AG495" s="92" t="s">
        <v>83</v>
      </c>
      <c r="AH495" s="92" t="s">
        <v>83</v>
      </c>
      <c r="AI495" s="92" t="s">
        <v>83</v>
      </c>
      <c r="AJ495" s="92">
        <v>0</v>
      </c>
      <c r="AK495" s="92">
        <v>2</v>
      </c>
      <c r="AL495" s="92">
        <f>0.1*$AL$2</f>
        <v>7.5000000000000002E-4</v>
      </c>
      <c r="AM495" s="92">
        <f>AM492</f>
        <v>2.7E-2</v>
      </c>
      <c r="AN495" s="92">
        <f>ROUNDUP(AN492/3,0)</f>
        <v>1</v>
      </c>
      <c r="AO495" s="92"/>
      <c r="AP495" s="92"/>
      <c r="AQ495" s="93">
        <f>AM495*I495+AL495</f>
        <v>0.15043799999999999</v>
      </c>
      <c r="AR495" s="93">
        <f t="shared" si="528"/>
        <v>1.50438E-2</v>
      </c>
      <c r="AS495" s="94">
        <f t="shared" si="529"/>
        <v>0.5</v>
      </c>
      <c r="AT495" s="94">
        <f t="shared" si="530"/>
        <v>0.16637045</v>
      </c>
      <c r="AU495" s="93">
        <f>10068.2*J495*POWER(10,-6)</f>
        <v>5.5818100799999999E-2</v>
      </c>
      <c r="AV495" s="94">
        <f t="shared" si="531"/>
        <v>0.88767035080000001</v>
      </c>
      <c r="AW495" s="95">
        <f t="shared" si="532"/>
        <v>0</v>
      </c>
      <c r="AX495" s="95">
        <f t="shared" si="533"/>
        <v>3.4200000000000007E-4</v>
      </c>
      <c r="AY495" s="95">
        <f t="shared" si="534"/>
        <v>1.5179162998680003E-4</v>
      </c>
    </row>
    <row r="496" spans="1:51" x14ac:dyDescent="0.3">
      <c r="A496" s="48" t="s">
        <v>22</v>
      </c>
      <c r="B496" s="48" t="str">
        <f>B492</f>
        <v>Арктическое дизельное топливо рег. № 1118 трубопровод</v>
      </c>
      <c r="C496" s="166" t="s">
        <v>190</v>
      </c>
      <c r="D496" s="49" t="s">
        <v>84</v>
      </c>
      <c r="E496" s="154">
        <f>E495</f>
        <v>5.0000000000000004E-6</v>
      </c>
      <c r="F496" s="155">
        <f>F492</f>
        <v>171</v>
      </c>
      <c r="G496" s="48">
        <v>0.04</v>
      </c>
      <c r="H496" s="50">
        <f t="shared" si="524"/>
        <v>3.4200000000000005E-5</v>
      </c>
      <c r="I496" s="149">
        <f>0.15*I492</f>
        <v>5.5439999999999996</v>
      </c>
      <c r="J496" s="149">
        <f>I495</f>
        <v>5.5439999999999996</v>
      </c>
      <c r="K496" s="161" t="s">
        <v>180</v>
      </c>
      <c r="L496" s="165">
        <v>3</v>
      </c>
      <c r="M496" s="92" t="str">
        <f t="shared" si="525"/>
        <v>С5</v>
      </c>
      <c r="N496" s="92" t="str">
        <f t="shared" si="526"/>
        <v>Арктическое дизельное топливо рег. № 1118 трубопровод</v>
      </c>
      <c r="O496" s="92" t="str">
        <f t="shared" si="527"/>
        <v>Частичное-пожар</v>
      </c>
      <c r="P496" s="92">
        <v>12.8</v>
      </c>
      <c r="Q496" s="92">
        <v>16.399999999999999</v>
      </c>
      <c r="R496" s="92">
        <v>21.7</v>
      </c>
      <c r="S496" s="92">
        <v>37.299999999999997</v>
      </c>
      <c r="T496" s="92" t="s">
        <v>83</v>
      </c>
      <c r="U496" s="92" t="s">
        <v>83</v>
      </c>
      <c r="V496" s="92" t="s">
        <v>83</v>
      </c>
      <c r="W496" s="92" t="s">
        <v>83</v>
      </c>
      <c r="X496" s="92" t="s">
        <v>83</v>
      </c>
      <c r="Y496" s="92" t="s">
        <v>83</v>
      </c>
      <c r="Z496" s="92" t="s">
        <v>83</v>
      </c>
      <c r="AA496" s="92" t="s">
        <v>83</v>
      </c>
      <c r="AB496" s="92" t="s">
        <v>83</v>
      </c>
      <c r="AC496" s="92" t="s">
        <v>83</v>
      </c>
      <c r="AD496" s="92" t="s">
        <v>83</v>
      </c>
      <c r="AE496" s="92" t="s">
        <v>83</v>
      </c>
      <c r="AF496" s="92" t="s">
        <v>83</v>
      </c>
      <c r="AG496" s="92" t="s">
        <v>83</v>
      </c>
      <c r="AH496" s="92" t="s">
        <v>83</v>
      </c>
      <c r="AI496" s="92" t="s">
        <v>83</v>
      </c>
      <c r="AJ496" s="92">
        <v>0</v>
      </c>
      <c r="AK496" s="92">
        <v>1</v>
      </c>
      <c r="AL496" s="92">
        <f>0.1*$AL$2</f>
        <v>7.5000000000000002E-4</v>
      </c>
      <c r="AM496" s="92">
        <f>AM492</f>
        <v>2.7E-2</v>
      </c>
      <c r="AN496" s="92">
        <f>ROUNDUP(AN492/3,0)</f>
        <v>1</v>
      </c>
      <c r="AO496" s="92"/>
      <c r="AP496" s="92"/>
      <c r="AQ496" s="93">
        <f>AM496*I496+AL496</f>
        <v>0.15043799999999999</v>
      </c>
      <c r="AR496" s="93">
        <f t="shared" si="528"/>
        <v>1.50438E-2</v>
      </c>
      <c r="AS496" s="94">
        <f t="shared" si="529"/>
        <v>0.25</v>
      </c>
      <c r="AT496" s="94">
        <f t="shared" si="530"/>
        <v>0.10387045</v>
      </c>
      <c r="AU496" s="93">
        <f>10068.2*J496*POWER(10,-6)*10</f>
        <v>0.55818100800000003</v>
      </c>
      <c r="AV496" s="94">
        <f t="shared" si="531"/>
        <v>1.0775332580000001</v>
      </c>
      <c r="AW496" s="95">
        <f t="shared" si="532"/>
        <v>0</v>
      </c>
      <c r="AX496" s="95">
        <f t="shared" si="533"/>
        <v>3.4200000000000005E-5</v>
      </c>
      <c r="AY496" s="95">
        <f t="shared" si="534"/>
        <v>3.6851637423600011E-5</v>
      </c>
    </row>
    <row r="497" spans="1:51" ht="15" thickBot="1" x14ac:dyDescent="0.35">
      <c r="A497" s="48" t="s">
        <v>23</v>
      </c>
      <c r="B497" s="48" t="str">
        <f>B492</f>
        <v>Арктическое дизельное топливо рег. № 1118 трубопровод</v>
      </c>
      <c r="C497" s="166" t="s">
        <v>164</v>
      </c>
      <c r="D497" s="49" t="s">
        <v>61</v>
      </c>
      <c r="E497" s="154">
        <f>E495</f>
        <v>5.0000000000000004E-6</v>
      </c>
      <c r="F497" s="155">
        <f>F492</f>
        <v>171</v>
      </c>
      <c r="G497" s="48">
        <v>0.76</v>
      </c>
      <c r="H497" s="50">
        <f t="shared" si="524"/>
        <v>6.4980000000000007E-4</v>
      </c>
      <c r="I497" s="149">
        <f>0.15*I492</f>
        <v>5.5439999999999996</v>
      </c>
      <c r="J497" s="48">
        <v>0</v>
      </c>
      <c r="K497" s="162" t="s">
        <v>191</v>
      </c>
      <c r="L497" s="168">
        <v>3</v>
      </c>
      <c r="M497" s="92" t="str">
        <f t="shared" si="525"/>
        <v>С6</v>
      </c>
      <c r="N497" s="92" t="str">
        <f t="shared" si="526"/>
        <v>Арктическое дизельное топливо рег. № 1118 трубопровод</v>
      </c>
      <c r="O497" s="92" t="str">
        <f t="shared" si="527"/>
        <v>Частичное-ликвидация</v>
      </c>
      <c r="P497" s="92" t="s">
        <v>83</v>
      </c>
      <c r="Q497" s="92" t="s">
        <v>83</v>
      </c>
      <c r="R497" s="92" t="s">
        <v>83</v>
      </c>
      <c r="S497" s="92" t="s">
        <v>83</v>
      </c>
      <c r="T497" s="92" t="s">
        <v>83</v>
      </c>
      <c r="U497" s="92" t="s">
        <v>83</v>
      </c>
      <c r="V497" s="92" t="s">
        <v>83</v>
      </c>
      <c r="W497" s="92" t="s">
        <v>83</v>
      </c>
      <c r="X497" s="92" t="s">
        <v>83</v>
      </c>
      <c r="Y497" s="92" t="s">
        <v>83</v>
      </c>
      <c r="Z497" s="92" t="s">
        <v>83</v>
      </c>
      <c r="AA497" s="92" t="s">
        <v>83</v>
      </c>
      <c r="AB497" s="92" t="s">
        <v>83</v>
      </c>
      <c r="AC497" s="92" t="s">
        <v>83</v>
      </c>
      <c r="AD497" s="92" t="s">
        <v>83</v>
      </c>
      <c r="AE497" s="92" t="s">
        <v>83</v>
      </c>
      <c r="AF497" s="92" t="s">
        <v>83</v>
      </c>
      <c r="AG497" s="92" t="s">
        <v>83</v>
      </c>
      <c r="AH497" s="92" t="s">
        <v>83</v>
      </c>
      <c r="AI497" s="92" t="s">
        <v>83</v>
      </c>
      <c r="AJ497" s="92">
        <v>0</v>
      </c>
      <c r="AK497" s="92">
        <v>0</v>
      </c>
      <c r="AL497" s="92">
        <f>0.1*$AL$2</f>
        <v>7.5000000000000002E-4</v>
      </c>
      <c r="AM497" s="92">
        <f>AM492</f>
        <v>2.7E-2</v>
      </c>
      <c r="AN497" s="92">
        <f>ROUNDUP(AN492/3,0)</f>
        <v>1</v>
      </c>
      <c r="AO497" s="92"/>
      <c r="AP497" s="92"/>
      <c r="AQ497" s="93">
        <f>AM497*I497*0.1+AL497</f>
        <v>1.5718799999999998E-2</v>
      </c>
      <c r="AR497" s="93">
        <f t="shared" si="528"/>
        <v>1.5718799999999999E-3</v>
      </c>
      <c r="AS497" s="94">
        <f t="shared" si="529"/>
        <v>0</v>
      </c>
      <c r="AT497" s="94">
        <f t="shared" si="530"/>
        <v>4.3226699999999998E-3</v>
      </c>
      <c r="AU497" s="93">
        <f>1333*J496*POWER(10,-6)</f>
        <v>7.3901519999999988E-3</v>
      </c>
      <c r="AV497" s="94">
        <f t="shared" si="531"/>
        <v>2.9003501999999994E-2</v>
      </c>
      <c r="AW497" s="95">
        <f t="shared" si="532"/>
        <v>0</v>
      </c>
      <c r="AX497" s="95">
        <f t="shared" si="533"/>
        <v>0</v>
      </c>
      <c r="AY497" s="95">
        <f t="shared" si="534"/>
        <v>1.8846475599599998E-5</v>
      </c>
    </row>
    <row r="498" spans="1:51" x14ac:dyDescent="0.3">
      <c r="A498" s="48"/>
      <c r="B498" s="48"/>
      <c r="C498" s="166"/>
      <c r="D498" s="49"/>
      <c r="E498" s="154"/>
      <c r="F498" s="155"/>
      <c r="G498" s="48"/>
      <c r="H498" s="50"/>
      <c r="I498" s="149"/>
      <c r="J498" s="48"/>
      <c r="K498" s="278"/>
      <c r="L498" s="279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  <c r="AL498" s="92"/>
      <c r="AM498" s="92"/>
      <c r="AN498" s="92"/>
      <c r="AO498" s="92"/>
      <c r="AP498" s="92"/>
      <c r="AQ498" s="93"/>
      <c r="AR498" s="93"/>
      <c r="AS498" s="94"/>
      <c r="AT498" s="94"/>
      <c r="AU498" s="93"/>
      <c r="AV498" s="94"/>
      <c r="AW498" s="95"/>
      <c r="AX498" s="95"/>
      <c r="AY498" s="95"/>
    </row>
    <row r="499" spans="1:51" s="267" customFormat="1" x14ac:dyDescent="0.3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</row>
    <row r="500" spans="1:51" s="267" customFormat="1" x14ac:dyDescent="0.3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</row>
    <row r="501" spans="1:51" ht="15" thickBot="1" x14ac:dyDescent="0.35"/>
    <row r="502" spans="1:51" s="179" customFormat="1" ht="15" thickBot="1" x14ac:dyDescent="0.35">
      <c r="A502" s="169" t="s">
        <v>18</v>
      </c>
      <c r="B502" s="170" t="s">
        <v>640</v>
      </c>
      <c r="C502" s="171" t="s">
        <v>227</v>
      </c>
      <c r="D502" s="172" t="s">
        <v>183</v>
      </c>
      <c r="E502" s="173">
        <v>1.0000000000000001E-5</v>
      </c>
      <c r="F502" s="170">
        <v>1</v>
      </c>
      <c r="G502" s="169">
        <v>1.4999999999999999E-2</v>
      </c>
      <c r="H502" s="174">
        <f t="shared" ref="H502:H507" si="535">E502*F502*G502</f>
        <v>1.5000000000000002E-7</v>
      </c>
      <c r="I502" s="175">
        <f>(1800/3600)*12</f>
        <v>6</v>
      </c>
      <c r="J502" s="187">
        <f>I502</f>
        <v>6</v>
      </c>
      <c r="K502" s="177" t="s">
        <v>175</v>
      </c>
      <c r="L502" s="422">
        <f>J502*20</f>
        <v>120</v>
      </c>
      <c r="M502" s="179" t="str">
        <f t="shared" ref="M502:M507" si="536">A502</f>
        <v>С1</v>
      </c>
      <c r="N502" s="179" t="str">
        <f t="shared" ref="N502:N507" si="537">B502</f>
        <v>Насос центробежный (8714P0003C)</v>
      </c>
      <c r="O502" s="179" t="str">
        <f t="shared" ref="O502:O507" si="538">D502</f>
        <v>Полное-факел</v>
      </c>
      <c r="P502" s="179" t="s">
        <v>83</v>
      </c>
      <c r="Q502" s="179" t="s">
        <v>83</v>
      </c>
      <c r="R502" s="179" t="s">
        <v>83</v>
      </c>
      <c r="S502" s="179" t="s">
        <v>83</v>
      </c>
      <c r="T502" s="179" t="s">
        <v>83</v>
      </c>
      <c r="U502" s="179" t="s">
        <v>83</v>
      </c>
      <c r="V502" s="179" t="s">
        <v>83</v>
      </c>
      <c r="W502" s="179" t="s">
        <v>83</v>
      </c>
      <c r="X502" s="179" t="s">
        <v>83</v>
      </c>
      <c r="Y502" s="179" t="s">
        <v>83</v>
      </c>
      <c r="Z502" s="179" t="s">
        <v>83</v>
      </c>
      <c r="AA502" s="179" t="s">
        <v>83</v>
      </c>
      <c r="AB502" s="179" t="s">
        <v>83</v>
      </c>
      <c r="AC502" s="179" t="s">
        <v>83</v>
      </c>
      <c r="AD502" s="179" t="s">
        <v>83</v>
      </c>
      <c r="AE502" s="179" t="s">
        <v>83</v>
      </c>
      <c r="AF502" s="179" t="s">
        <v>83</v>
      </c>
      <c r="AG502" s="179" t="s">
        <v>83</v>
      </c>
      <c r="AH502" s="179" t="s">
        <v>83</v>
      </c>
      <c r="AI502" s="179" t="s">
        <v>83</v>
      </c>
      <c r="AJ502" s="180">
        <v>1</v>
      </c>
      <c r="AK502" s="180">
        <v>2</v>
      </c>
      <c r="AL502" s="181">
        <v>0.75</v>
      </c>
      <c r="AM502" s="181">
        <v>2.7E-2</v>
      </c>
      <c r="AN502" s="181">
        <v>3</v>
      </c>
      <c r="AQ502" s="182">
        <f>AM502*I502+AL502</f>
        <v>0.91200000000000003</v>
      </c>
      <c r="AR502" s="182">
        <f t="shared" ref="AR502:AR507" si="539">0.1*AQ502</f>
        <v>9.1200000000000003E-2</v>
      </c>
      <c r="AS502" s="183">
        <f t="shared" ref="AS502:AS507" si="540">AJ502*3+0.25*AK502</f>
        <v>3.5</v>
      </c>
      <c r="AT502" s="183">
        <f t="shared" ref="AT502:AT507" si="541">SUM(AQ502:AS502)/4</f>
        <v>1.1257999999999999</v>
      </c>
      <c r="AU502" s="182">
        <f>10068.2*J502*POWER(10,-6)</f>
        <v>6.0409200000000003E-2</v>
      </c>
      <c r="AV502" s="183">
        <f t="shared" ref="AV502:AV507" si="542">AU502+AT502+AS502+AR502+AQ502</f>
        <v>5.6894092000000001</v>
      </c>
      <c r="AW502" s="184">
        <f t="shared" ref="AW502:AW507" si="543">AJ502*H502</f>
        <v>1.5000000000000002E-7</v>
      </c>
      <c r="AX502" s="184">
        <f t="shared" ref="AX502:AX507" si="544">H502*AK502</f>
        <v>3.0000000000000004E-7</v>
      </c>
      <c r="AY502" s="184">
        <f t="shared" ref="AY502:AY507" si="545">H502*AV502</f>
        <v>8.5341138000000015E-7</v>
      </c>
    </row>
    <row r="503" spans="1:51" s="179" customFormat="1" ht="15" thickBot="1" x14ac:dyDescent="0.35">
      <c r="A503" s="169" t="s">
        <v>19</v>
      </c>
      <c r="B503" s="169" t="str">
        <f>B502</f>
        <v>Насос центробежный (8714P0003C)</v>
      </c>
      <c r="C503" s="171" t="s">
        <v>238</v>
      </c>
      <c r="D503" s="172" t="s">
        <v>59</v>
      </c>
      <c r="E503" s="185">
        <f>E502</f>
        <v>1.0000000000000001E-5</v>
      </c>
      <c r="F503" s="186">
        <f>F502</f>
        <v>1</v>
      </c>
      <c r="G503" s="169">
        <v>1.4249999999999999E-2</v>
      </c>
      <c r="H503" s="174">
        <f t="shared" si="535"/>
        <v>1.4250000000000001E-7</v>
      </c>
      <c r="I503" s="187">
        <f>I502</f>
        <v>6</v>
      </c>
      <c r="J503" s="175">
        <f>I502</f>
        <v>6</v>
      </c>
      <c r="K503" s="177" t="s">
        <v>176</v>
      </c>
      <c r="L503" s="178">
        <v>0</v>
      </c>
      <c r="M503" s="179" t="str">
        <f t="shared" si="536"/>
        <v>С2</v>
      </c>
      <c r="N503" s="179" t="str">
        <f t="shared" si="537"/>
        <v>Насос центробежный (8714P0003C)</v>
      </c>
      <c r="O503" s="179" t="str">
        <f t="shared" si="538"/>
        <v>Полное-пожар</v>
      </c>
      <c r="P503" s="179" t="s">
        <v>83</v>
      </c>
      <c r="Q503" s="179" t="s">
        <v>83</v>
      </c>
      <c r="R503" s="179" t="s">
        <v>83</v>
      </c>
      <c r="S503" s="179" t="s">
        <v>83</v>
      </c>
      <c r="T503" s="179" t="s">
        <v>83</v>
      </c>
      <c r="U503" s="179" t="s">
        <v>83</v>
      </c>
      <c r="V503" s="179" t="s">
        <v>83</v>
      </c>
      <c r="W503" s="179" t="s">
        <v>83</v>
      </c>
      <c r="X503" s="179" t="s">
        <v>83</v>
      </c>
      <c r="Y503" s="179" t="s">
        <v>83</v>
      </c>
      <c r="Z503" s="179" t="s">
        <v>83</v>
      </c>
      <c r="AA503" s="179" t="s">
        <v>83</v>
      </c>
      <c r="AB503" s="179" t="s">
        <v>83</v>
      </c>
      <c r="AC503" s="179" t="s">
        <v>83</v>
      </c>
      <c r="AD503" s="179" t="s">
        <v>83</v>
      </c>
      <c r="AE503" s="179" t="s">
        <v>83</v>
      </c>
      <c r="AF503" s="179" t="s">
        <v>83</v>
      </c>
      <c r="AG503" s="179" t="s">
        <v>83</v>
      </c>
      <c r="AH503" s="179" t="s">
        <v>83</v>
      </c>
      <c r="AI503" s="179" t="s">
        <v>83</v>
      </c>
      <c r="AJ503" s="180">
        <v>2</v>
      </c>
      <c r="AK503" s="180">
        <v>2</v>
      </c>
      <c r="AL503" s="179">
        <f>AL502</f>
        <v>0.75</v>
      </c>
      <c r="AM503" s="179">
        <f>AM502</f>
        <v>2.7E-2</v>
      </c>
      <c r="AN503" s="179">
        <f>AN502</f>
        <v>3</v>
      </c>
      <c r="AQ503" s="182">
        <f>AM503*I503+AL503</f>
        <v>0.91200000000000003</v>
      </c>
      <c r="AR503" s="182">
        <f t="shared" si="539"/>
        <v>9.1200000000000003E-2</v>
      </c>
      <c r="AS503" s="183">
        <f t="shared" si="540"/>
        <v>6.5</v>
      </c>
      <c r="AT503" s="183">
        <f t="shared" si="541"/>
        <v>1.8757999999999999</v>
      </c>
      <c r="AU503" s="182">
        <f>10068.2*J503*POWER(10,-6)*10</f>
        <v>0.60409200000000007</v>
      </c>
      <c r="AV503" s="183">
        <f t="shared" si="542"/>
        <v>9.983092000000001</v>
      </c>
      <c r="AW503" s="184">
        <f t="shared" si="543"/>
        <v>2.8500000000000002E-7</v>
      </c>
      <c r="AX503" s="184">
        <f t="shared" si="544"/>
        <v>2.8500000000000002E-7</v>
      </c>
      <c r="AY503" s="184">
        <f t="shared" si="545"/>
        <v>1.4225906100000002E-6</v>
      </c>
    </row>
    <row r="504" spans="1:51" s="179" customFormat="1" x14ac:dyDescent="0.3">
      <c r="A504" s="169" t="s">
        <v>20</v>
      </c>
      <c r="B504" s="169" t="str">
        <f>B502</f>
        <v>Насос центробежный (8714P0003C)</v>
      </c>
      <c r="C504" s="171" t="s">
        <v>239</v>
      </c>
      <c r="D504" s="172" t="s">
        <v>60</v>
      </c>
      <c r="E504" s="185">
        <f>E502</f>
        <v>1.0000000000000001E-5</v>
      </c>
      <c r="F504" s="186">
        <f>F502</f>
        <v>1</v>
      </c>
      <c r="G504" s="169">
        <v>0.27074999999999999</v>
      </c>
      <c r="H504" s="174">
        <f t="shared" si="535"/>
        <v>2.7075000000000003E-6</v>
      </c>
      <c r="I504" s="187">
        <f>I502</f>
        <v>6</v>
      </c>
      <c r="J504" s="169">
        <v>0</v>
      </c>
      <c r="K504" s="177" t="s">
        <v>177</v>
      </c>
      <c r="L504" s="178">
        <v>1</v>
      </c>
      <c r="M504" s="179" t="str">
        <f t="shared" si="536"/>
        <v>С3</v>
      </c>
      <c r="N504" s="179" t="str">
        <f t="shared" si="537"/>
        <v>Насос центробежный (8714P0003C)</v>
      </c>
      <c r="O504" s="179" t="str">
        <f t="shared" si="538"/>
        <v>Полное-ликвидация</v>
      </c>
      <c r="P504" s="179" t="s">
        <v>83</v>
      </c>
      <c r="Q504" s="179" t="s">
        <v>83</v>
      </c>
      <c r="R504" s="179" t="s">
        <v>83</v>
      </c>
      <c r="S504" s="179" t="s">
        <v>83</v>
      </c>
      <c r="T504" s="179" t="s">
        <v>83</v>
      </c>
      <c r="U504" s="179" t="s">
        <v>83</v>
      </c>
      <c r="V504" s="179" t="s">
        <v>83</v>
      </c>
      <c r="W504" s="179" t="s">
        <v>83</v>
      </c>
      <c r="X504" s="179" t="s">
        <v>83</v>
      </c>
      <c r="Y504" s="179" t="s">
        <v>83</v>
      </c>
      <c r="Z504" s="179" t="s">
        <v>83</v>
      </c>
      <c r="AA504" s="179" t="s">
        <v>83</v>
      </c>
      <c r="AB504" s="179" t="s">
        <v>83</v>
      </c>
      <c r="AC504" s="179" t="s">
        <v>83</v>
      </c>
      <c r="AD504" s="179" t="s">
        <v>83</v>
      </c>
      <c r="AE504" s="179" t="s">
        <v>83</v>
      </c>
      <c r="AF504" s="179" t="s">
        <v>83</v>
      </c>
      <c r="AG504" s="179" t="s">
        <v>83</v>
      </c>
      <c r="AH504" s="179" t="s">
        <v>83</v>
      </c>
      <c r="AI504" s="179" t="s">
        <v>83</v>
      </c>
      <c r="AJ504" s="179">
        <v>0</v>
      </c>
      <c r="AK504" s="179">
        <v>0</v>
      </c>
      <c r="AL504" s="179">
        <f>AL502</f>
        <v>0.75</v>
      </c>
      <c r="AM504" s="179">
        <f>AM502</f>
        <v>2.7E-2</v>
      </c>
      <c r="AN504" s="179">
        <f>AN502</f>
        <v>3</v>
      </c>
      <c r="AQ504" s="182">
        <f>AM504*I504*0.1+AL504</f>
        <v>0.76619999999999999</v>
      </c>
      <c r="AR504" s="182">
        <f t="shared" si="539"/>
        <v>7.6620000000000008E-2</v>
      </c>
      <c r="AS504" s="183">
        <f t="shared" si="540"/>
        <v>0</v>
      </c>
      <c r="AT504" s="183">
        <f t="shared" si="541"/>
        <v>0.210705</v>
      </c>
      <c r="AU504" s="182">
        <f>1333*J503*POWER(10,-6)</f>
        <v>7.9979999999999999E-3</v>
      </c>
      <c r="AV504" s="183">
        <f t="shared" si="542"/>
        <v>1.061523</v>
      </c>
      <c r="AW504" s="184">
        <f t="shared" si="543"/>
        <v>0</v>
      </c>
      <c r="AX504" s="184">
        <f t="shared" si="544"/>
        <v>0</v>
      </c>
      <c r="AY504" s="184">
        <f t="shared" si="545"/>
        <v>2.8740735225000002E-6</v>
      </c>
    </row>
    <row r="505" spans="1:51" s="179" customFormat="1" x14ac:dyDescent="0.3">
      <c r="A505" s="169" t="s">
        <v>21</v>
      </c>
      <c r="B505" s="169" t="str">
        <f>B502</f>
        <v>Насос центробежный (8714P0003C)</v>
      </c>
      <c r="C505" s="171" t="s">
        <v>230</v>
      </c>
      <c r="D505" s="172" t="s">
        <v>84</v>
      </c>
      <c r="E505" s="185">
        <f>E503</f>
        <v>1.0000000000000001E-5</v>
      </c>
      <c r="F505" s="186">
        <f>F502</f>
        <v>1</v>
      </c>
      <c r="G505" s="169">
        <v>3.4999999999999996E-2</v>
      </c>
      <c r="H505" s="174">
        <f t="shared" si="535"/>
        <v>3.4999999999999998E-7</v>
      </c>
      <c r="I505" s="187">
        <f>0.15*I502</f>
        <v>0.89999999999999991</v>
      </c>
      <c r="J505" s="187">
        <f>I505</f>
        <v>0.89999999999999991</v>
      </c>
      <c r="K505" s="190" t="s">
        <v>179</v>
      </c>
      <c r="L505" s="191">
        <v>45390</v>
      </c>
      <c r="M505" s="179" t="str">
        <f t="shared" si="536"/>
        <v>С4</v>
      </c>
      <c r="N505" s="179" t="str">
        <f t="shared" si="537"/>
        <v>Насос центробежный (8714P0003C)</v>
      </c>
      <c r="O505" s="179" t="str">
        <f t="shared" si="538"/>
        <v>Частичное-пожар</v>
      </c>
      <c r="P505" s="179" t="s">
        <v>83</v>
      </c>
      <c r="Q505" s="179" t="s">
        <v>83</v>
      </c>
      <c r="R505" s="179" t="s">
        <v>83</v>
      </c>
      <c r="S505" s="179" t="s">
        <v>83</v>
      </c>
      <c r="T505" s="179" t="s">
        <v>83</v>
      </c>
      <c r="U505" s="179" t="s">
        <v>83</v>
      </c>
      <c r="V505" s="179" t="s">
        <v>83</v>
      </c>
      <c r="W505" s="179" t="s">
        <v>83</v>
      </c>
      <c r="X505" s="179" t="s">
        <v>83</v>
      </c>
      <c r="Y505" s="179" t="s">
        <v>83</v>
      </c>
      <c r="Z505" s="179" t="s">
        <v>83</v>
      </c>
      <c r="AA505" s="179" t="s">
        <v>83</v>
      </c>
      <c r="AB505" s="179" t="s">
        <v>83</v>
      </c>
      <c r="AC505" s="179" t="s">
        <v>83</v>
      </c>
      <c r="AD505" s="179" t="s">
        <v>83</v>
      </c>
      <c r="AE505" s="179" t="s">
        <v>83</v>
      </c>
      <c r="AF505" s="179" t="s">
        <v>83</v>
      </c>
      <c r="AG505" s="179" t="s">
        <v>83</v>
      </c>
      <c r="AH505" s="179" t="s">
        <v>83</v>
      </c>
      <c r="AI505" s="179" t="s">
        <v>83</v>
      </c>
      <c r="AJ505" s="179">
        <v>0</v>
      </c>
      <c r="AK505" s="179">
        <v>2</v>
      </c>
      <c r="AL505" s="179">
        <f>0.1*$AL$2</f>
        <v>7.5000000000000002E-4</v>
      </c>
      <c r="AM505" s="179">
        <f>AM502</f>
        <v>2.7E-2</v>
      </c>
      <c r="AN505" s="179">
        <f>ROUNDUP(AN502/3,0)</f>
        <v>1</v>
      </c>
      <c r="AQ505" s="182">
        <f>AM505*I505+AL505</f>
        <v>2.5049999999999999E-2</v>
      </c>
      <c r="AR505" s="182">
        <f t="shared" si="539"/>
        <v>2.5050000000000003E-3</v>
      </c>
      <c r="AS505" s="183">
        <f t="shared" si="540"/>
        <v>0.5</v>
      </c>
      <c r="AT505" s="183">
        <f t="shared" si="541"/>
        <v>0.13188875</v>
      </c>
      <c r="AU505" s="182">
        <f>10068.2*J505*POWER(10,-6)</f>
        <v>9.0613799999999991E-3</v>
      </c>
      <c r="AV505" s="183">
        <f t="shared" si="542"/>
        <v>0.66850513</v>
      </c>
      <c r="AW505" s="184">
        <f t="shared" si="543"/>
        <v>0</v>
      </c>
      <c r="AX505" s="184">
        <f t="shared" si="544"/>
        <v>6.9999999999999997E-7</v>
      </c>
      <c r="AY505" s="184">
        <f t="shared" si="545"/>
        <v>2.3397679549999998E-7</v>
      </c>
    </row>
    <row r="506" spans="1:51" s="179" customFormat="1" x14ac:dyDescent="0.3">
      <c r="A506" s="169" t="s">
        <v>22</v>
      </c>
      <c r="B506" s="169" t="str">
        <f>B502</f>
        <v>Насос центробежный (8714P0003C)</v>
      </c>
      <c r="C506" s="171" t="s">
        <v>232</v>
      </c>
      <c r="D506" s="172" t="s">
        <v>84</v>
      </c>
      <c r="E506" s="185">
        <f>E504</f>
        <v>1.0000000000000001E-5</v>
      </c>
      <c r="F506" s="186">
        <f>F502</f>
        <v>1</v>
      </c>
      <c r="G506" s="169">
        <v>3.3249999999999995E-2</v>
      </c>
      <c r="H506" s="174">
        <f t="shared" si="535"/>
        <v>3.3249999999999999E-7</v>
      </c>
      <c r="I506" s="187">
        <f>0.15*I502</f>
        <v>0.89999999999999991</v>
      </c>
      <c r="J506" s="187">
        <f>I505</f>
        <v>0.89999999999999991</v>
      </c>
      <c r="K506" s="190" t="s">
        <v>180</v>
      </c>
      <c r="L506" s="191">
        <v>3</v>
      </c>
      <c r="M506" s="179" t="str">
        <f t="shared" si="536"/>
        <v>С5</v>
      </c>
      <c r="N506" s="179" t="str">
        <f t="shared" si="537"/>
        <v>Насос центробежный (8714P0003C)</v>
      </c>
      <c r="O506" s="179" t="str">
        <f t="shared" si="538"/>
        <v>Частичное-пожар</v>
      </c>
      <c r="P506" s="179" t="s">
        <v>83</v>
      </c>
      <c r="Q506" s="179" t="s">
        <v>83</v>
      </c>
      <c r="R506" s="179" t="s">
        <v>83</v>
      </c>
      <c r="S506" s="179" t="s">
        <v>83</v>
      </c>
      <c r="T506" s="179" t="s">
        <v>83</v>
      </c>
      <c r="U506" s="179" t="s">
        <v>83</v>
      </c>
      <c r="V506" s="179" t="s">
        <v>83</v>
      </c>
      <c r="W506" s="179" t="s">
        <v>83</v>
      </c>
      <c r="X506" s="179" t="s">
        <v>83</v>
      </c>
      <c r="Y506" s="179" t="s">
        <v>83</v>
      </c>
      <c r="Z506" s="179" t="s">
        <v>83</v>
      </c>
      <c r="AA506" s="179" t="s">
        <v>83</v>
      </c>
      <c r="AB506" s="179" t="s">
        <v>83</v>
      </c>
      <c r="AC506" s="179" t="s">
        <v>83</v>
      </c>
      <c r="AD506" s="179" t="s">
        <v>83</v>
      </c>
      <c r="AE506" s="179" t="s">
        <v>83</v>
      </c>
      <c r="AF506" s="179" t="s">
        <v>83</v>
      </c>
      <c r="AG506" s="179" t="s">
        <v>83</v>
      </c>
      <c r="AH506" s="179" t="s">
        <v>83</v>
      </c>
      <c r="AI506" s="179" t="s">
        <v>83</v>
      </c>
      <c r="AJ506" s="179">
        <v>0</v>
      </c>
      <c r="AK506" s="179">
        <v>1</v>
      </c>
      <c r="AL506" s="179">
        <f>0.1*$AL$2</f>
        <v>7.5000000000000002E-4</v>
      </c>
      <c r="AM506" s="179">
        <f>AM502</f>
        <v>2.7E-2</v>
      </c>
      <c r="AN506" s="179">
        <f>ROUNDUP(AN502/3,0)</f>
        <v>1</v>
      </c>
      <c r="AQ506" s="182">
        <f>AM506*I506+AL506</f>
        <v>2.5049999999999999E-2</v>
      </c>
      <c r="AR506" s="182">
        <f t="shared" si="539"/>
        <v>2.5050000000000003E-3</v>
      </c>
      <c r="AS506" s="183">
        <f t="shared" si="540"/>
        <v>0.25</v>
      </c>
      <c r="AT506" s="183">
        <f t="shared" si="541"/>
        <v>6.9388749999999999E-2</v>
      </c>
      <c r="AU506" s="182">
        <f>10068.2*J506*POWER(10,-6)*10</f>
        <v>9.0613799999999994E-2</v>
      </c>
      <c r="AV506" s="183">
        <f t="shared" si="542"/>
        <v>0.43755754999999996</v>
      </c>
      <c r="AW506" s="184">
        <f t="shared" si="543"/>
        <v>0</v>
      </c>
      <c r="AX506" s="184">
        <f t="shared" si="544"/>
        <v>3.3249999999999999E-7</v>
      </c>
      <c r="AY506" s="184">
        <f t="shared" si="545"/>
        <v>1.4548788537499998E-7</v>
      </c>
    </row>
    <row r="507" spans="1:51" s="179" customFormat="1" ht="15" thickBot="1" x14ac:dyDescent="0.35">
      <c r="A507" s="169" t="s">
        <v>23</v>
      </c>
      <c r="B507" s="169" t="str">
        <f>B502</f>
        <v>Насос центробежный (8714P0003C)</v>
      </c>
      <c r="C507" s="171" t="s">
        <v>231</v>
      </c>
      <c r="D507" s="172" t="s">
        <v>617</v>
      </c>
      <c r="E507" s="185">
        <f>E505</f>
        <v>1.0000000000000001E-5</v>
      </c>
      <c r="F507" s="186">
        <f>F502</f>
        <v>1</v>
      </c>
      <c r="G507" s="169">
        <v>0.63174999999999992</v>
      </c>
      <c r="H507" s="174">
        <f t="shared" si="535"/>
        <v>6.3175000000000001E-6</v>
      </c>
      <c r="I507" s="187">
        <f>0.15*I502</f>
        <v>0.89999999999999991</v>
      </c>
      <c r="J507" s="169">
        <v>0</v>
      </c>
      <c r="K507" s="192" t="s">
        <v>191</v>
      </c>
      <c r="L507" s="192">
        <v>18</v>
      </c>
      <c r="M507" s="179" t="str">
        <f t="shared" si="536"/>
        <v>С6</v>
      </c>
      <c r="N507" s="179" t="str">
        <f t="shared" si="537"/>
        <v>Насос центробежный (8714P0003C)</v>
      </c>
      <c r="O507" s="179" t="str">
        <f t="shared" si="538"/>
        <v>Частичное-ликв</v>
      </c>
      <c r="P507" s="179" t="s">
        <v>83</v>
      </c>
      <c r="Q507" s="179" t="s">
        <v>83</v>
      </c>
      <c r="R507" s="179" t="s">
        <v>83</v>
      </c>
      <c r="S507" s="179" t="s">
        <v>83</v>
      </c>
      <c r="T507" s="179" t="s">
        <v>83</v>
      </c>
      <c r="U507" s="179" t="s">
        <v>83</v>
      </c>
      <c r="V507" s="179" t="s">
        <v>83</v>
      </c>
      <c r="W507" s="179" t="s">
        <v>83</v>
      </c>
      <c r="X507" s="179" t="s">
        <v>83</v>
      </c>
      <c r="Y507" s="179" t="s">
        <v>83</v>
      </c>
      <c r="Z507" s="179" t="s">
        <v>83</v>
      </c>
      <c r="AA507" s="179" t="s">
        <v>83</v>
      </c>
      <c r="AB507" s="179" t="s">
        <v>83</v>
      </c>
      <c r="AC507" s="179" t="s">
        <v>83</v>
      </c>
      <c r="AD507" s="179" t="s">
        <v>83</v>
      </c>
      <c r="AE507" s="179" t="s">
        <v>83</v>
      </c>
      <c r="AF507" s="179" t="s">
        <v>83</v>
      </c>
      <c r="AG507" s="179" t="s">
        <v>83</v>
      </c>
      <c r="AH507" s="179" t="s">
        <v>83</v>
      </c>
      <c r="AI507" s="179" t="s">
        <v>83</v>
      </c>
      <c r="AJ507" s="179">
        <v>0</v>
      </c>
      <c r="AK507" s="179">
        <v>0</v>
      </c>
      <c r="AL507" s="179">
        <f>0.1*$AL$2</f>
        <v>7.5000000000000002E-4</v>
      </c>
      <c r="AM507" s="179">
        <f>AM502</f>
        <v>2.7E-2</v>
      </c>
      <c r="AN507" s="179">
        <f>ROUNDUP(AN502/3,0)</f>
        <v>1</v>
      </c>
      <c r="AQ507" s="182">
        <f>AM507*I507*0.1+AL507</f>
        <v>3.1799999999999997E-3</v>
      </c>
      <c r="AR507" s="182">
        <f t="shared" si="539"/>
        <v>3.1799999999999998E-4</v>
      </c>
      <c r="AS507" s="183">
        <f t="shared" si="540"/>
        <v>0</v>
      </c>
      <c r="AT507" s="183">
        <f t="shared" si="541"/>
        <v>8.7449999999999995E-4</v>
      </c>
      <c r="AU507" s="182">
        <f>1333*J506*POWER(10,-6)</f>
        <v>1.1996999999999997E-3</v>
      </c>
      <c r="AV507" s="183">
        <f t="shared" si="542"/>
        <v>5.5721999999999994E-3</v>
      </c>
      <c r="AW507" s="184">
        <f t="shared" si="543"/>
        <v>0</v>
      </c>
      <c r="AX507" s="184">
        <f t="shared" si="544"/>
        <v>0</v>
      </c>
      <c r="AY507" s="184">
        <f t="shared" si="545"/>
        <v>3.5202373499999998E-8</v>
      </c>
    </row>
    <row r="508" spans="1:51" s="179" customFormat="1" x14ac:dyDescent="0.3">
      <c r="A508" s="180"/>
      <c r="B508" s="180"/>
      <c r="D508" s="271"/>
      <c r="E508" s="272"/>
      <c r="F508" s="273"/>
      <c r="G508" s="180"/>
      <c r="H508" s="184"/>
      <c r="I508" s="183"/>
      <c r="J508" s="180"/>
      <c r="K508" s="180"/>
      <c r="L508" s="180"/>
      <c r="AQ508" s="182"/>
      <c r="AR508" s="182"/>
      <c r="AS508" s="183"/>
      <c r="AT508" s="183"/>
      <c r="AU508" s="182"/>
      <c r="AV508" s="183"/>
      <c r="AW508" s="184"/>
      <c r="AX508" s="184"/>
      <c r="AY508" s="184"/>
    </row>
    <row r="509" spans="1:51" s="179" customFormat="1" x14ac:dyDescent="0.3">
      <c r="A509" s="180"/>
      <c r="B509" s="180"/>
      <c r="D509" s="271"/>
      <c r="E509" s="272"/>
      <c r="F509" s="273"/>
      <c r="G509" s="180"/>
      <c r="H509" s="184"/>
      <c r="I509" s="183"/>
      <c r="J509" s="180"/>
      <c r="K509" s="180"/>
      <c r="L509" s="180"/>
      <c r="AQ509" s="182"/>
      <c r="AR509" s="182"/>
      <c r="AS509" s="183"/>
      <c r="AT509" s="183"/>
      <c r="AU509" s="182"/>
      <c r="AV509" s="183"/>
      <c r="AW509" s="184"/>
      <c r="AX509" s="184"/>
      <c r="AY509" s="184"/>
    </row>
    <row r="510" spans="1:51" s="179" customFormat="1" x14ac:dyDescent="0.3">
      <c r="A510" s="180"/>
      <c r="B510" s="180"/>
      <c r="D510" s="271"/>
      <c r="E510" s="272"/>
      <c r="F510" s="273"/>
      <c r="G510" s="180"/>
      <c r="H510" s="184"/>
      <c r="I510" s="183"/>
      <c r="J510" s="180"/>
      <c r="K510" s="180"/>
      <c r="L510" s="180"/>
      <c r="AQ510" s="182"/>
      <c r="AR510" s="182"/>
      <c r="AS510" s="183"/>
      <c r="AT510" s="183"/>
      <c r="AU510" s="182"/>
      <c r="AV510" s="183"/>
      <c r="AW510" s="184"/>
      <c r="AX510" s="184"/>
      <c r="AY510" s="184"/>
    </row>
    <row r="511" spans="1:51" ht="15" thickBot="1" x14ac:dyDescent="0.35"/>
    <row r="512" spans="1:51" s="179" customFormat="1" ht="15" thickBot="1" x14ac:dyDescent="0.35">
      <c r="A512" s="169" t="s">
        <v>18</v>
      </c>
      <c r="B512" s="312" t="s">
        <v>641</v>
      </c>
      <c r="C512" s="171" t="s">
        <v>196</v>
      </c>
      <c r="D512" s="172" t="s">
        <v>59</v>
      </c>
      <c r="E512" s="173">
        <v>1.0000000000000001E-5</v>
      </c>
      <c r="F512" s="170">
        <v>1</v>
      </c>
      <c r="G512" s="169">
        <v>0.1</v>
      </c>
      <c r="H512" s="174">
        <f t="shared" ref="H512:H517" si="546">E512*F512*G512</f>
        <v>1.0000000000000002E-6</v>
      </c>
      <c r="I512" s="175">
        <v>14720</v>
      </c>
      <c r="J512" s="187">
        <f>I512</f>
        <v>14720</v>
      </c>
      <c r="K512" s="177" t="s">
        <v>175</v>
      </c>
      <c r="L512" s="178">
        <v>5125</v>
      </c>
      <c r="M512" s="179" t="str">
        <f t="shared" ref="M512:M517" si="547">A512</f>
        <v>С1</v>
      </c>
      <c r="N512" s="179" t="str">
        <f t="shared" ref="N512:N517" si="548">B512</f>
        <v>Резервуар РВС (8706T0001)</v>
      </c>
      <c r="O512" s="179" t="str">
        <f t="shared" ref="O512:O517" si="549">D512</f>
        <v>Полное-пожар</v>
      </c>
      <c r="P512" s="179" t="s">
        <v>83</v>
      </c>
      <c r="Q512" s="179" t="s">
        <v>83</v>
      </c>
      <c r="R512" s="179" t="s">
        <v>83</v>
      </c>
      <c r="S512" s="179" t="s">
        <v>83</v>
      </c>
      <c r="T512" s="179" t="s">
        <v>83</v>
      </c>
      <c r="U512" s="179" t="s">
        <v>83</v>
      </c>
      <c r="V512" s="179" t="s">
        <v>83</v>
      </c>
      <c r="W512" s="179" t="s">
        <v>83</v>
      </c>
      <c r="X512" s="179" t="s">
        <v>83</v>
      </c>
      <c r="Y512" s="179" t="s">
        <v>83</v>
      </c>
      <c r="Z512" s="179" t="s">
        <v>83</v>
      </c>
      <c r="AA512" s="179" t="s">
        <v>83</v>
      </c>
      <c r="AB512" s="179" t="s">
        <v>83</v>
      </c>
      <c r="AC512" s="179" t="s">
        <v>83</v>
      </c>
      <c r="AD512" s="179" t="s">
        <v>83</v>
      </c>
      <c r="AE512" s="179" t="s">
        <v>83</v>
      </c>
      <c r="AF512" s="179" t="s">
        <v>83</v>
      </c>
      <c r="AG512" s="179" t="s">
        <v>83</v>
      </c>
      <c r="AH512" s="179" t="s">
        <v>83</v>
      </c>
      <c r="AI512" s="179" t="s">
        <v>83</v>
      </c>
      <c r="AJ512" s="180">
        <v>1</v>
      </c>
      <c r="AK512" s="180">
        <v>2</v>
      </c>
      <c r="AL512" s="181">
        <v>0.75</v>
      </c>
      <c r="AM512" s="181">
        <v>2.7E-2</v>
      </c>
      <c r="AN512" s="181">
        <v>3</v>
      </c>
      <c r="AQ512" s="182">
        <f>AM512*I512+AL512</f>
        <v>398.19</v>
      </c>
      <c r="AR512" s="182">
        <f t="shared" ref="AR512:AR517" si="550">0.1*AQ512</f>
        <v>39.819000000000003</v>
      </c>
      <c r="AS512" s="183">
        <f t="shared" ref="AS512:AS517" si="551">AJ512*3+0.25*AK512</f>
        <v>3.5</v>
      </c>
      <c r="AT512" s="183">
        <f t="shared" ref="AT512:AT517" si="552">SUM(AQ512:AS512)/4</f>
        <v>110.37725</v>
      </c>
      <c r="AU512" s="182">
        <f>10068.2*J512*POWER(10,-6)</f>
        <v>148.20390399999999</v>
      </c>
      <c r="AV512" s="183">
        <f t="shared" ref="AV512:AV517" si="553">AU512+AT512+AS512+AR512+AQ512</f>
        <v>700.09015399999998</v>
      </c>
      <c r="AW512" s="184">
        <f t="shared" ref="AW512:AW517" si="554">AJ512*H512</f>
        <v>1.0000000000000002E-6</v>
      </c>
      <c r="AX512" s="184">
        <f t="shared" ref="AX512:AX517" si="555">H512*AK512</f>
        <v>2.0000000000000003E-6</v>
      </c>
      <c r="AY512" s="184">
        <f t="shared" ref="AY512:AY517" si="556">H512*AV512</f>
        <v>7.0009015400000014E-4</v>
      </c>
    </row>
    <row r="513" spans="1:51" s="179" customFormat="1" ht="15" thickBot="1" x14ac:dyDescent="0.35">
      <c r="A513" s="169" t="s">
        <v>19</v>
      </c>
      <c r="B513" s="169" t="str">
        <f>B512</f>
        <v>Резервуар РВС (8706T0001)</v>
      </c>
      <c r="C513" s="171" t="s">
        <v>205</v>
      </c>
      <c r="D513" s="172" t="s">
        <v>59</v>
      </c>
      <c r="E513" s="185">
        <f>E512</f>
        <v>1.0000000000000001E-5</v>
      </c>
      <c r="F513" s="186">
        <f>F512</f>
        <v>1</v>
      </c>
      <c r="G513" s="169">
        <v>0.18000000000000002</v>
      </c>
      <c r="H513" s="174">
        <f t="shared" si="546"/>
        <v>1.8000000000000003E-6</v>
      </c>
      <c r="I513" s="187">
        <f>I512</f>
        <v>14720</v>
      </c>
      <c r="J513" s="187">
        <f>I512</f>
        <v>14720</v>
      </c>
      <c r="K513" s="177" t="s">
        <v>176</v>
      </c>
      <c r="L513" s="178">
        <v>0</v>
      </c>
      <c r="M513" s="179" t="str">
        <f t="shared" si="547"/>
        <v>С2</v>
      </c>
      <c r="N513" s="179" t="str">
        <f t="shared" si="548"/>
        <v>Резервуар РВС (8706T0001)</v>
      </c>
      <c r="O513" s="179" t="str">
        <f t="shared" si="549"/>
        <v>Полное-пожар</v>
      </c>
      <c r="P513" s="179" t="s">
        <v>83</v>
      </c>
      <c r="Q513" s="179" t="s">
        <v>83</v>
      </c>
      <c r="R513" s="179" t="s">
        <v>83</v>
      </c>
      <c r="S513" s="179" t="s">
        <v>83</v>
      </c>
      <c r="T513" s="179" t="s">
        <v>83</v>
      </c>
      <c r="U513" s="179" t="s">
        <v>83</v>
      </c>
      <c r="V513" s="179" t="s">
        <v>83</v>
      </c>
      <c r="W513" s="179" t="s">
        <v>83</v>
      </c>
      <c r="X513" s="179" t="s">
        <v>83</v>
      </c>
      <c r="Y513" s="179" t="s">
        <v>83</v>
      </c>
      <c r="Z513" s="179" t="s">
        <v>83</v>
      </c>
      <c r="AA513" s="179" t="s">
        <v>83</v>
      </c>
      <c r="AB513" s="179" t="s">
        <v>83</v>
      </c>
      <c r="AC513" s="179" t="s">
        <v>83</v>
      </c>
      <c r="AD513" s="179" t="s">
        <v>83</v>
      </c>
      <c r="AE513" s="179" t="s">
        <v>83</v>
      </c>
      <c r="AF513" s="179" t="s">
        <v>83</v>
      </c>
      <c r="AG513" s="179" t="s">
        <v>83</v>
      </c>
      <c r="AH513" s="179" t="s">
        <v>83</v>
      </c>
      <c r="AI513" s="179" t="s">
        <v>83</v>
      </c>
      <c r="AJ513" s="180">
        <v>2</v>
      </c>
      <c r="AK513" s="180">
        <v>2</v>
      </c>
      <c r="AL513" s="179">
        <f>AL512</f>
        <v>0.75</v>
      </c>
      <c r="AM513" s="179">
        <f>AM512</f>
        <v>2.7E-2</v>
      </c>
      <c r="AN513" s="179">
        <f>AN512</f>
        <v>3</v>
      </c>
      <c r="AQ513" s="182">
        <f>AM513*I513+AL513</f>
        <v>398.19</v>
      </c>
      <c r="AR513" s="182">
        <f t="shared" si="550"/>
        <v>39.819000000000003</v>
      </c>
      <c r="AS513" s="183">
        <f t="shared" si="551"/>
        <v>6.5</v>
      </c>
      <c r="AT513" s="183">
        <f t="shared" si="552"/>
        <v>111.12725</v>
      </c>
      <c r="AU513" s="182">
        <f>10068.2*J513*POWER(10,-6)*10</f>
        <v>1482.0390399999999</v>
      </c>
      <c r="AV513" s="183">
        <f t="shared" si="553"/>
        <v>2037.6752899999999</v>
      </c>
      <c r="AW513" s="184">
        <f t="shared" si="554"/>
        <v>3.6000000000000007E-6</v>
      </c>
      <c r="AX513" s="184">
        <f t="shared" si="555"/>
        <v>3.6000000000000007E-6</v>
      </c>
      <c r="AY513" s="184">
        <f t="shared" si="556"/>
        <v>3.6678155220000006E-3</v>
      </c>
    </row>
    <row r="514" spans="1:51" s="179" customFormat="1" x14ac:dyDescent="0.3">
      <c r="A514" s="169" t="s">
        <v>20</v>
      </c>
      <c r="B514" s="169" t="str">
        <f>B512</f>
        <v>Резервуар РВС (8706T0001)</v>
      </c>
      <c r="C514" s="171" t="s">
        <v>198</v>
      </c>
      <c r="D514" s="172" t="s">
        <v>60</v>
      </c>
      <c r="E514" s="185">
        <f>E512</f>
        <v>1.0000000000000001E-5</v>
      </c>
      <c r="F514" s="186">
        <f>F512</f>
        <v>1</v>
      </c>
      <c r="G514" s="169">
        <v>0.72000000000000008</v>
      </c>
      <c r="H514" s="174">
        <f t="shared" si="546"/>
        <v>7.2000000000000014E-6</v>
      </c>
      <c r="I514" s="187">
        <f>I512</f>
        <v>14720</v>
      </c>
      <c r="J514" s="169">
        <v>0</v>
      </c>
      <c r="K514" s="177" t="s">
        <v>177</v>
      </c>
      <c r="L514" s="178">
        <v>0</v>
      </c>
      <c r="M514" s="179" t="str">
        <f t="shared" si="547"/>
        <v>С3</v>
      </c>
      <c r="N514" s="179" t="str">
        <f t="shared" si="548"/>
        <v>Резервуар РВС (8706T0001)</v>
      </c>
      <c r="O514" s="179" t="str">
        <f t="shared" si="549"/>
        <v>Полное-ликвидация</v>
      </c>
      <c r="P514" s="179" t="s">
        <v>83</v>
      </c>
      <c r="Q514" s="179" t="s">
        <v>83</v>
      </c>
      <c r="R514" s="179" t="s">
        <v>83</v>
      </c>
      <c r="S514" s="179" t="s">
        <v>83</v>
      </c>
      <c r="T514" s="179" t="s">
        <v>83</v>
      </c>
      <c r="U514" s="179" t="s">
        <v>83</v>
      </c>
      <c r="V514" s="179" t="s">
        <v>83</v>
      </c>
      <c r="W514" s="179" t="s">
        <v>83</v>
      </c>
      <c r="X514" s="179" t="s">
        <v>83</v>
      </c>
      <c r="Y514" s="179" t="s">
        <v>83</v>
      </c>
      <c r="Z514" s="179" t="s">
        <v>83</v>
      </c>
      <c r="AA514" s="179" t="s">
        <v>83</v>
      </c>
      <c r="AB514" s="179" t="s">
        <v>83</v>
      </c>
      <c r="AC514" s="179" t="s">
        <v>83</v>
      </c>
      <c r="AD514" s="179" t="s">
        <v>83</v>
      </c>
      <c r="AE514" s="179" t="s">
        <v>83</v>
      </c>
      <c r="AF514" s="179" t="s">
        <v>83</v>
      </c>
      <c r="AG514" s="179" t="s">
        <v>83</v>
      </c>
      <c r="AH514" s="179" t="s">
        <v>83</v>
      </c>
      <c r="AI514" s="179" t="s">
        <v>83</v>
      </c>
      <c r="AJ514" s="179">
        <v>0</v>
      </c>
      <c r="AK514" s="179">
        <v>0</v>
      </c>
      <c r="AL514" s="179">
        <f>AL512</f>
        <v>0.75</v>
      </c>
      <c r="AM514" s="179">
        <f>AM512</f>
        <v>2.7E-2</v>
      </c>
      <c r="AN514" s="179">
        <f>AN512</f>
        <v>3</v>
      </c>
      <c r="AQ514" s="182">
        <f>AM514*I514*0.1+AL514</f>
        <v>40.494</v>
      </c>
      <c r="AR514" s="182">
        <f t="shared" si="550"/>
        <v>4.0494000000000003</v>
      </c>
      <c r="AS514" s="183">
        <f t="shared" si="551"/>
        <v>0</v>
      </c>
      <c r="AT514" s="183">
        <f t="shared" si="552"/>
        <v>11.13585</v>
      </c>
      <c r="AU514" s="182">
        <f>1333*J513*POWER(10,-6)</f>
        <v>19.621759999999998</v>
      </c>
      <c r="AV514" s="183">
        <f t="shared" si="553"/>
        <v>75.301009999999991</v>
      </c>
      <c r="AW514" s="184">
        <f t="shared" si="554"/>
        <v>0</v>
      </c>
      <c r="AX514" s="184">
        <f t="shared" si="555"/>
        <v>0</v>
      </c>
      <c r="AY514" s="184">
        <f t="shared" si="556"/>
        <v>5.4216727200000008E-4</v>
      </c>
    </row>
    <row r="515" spans="1:51" s="179" customFormat="1" x14ac:dyDescent="0.3">
      <c r="A515" s="169" t="s">
        <v>21</v>
      </c>
      <c r="B515" s="169" t="str">
        <f>B512</f>
        <v>Резервуар РВС (8706T0001)</v>
      </c>
      <c r="C515" s="171" t="s">
        <v>199</v>
      </c>
      <c r="D515" s="172" t="s">
        <v>84</v>
      </c>
      <c r="E515" s="173">
        <v>1E-4</v>
      </c>
      <c r="F515" s="186">
        <f>F512</f>
        <v>1</v>
      </c>
      <c r="G515" s="169">
        <v>0.1</v>
      </c>
      <c r="H515" s="174">
        <f t="shared" si="546"/>
        <v>1.0000000000000001E-5</v>
      </c>
      <c r="I515" s="187">
        <f>0.15*I512</f>
        <v>2208</v>
      </c>
      <c r="J515" s="187">
        <f>I515</f>
        <v>2208</v>
      </c>
      <c r="K515" s="190" t="s">
        <v>179</v>
      </c>
      <c r="L515" s="191">
        <v>45390</v>
      </c>
      <c r="M515" s="179" t="str">
        <f t="shared" si="547"/>
        <v>С4</v>
      </c>
      <c r="N515" s="179" t="str">
        <f t="shared" si="548"/>
        <v>Резервуар РВС (8706T0001)</v>
      </c>
      <c r="O515" s="179" t="str">
        <f t="shared" si="549"/>
        <v>Частичное-пожар</v>
      </c>
      <c r="P515" s="179" t="s">
        <v>83</v>
      </c>
      <c r="Q515" s="179" t="s">
        <v>83</v>
      </c>
      <c r="R515" s="179" t="s">
        <v>83</v>
      </c>
      <c r="S515" s="179" t="s">
        <v>83</v>
      </c>
      <c r="T515" s="179" t="s">
        <v>83</v>
      </c>
      <c r="U515" s="179" t="s">
        <v>83</v>
      </c>
      <c r="V515" s="179" t="s">
        <v>83</v>
      </c>
      <c r="W515" s="179" t="s">
        <v>83</v>
      </c>
      <c r="X515" s="179" t="s">
        <v>83</v>
      </c>
      <c r="Y515" s="179" t="s">
        <v>83</v>
      </c>
      <c r="Z515" s="179" t="s">
        <v>83</v>
      </c>
      <c r="AA515" s="179" t="s">
        <v>83</v>
      </c>
      <c r="AB515" s="179" t="s">
        <v>83</v>
      </c>
      <c r="AC515" s="179" t="s">
        <v>83</v>
      </c>
      <c r="AD515" s="179" t="s">
        <v>83</v>
      </c>
      <c r="AE515" s="179" t="s">
        <v>83</v>
      </c>
      <c r="AF515" s="179" t="s">
        <v>83</v>
      </c>
      <c r="AG515" s="179" t="s">
        <v>83</v>
      </c>
      <c r="AH515" s="179" t="s">
        <v>83</v>
      </c>
      <c r="AI515" s="179" t="s">
        <v>83</v>
      </c>
      <c r="AJ515" s="179">
        <v>0</v>
      </c>
      <c r="AK515" s="179">
        <v>2</v>
      </c>
      <c r="AL515" s="179">
        <f>0.1*$AL$2</f>
        <v>7.5000000000000002E-4</v>
      </c>
      <c r="AM515" s="179">
        <f>AM512</f>
        <v>2.7E-2</v>
      </c>
      <c r="AN515" s="179">
        <f>ROUNDUP(AN512/3,0)</f>
        <v>1</v>
      </c>
      <c r="AQ515" s="182">
        <f>AM515*I515+AL515</f>
        <v>59.616749999999996</v>
      </c>
      <c r="AR515" s="182">
        <f t="shared" si="550"/>
        <v>5.9616749999999996</v>
      </c>
      <c r="AS515" s="183">
        <f t="shared" si="551"/>
        <v>0.5</v>
      </c>
      <c r="AT515" s="183">
        <f t="shared" si="552"/>
        <v>16.519606249999999</v>
      </c>
      <c r="AU515" s="182">
        <f>10068.2*J515*POWER(10,-6)</f>
        <v>22.230585600000001</v>
      </c>
      <c r="AV515" s="183">
        <f t="shared" si="553"/>
        <v>104.82861685</v>
      </c>
      <c r="AW515" s="184">
        <f t="shared" si="554"/>
        <v>0</v>
      </c>
      <c r="AX515" s="184">
        <f t="shared" si="555"/>
        <v>2.0000000000000002E-5</v>
      </c>
      <c r="AY515" s="184">
        <f t="shared" si="556"/>
        <v>1.0482861685E-3</v>
      </c>
    </row>
    <row r="516" spans="1:51" s="179" customFormat="1" x14ac:dyDescent="0.3">
      <c r="A516" s="169" t="s">
        <v>22</v>
      </c>
      <c r="B516" s="169" t="str">
        <f>B512</f>
        <v>Резервуар РВС (8706T0001)</v>
      </c>
      <c r="C516" s="171" t="s">
        <v>206</v>
      </c>
      <c r="D516" s="172" t="s">
        <v>84</v>
      </c>
      <c r="E516" s="185">
        <f>E515</f>
        <v>1E-4</v>
      </c>
      <c r="F516" s="186">
        <f>F512</f>
        <v>1</v>
      </c>
      <c r="G516" s="169">
        <v>4.5000000000000005E-2</v>
      </c>
      <c r="H516" s="174">
        <f t="shared" si="546"/>
        <v>4.500000000000001E-6</v>
      </c>
      <c r="I516" s="187">
        <f>0.15*I512</f>
        <v>2208</v>
      </c>
      <c r="J516" s="187">
        <f>I515</f>
        <v>2208</v>
      </c>
      <c r="K516" s="190" t="s">
        <v>180</v>
      </c>
      <c r="L516" s="191">
        <v>3</v>
      </c>
      <c r="M516" s="179" t="str">
        <f t="shared" si="547"/>
        <v>С5</v>
      </c>
      <c r="N516" s="179" t="str">
        <f t="shared" si="548"/>
        <v>Резервуар РВС (8706T0001)</v>
      </c>
      <c r="O516" s="179" t="str">
        <f t="shared" si="549"/>
        <v>Частичное-пожар</v>
      </c>
      <c r="P516" s="179" t="s">
        <v>83</v>
      </c>
      <c r="Q516" s="179" t="s">
        <v>83</v>
      </c>
      <c r="R516" s="179" t="s">
        <v>83</v>
      </c>
      <c r="S516" s="179" t="s">
        <v>83</v>
      </c>
      <c r="T516" s="179" t="s">
        <v>83</v>
      </c>
      <c r="U516" s="179" t="s">
        <v>83</v>
      </c>
      <c r="V516" s="179" t="s">
        <v>83</v>
      </c>
      <c r="W516" s="179" t="s">
        <v>83</v>
      </c>
      <c r="X516" s="179" t="s">
        <v>83</v>
      </c>
      <c r="Y516" s="179" t="s">
        <v>83</v>
      </c>
      <c r="Z516" s="179" t="s">
        <v>83</v>
      </c>
      <c r="AA516" s="179" t="s">
        <v>83</v>
      </c>
      <c r="AB516" s="179" t="s">
        <v>83</v>
      </c>
      <c r="AC516" s="179" t="s">
        <v>83</v>
      </c>
      <c r="AD516" s="179" t="s">
        <v>83</v>
      </c>
      <c r="AE516" s="179" t="s">
        <v>83</v>
      </c>
      <c r="AF516" s="179" t="s">
        <v>83</v>
      </c>
      <c r="AG516" s="179" t="s">
        <v>83</v>
      </c>
      <c r="AH516" s="179" t="s">
        <v>83</v>
      </c>
      <c r="AI516" s="179" t="s">
        <v>83</v>
      </c>
      <c r="AJ516" s="179">
        <v>0</v>
      </c>
      <c r="AK516" s="179">
        <v>1</v>
      </c>
      <c r="AL516" s="179">
        <f>0.1*$AL$2</f>
        <v>7.5000000000000002E-4</v>
      </c>
      <c r="AM516" s="179">
        <f>AM512</f>
        <v>2.7E-2</v>
      </c>
      <c r="AN516" s="179">
        <f>ROUNDUP(AN512/3,0)</f>
        <v>1</v>
      </c>
      <c r="AQ516" s="182">
        <f>AM516*I516+AL516</f>
        <v>59.616749999999996</v>
      </c>
      <c r="AR516" s="182">
        <f t="shared" si="550"/>
        <v>5.9616749999999996</v>
      </c>
      <c r="AS516" s="183">
        <f t="shared" si="551"/>
        <v>0.25</v>
      </c>
      <c r="AT516" s="183">
        <f t="shared" si="552"/>
        <v>16.457106249999999</v>
      </c>
      <c r="AU516" s="182">
        <f>10068.2*J516*POWER(10,-6)*10</f>
        <v>222.30585600000001</v>
      </c>
      <c r="AV516" s="183">
        <f t="shared" si="553"/>
        <v>304.59138725000003</v>
      </c>
      <c r="AW516" s="184">
        <f t="shared" si="554"/>
        <v>0</v>
      </c>
      <c r="AX516" s="184">
        <f t="shared" si="555"/>
        <v>4.500000000000001E-6</v>
      </c>
      <c r="AY516" s="184">
        <f t="shared" si="556"/>
        <v>1.3706612426250004E-3</v>
      </c>
    </row>
    <row r="517" spans="1:51" s="179" customFormat="1" ht="15" thickBot="1" x14ac:dyDescent="0.35">
      <c r="A517" s="169" t="s">
        <v>23</v>
      </c>
      <c r="B517" s="169" t="str">
        <f>B512</f>
        <v>Резервуар РВС (8706T0001)</v>
      </c>
      <c r="C517" s="171" t="s">
        <v>201</v>
      </c>
      <c r="D517" s="172" t="s">
        <v>61</v>
      </c>
      <c r="E517" s="185">
        <f>E515</f>
        <v>1E-4</v>
      </c>
      <c r="F517" s="186">
        <f>F512</f>
        <v>1</v>
      </c>
      <c r="G517" s="169">
        <v>0.85499999999999998</v>
      </c>
      <c r="H517" s="174">
        <f t="shared" si="546"/>
        <v>8.5500000000000005E-5</v>
      </c>
      <c r="I517" s="187">
        <f>0.15*I512</f>
        <v>2208</v>
      </c>
      <c r="J517" s="169">
        <v>0</v>
      </c>
      <c r="K517" s="192" t="s">
        <v>191</v>
      </c>
      <c r="L517" s="192">
        <v>11</v>
      </c>
      <c r="M517" s="179" t="str">
        <f t="shared" si="547"/>
        <v>С6</v>
      </c>
      <c r="N517" s="179" t="str">
        <f t="shared" si="548"/>
        <v>Резервуар РВС (8706T0001)</v>
      </c>
      <c r="O517" s="179" t="str">
        <f t="shared" si="549"/>
        <v>Частичное-ликвидация</v>
      </c>
      <c r="P517" s="179" t="s">
        <v>83</v>
      </c>
      <c r="Q517" s="179" t="s">
        <v>83</v>
      </c>
      <c r="R517" s="179" t="s">
        <v>83</v>
      </c>
      <c r="S517" s="179" t="s">
        <v>83</v>
      </c>
      <c r="T517" s="179" t="s">
        <v>83</v>
      </c>
      <c r="U517" s="179" t="s">
        <v>83</v>
      </c>
      <c r="V517" s="179" t="s">
        <v>83</v>
      </c>
      <c r="W517" s="179" t="s">
        <v>83</v>
      </c>
      <c r="X517" s="179" t="s">
        <v>83</v>
      </c>
      <c r="Y517" s="179" t="s">
        <v>83</v>
      </c>
      <c r="Z517" s="179" t="s">
        <v>83</v>
      </c>
      <c r="AA517" s="179" t="s">
        <v>83</v>
      </c>
      <c r="AB517" s="179" t="s">
        <v>83</v>
      </c>
      <c r="AC517" s="179" t="s">
        <v>83</v>
      </c>
      <c r="AD517" s="179" t="s">
        <v>83</v>
      </c>
      <c r="AE517" s="179" t="s">
        <v>83</v>
      </c>
      <c r="AF517" s="179" t="s">
        <v>83</v>
      </c>
      <c r="AG517" s="179" t="s">
        <v>83</v>
      </c>
      <c r="AH517" s="179" t="s">
        <v>83</v>
      </c>
      <c r="AI517" s="179" t="s">
        <v>83</v>
      </c>
      <c r="AJ517" s="179">
        <v>0</v>
      </c>
      <c r="AK517" s="179">
        <v>0</v>
      </c>
      <c r="AL517" s="179">
        <f>0.1*$AL$2</f>
        <v>7.5000000000000002E-4</v>
      </c>
      <c r="AM517" s="179">
        <f>AM512</f>
        <v>2.7E-2</v>
      </c>
      <c r="AN517" s="179">
        <f>ROUNDUP(AN512/3,0)</f>
        <v>1</v>
      </c>
      <c r="AQ517" s="182">
        <f>AM517*I517*0.1+AL517</f>
        <v>5.9623500000000007</v>
      </c>
      <c r="AR517" s="182">
        <f t="shared" si="550"/>
        <v>0.59623500000000007</v>
      </c>
      <c r="AS517" s="183">
        <f t="shared" si="551"/>
        <v>0</v>
      </c>
      <c r="AT517" s="183">
        <f t="shared" si="552"/>
        <v>1.6396462500000002</v>
      </c>
      <c r="AU517" s="182">
        <f>1333*J516*POWER(10,-6)</f>
        <v>2.9432639999999997</v>
      </c>
      <c r="AV517" s="183">
        <f t="shared" si="553"/>
        <v>11.14149525</v>
      </c>
      <c r="AW517" s="184">
        <f t="shared" si="554"/>
        <v>0</v>
      </c>
      <c r="AX517" s="184">
        <f t="shared" si="555"/>
        <v>0</v>
      </c>
      <c r="AY517" s="184">
        <f t="shared" si="556"/>
        <v>9.5259784387500006E-4</v>
      </c>
    </row>
    <row r="518" spans="1:51" s="179" customFormat="1" x14ac:dyDescent="0.3">
      <c r="A518" s="180"/>
      <c r="B518" s="180"/>
      <c r="D518" s="271"/>
      <c r="E518" s="272"/>
      <c r="F518" s="273"/>
      <c r="G518" s="180"/>
      <c r="H518" s="184"/>
      <c r="I518" s="183"/>
      <c r="J518" s="180"/>
      <c r="K518" s="180"/>
      <c r="L518" s="180"/>
      <c r="AQ518" s="182"/>
      <c r="AR518" s="182"/>
      <c r="AS518" s="183"/>
      <c r="AT518" s="183"/>
      <c r="AU518" s="182"/>
      <c r="AV518" s="183"/>
      <c r="AW518" s="184"/>
      <c r="AX518" s="184"/>
      <c r="AY518" s="184"/>
    </row>
    <row r="519" spans="1:51" s="179" customFormat="1" x14ac:dyDescent="0.3">
      <c r="A519" s="180"/>
      <c r="B519" s="180"/>
      <c r="D519" s="271"/>
      <c r="E519" s="272"/>
      <c r="F519" s="273"/>
      <c r="G519" s="180"/>
      <c r="H519" s="184"/>
      <c r="I519" s="183"/>
      <c r="J519" s="180"/>
      <c r="K519" s="180"/>
      <c r="L519" s="180"/>
      <c r="AQ519" s="182"/>
      <c r="AR519" s="182"/>
      <c r="AS519" s="183"/>
      <c r="AT519" s="183"/>
      <c r="AU519" s="182"/>
      <c r="AV519" s="183"/>
      <c r="AW519" s="184"/>
      <c r="AX519" s="184"/>
      <c r="AY519" s="184"/>
    </row>
    <row r="520" spans="1:51" s="179" customFormat="1" x14ac:dyDescent="0.3">
      <c r="A520" s="180"/>
      <c r="B520" s="180"/>
      <c r="D520" s="271"/>
      <c r="E520" s="272"/>
      <c r="F520" s="273"/>
      <c r="G520" s="180"/>
      <c r="H520" s="184"/>
      <c r="I520" s="183"/>
      <c r="J520" s="180"/>
      <c r="K520" s="180"/>
      <c r="L520" s="180"/>
      <c r="AQ520" s="182"/>
      <c r="AR520" s="182"/>
      <c r="AS520" s="183"/>
      <c r="AT520" s="183"/>
      <c r="AU520" s="182"/>
      <c r="AV520" s="183"/>
      <c r="AW520" s="184"/>
      <c r="AX520" s="184"/>
      <c r="AY520" s="184"/>
    </row>
    <row r="521" spans="1:51" ht="15" thickBot="1" x14ac:dyDescent="0.35"/>
    <row r="522" spans="1:51" ht="15" thickBot="1" x14ac:dyDescent="0.35">
      <c r="A522" s="48" t="s">
        <v>18</v>
      </c>
      <c r="B522" s="294" t="s">
        <v>642</v>
      </c>
      <c r="C522" s="166" t="s">
        <v>159</v>
      </c>
      <c r="D522" s="49" t="s">
        <v>59</v>
      </c>
      <c r="E522" s="153">
        <v>9.9999999999999995E-8</v>
      </c>
      <c r="F522" s="150">
        <v>10900</v>
      </c>
      <c r="G522" s="48">
        <v>0.2</v>
      </c>
      <c r="H522" s="50">
        <f t="shared" ref="H522:H527" si="557">E522*F522*G522</f>
        <v>2.1800000000000001E-4</v>
      </c>
      <c r="I522" s="151">
        <v>48.69</v>
      </c>
      <c r="J522" s="149">
        <f>I522</f>
        <v>48.69</v>
      </c>
      <c r="K522" s="159" t="s">
        <v>175</v>
      </c>
      <c r="L522" s="164">
        <f>J522*20</f>
        <v>973.8</v>
      </c>
      <c r="M522" s="92" t="str">
        <f t="shared" ref="M522:M527" si="558">A522</f>
        <v>С1</v>
      </c>
      <c r="N522" s="92" t="str">
        <f t="shared" ref="N522:N527" si="559">B522</f>
        <v>Трубопровод вакуумного газойля трубопровод рег. № 780</v>
      </c>
      <c r="O522" s="92" t="str">
        <f t="shared" ref="O522:O527" si="560">D522</f>
        <v>Полное-пожар</v>
      </c>
      <c r="P522" s="92">
        <v>17.100000000000001</v>
      </c>
      <c r="Q522" s="92">
        <v>23.5</v>
      </c>
      <c r="R522" s="92">
        <v>33.1</v>
      </c>
      <c r="S522" s="92">
        <v>61.2</v>
      </c>
      <c r="T522" s="92" t="s">
        <v>83</v>
      </c>
      <c r="U522" s="92" t="s">
        <v>83</v>
      </c>
      <c r="V522" s="92" t="s">
        <v>83</v>
      </c>
      <c r="W522" s="92" t="s">
        <v>83</v>
      </c>
      <c r="X522" s="92" t="s">
        <v>83</v>
      </c>
      <c r="Y522" s="92" t="s">
        <v>83</v>
      </c>
      <c r="Z522" s="92" t="s">
        <v>83</v>
      </c>
      <c r="AA522" s="92" t="s">
        <v>83</v>
      </c>
      <c r="AB522" s="92" t="s">
        <v>83</v>
      </c>
      <c r="AC522" s="92" t="s">
        <v>83</v>
      </c>
      <c r="AD522" s="92" t="s">
        <v>83</v>
      </c>
      <c r="AE522" s="92" t="s">
        <v>83</v>
      </c>
      <c r="AF522" s="92" t="s">
        <v>83</v>
      </c>
      <c r="AG522" s="92" t="s">
        <v>83</v>
      </c>
      <c r="AH522" s="92" t="s">
        <v>83</v>
      </c>
      <c r="AI522" s="92" t="s">
        <v>83</v>
      </c>
      <c r="AJ522" s="52">
        <v>1</v>
      </c>
      <c r="AK522" s="52">
        <v>2</v>
      </c>
      <c r="AL522" s="152">
        <v>0.75</v>
      </c>
      <c r="AM522" s="152">
        <v>2.7E-2</v>
      </c>
      <c r="AN522" s="152">
        <v>3</v>
      </c>
      <c r="AO522" s="92"/>
      <c r="AP522" s="92"/>
      <c r="AQ522" s="93">
        <f>AM522*I522+AL522</f>
        <v>2.0646300000000002</v>
      </c>
      <c r="AR522" s="93">
        <f t="shared" ref="AR522:AR527" si="561">0.1*AQ522</f>
        <v>0.20646300000000004</v>
      </c>
      <c r="AS522" s="94">
        <f t="shared" ref="AS522:AS527" si="562">AJ522*3+0.25*AK522</f>
        <v>3.5</v>
      </c>
      <c r="AT522" s="94">
        <f t="shared" ref="AT522:AT527" si="563">SUM(AQ522:AS522)/4</f>
        <v>1.4427732500000001</v>
      </c>
      <c r="AU522" s="93">
        <f>10068.2*J522*POWER(10,-6)</f>
        <v>0.49022065799999998</v>
      </c>
      <c r="AV522" s="94">
        <f t="shared" ref="AV522:AV527" si="564">AU522+AT522+AS522+AR522+AQ522</f>
        <v>7.7040869080000007</v>
      </c>
      <c r="AW522" s="95">
        <f t="shared" ref="AW522:AW527" si="565">AJ522*H522</f>
        <v>2.1800000000000001E-4</v>
      </c>
      <c r="AX522" s="95">
        <f t="shared" ref="AX522:AX527" si="566">H522*AK522</f>
        <v>4.3600000000000003E-4</v>
      </c>
      <c r="AY522" s="95">
        <f t="shared" ref="AY522:AY527" si="567">H522*AV522</f>
        <v>1.6794909459440003E-3</v>
      </c>
    </row>
    <row r="523" spans="1:51" ht="15" thickBot="1" x14ac:dyDescent="0.35">
      <c r="A523" s="48" t="s">
        <v>19</v>
      </c>
      <c r="B523" s="48" t="str">
        <f>B522</f>
        <v>Трубопровод вакуумного газойля трубопровод рег. № 780</v>
      </c>
      <c r="C523" s="166" t="s">
        <v>174</v>
      </c>
      <c r="D523" s="49" t="s">
        <v>59</v>
      </c>
      <c r="E523" s="154">
        <f>E522</f>
        <v>9.9999999999999995E-8</v>
      </c>
      <c r="F523" s="155">
        <f>F522</f>
        <v>10900</v>
      </c>
      <c r="G523" s="48">
        <v>0.04</v>
      </c>
      <c r="H523" s="50">
        <f t="shared" si="557"/>
        <v>4.3600000000000003E-5</v>
      </c>
      <c r="I523" s="149">
        <f>I522</f>
        <v>48.69</v>
      </c>
      <c r="J523" s="149">
        <f>I522</f>
        <v>48.69</v>
      </c>
      <c r="K523" s="159" t="s">
        <v>176</v>
      </c>
      <c r="L523" s="164">
        <v>0</v>
      </c>
      <c r="M523" s="92" t="str">
        <f t="shared" si="558"/>
        <v>С2</v>
      </c>
      <c r="N523" s="92" t="str">
        <f t="shared" si="559"/>
        <v>Трубопровод вакуумного газойля трубопровод рег. № 780</v>
      </c>
      <c r="O523" s="92" t="str">
        <f t="shared" si="560"/>
        <v>Полное-пожар</v>
      </c>
      <c r="P523" s="92">
        <v>17.100000000000001</v>
      </c>
      <c r="Q523" s="92">
        <v>23.5</v>
      </c>
      <c r="R523" s="92">
        <v>33.1</v>
      </c>
      <c r="S523" s="92">
        <v>61.2</v>
      </c>
      <c r="T523" s="92" t="s">
        <v>83</v>
      </c>
      <c r="U523" s="92" t="s">
        <v>83</v>
      </c>
      <c r="V523" s="92" t="s">
        <v>83</v>
      </c>
      <c r="W523" s="92" t="s">
        <v>83</v>
      </c>
      <c r="X523" s="92" t="s">
        <v>83</v>
      </c>
      <c r="Y523" s="92" t="s">
        <v>83</v>
      </c>
      <c r="Z523" s="92" t="s">
        <v>83</v>
      </c>
      <c r="AA523" s="92" t="s">
        <v>83</v>
      </c>
      <c r="AB523" s="92" t="s">
        <v>83</v>
      </c>
      <c r="AC523" s="92" t="s">
        <v>83</v>
      </c>
      <c r="AD523" s="92" t="s">
        <v>83</v>
      </c>
      <c r="AE523" s="92" t="s">
        <v>83</v>
      </c>
      <c r="AF523" s="92" t="s">
        <v>83</v>
      </c>
      <c r="AG523" s="92" t="s">
        <v>83</v>
      </c>
      <c r="AH523" s="92" t="s">
        <v>83</v>
      </c>
      <c r="AI523" s="92" t="s">
        <v>83</v>
      </c>
      <c r="AJ523" s="52">
        <v>2</v>
      </c>
      <c r="AK523" s="52">
        <v>2</v>
      </c>
      <c r="AL523" s="92">
        <f>AL522</f>
        <v>0.75</v>
      </c>
      <c r="AM523" s="92">
        <f>AM522</f>
        <v>2.7E-2</v>
      </c>
      <c r="AN523" s="92">
        <f>AN522</f>
        <v>3</v>
      </c>
      <c r="AO523" s="92"/>
      <c r="AP523" s="92"/>
      <c r="AQ523" s="93">
        <f>AM523*I523+AL523</f>
        <v>2.0646300000000002</v>
      </c>
      <c r="AR523" s="93">
        <f t="shared" si="561"/>
        <v>0.20646300000000004</v>
      </c>
      <c r="AS523" s="94">
        <f t="shared" si="562"/>
        <v>6.5</v>
      </c>
      <c r="AT523" s="94">
        <f t="shared" si="563"/>
        <v>2.1927732500000001</v>
      </c>
      <c r="AU523" s="93">
        <f>10068.2*J523*POWER(10,-6)*10</f>
        <v>4.9022065799999996</v>
      </c>
      <c r="AV523" s="94">
        <f t="shared" si="564"/>
        <v>15.86607283</v>
      </c>
      <c r="AW523" s="95">
        <f t="shared" si="565"/>
        <v>8.7200000000000005E-5</v>
      </c>
      <c r="AX523" s="95">
        <f t="shared" si="566"/>
        <v>8.7200000000000005E-5</v>
      </c>
      <c r="AY523" s="95">
        <f t="shared" si="567"/>
        <v>6.9176077538800004E-4</v>
      </c>
    </row>
    <row r="524" spans="1:51" x14ac:dyDescent="0.3">
      <c r="A524" s="48" t="s">
        <v>20</v>
      </c>
      <c r="B524" s="48" t="str">
        <f>B522</f>
        <v>Трубопровод вакуумного газойля трубопровод рег. № 780</v>
      </c>
      <c r="C524" s="166" t="s">
        <v>161</v>
      </c>
      <c r="D524" s="49" t="s">
        <v>60</v>
      </c>
      <c r="E524" s="154">
        <f>E522</f>
        <v>9.9999999999999995E-8</v>
      </c>
      <c r="F524" s="155">
        <f>F522</f>
        <v>10900</v>
      </c>
      <c r="G524" s="48">
        <v>0.76</v>
      </c>
      <c r="H524" s="50">
        <f t="shared" si="557"/>
        <v>8.2840000000000008E-4</v>
      </c>
      <c r="I524" s="149">
        <f>I522</f>
        <v>48.69</v>
      </c>
      <c r="J524" s="48">
        <v>0</v>
      </c>
      <c r="K524" s="159" t="s">
        <v>177</v>
      </c>
      <c r="L524" s="164">
        <v>0</v>
      </c>
      <c r="M524" s="92" t="str">
        <f t="shared" si="558"/>
        <v>С3</v>
      </c>
      <c r="N524" s="92" t="str">
        <f t="shared" si="559"/>
        <v>Трубопровод вакуумного газойля трубопровод рег. № 780</v>
      </c>
      <c r="O524" s="92" t="str">
        <f t="shared" si="560"/>
        <v>Полное-ликвидация</v>
      </c>
      <c r="P524" s="92" t="s">
        <v>83</v>
      </c>
      <c r="Q524" s="92" t="s">
        <v>83</v>
      </c>
      <c r="R524" s="92" t="s">
        <v>83</v>
      </c>
      <c r="S524" s="92" t="s">
        <v>83</v>
      </c>
      <c r="T524" s="92" t="s">
        <v>83</v>
      </c>
      <c r="U524" s="92" t="s">
        <v>83</v>
      </c>
      <c r="V524" s="92" t="s">
        <v>83</v>
      </c>
      <c r="W524" s="92" t="s">
        <v>83</v>
      </c>
      <c r="X524" s="92" t="s">
        <v>83</v>
      </c>
      <c r="Y524" s="92" t="s">
        <v>83</v>
      </c>
      <c r="Z524" s="92" t="s">
        <v>83</v>
      </c>
      <c r="AA524" s="92" t="s">
        <v>83</v>
      </c>
      <c r="AB524" s="92" t="s">
        <v>83</v>
      </c>
      <c r="AC524" s="92" t="s">
        <v>83</v>
      </c>
      <c r="AD524" s="92" t="s">
        <v>83</v>
      </c>
      <c r="AE524" s="92" t="s">
        <v>83</v>
      </c>
      <c r="AF524" s="92" t="s">
        <v>83</v>
      </c>
      <c r="AG524" s="92" t="s">
        <v>83</v>
      </c>
      <c r="AH524" s="92" t="s">
        <v>83</v>
      </c>
      <c r="AI524" s="92" t="s">
        <v>83</v>
      </c>
      <c r="AJ524" s="92">
        <v>0</v>
      </c>
      <c r="AK524" s="92">
        <v>0</v>
      </c>
      <c r="AL524" s="92">
        <f>AL522</f>
        <v>0.75</v>
      </c>
      <c r="AM524" s="92">
        <f>AM522</f>
        <v>2.7E-2</v>
      </c>
      <c r="AN524" s="92">
        <f>AN522</f>
        <v>3</v>
      </c>
      <c r="AO524" s="92"/>
      <c r="AP524" s="92"/>
      <c r="AQ524" s="93">
        <f>AM524*I524*0.1+AL524</f>
        <v>0.881463</v>
      </c>
      <c r="AR524" s="93">
        <f t="shared" si="561"/>
        <v>8.8146300000000011E-2</v>
      </c>
      <c r="AS524" s="94">
        <f t="shared" si="562"/>
        <v>0</v>
      </c>
      <c r="AT524" s="94">
        <f t="shared" si="563"/>
        <v>0.242402325</v>
      </c>
      <c r="AU524" s="93">
        <f>1333*J523*POWER(10,-6)</f>
        <v>6.490377E-2</v>
      </c>
      <c r="AV524" s="94">
        <f t="shared" si="564"/>
        <v>1.2769153950000001</v>
      </c>
      <c r="AW524" s="95">
        <f t="shared" si="565"/>
        <v>0</v>
      </c>
      <c r="AX524" s="95">
        <f t="shared" si="566"/>
        <v>0</v>
      </c>
      <c r="AY524" s="95">
        <f t="shared" si="567"/>
        <v>1.0577967132180002E-3</v>
      </c>
    </row>
    <row r="525" spans="1:51" x14ac:dyDescent="0.3">
      <c r="A525" s="48" t="s">
        <v>21</v>
      </c>
      <c r="B525" s="48" t="str">
        <f>B522</f>
        <v>Трубопровод вакуумного газойля трубопровод рег. № 780</v>
      </c>
      <c r="C525" s="166" t="s">
        <v>162</v>
      </c>
      <c r="D525" s="49" t="s">
        <v>84</v>
      </c>
      <c r="E525" s="153">
        <v>5.0000000000000004E-6</v>
      </c>
      <c r="F525" s="155">
        <f>F522</f>
        <v>10900</v>
      </c>
      <c r="G525" s="48">
        <v>0.2</v>
      </c>
      <c r="H525" s="50">
        <f t="shared" si="557"/>
        <v>1.0900000000000002E-2</v>
      </c>
      <c r="I525" s="149">
        <f>0.15*I522</f>
        <v>7.3034999999999997</v>
      </c>
      <c r="J525" s="149">
        <f>I525</f>
        <v>7.3034999999999997</v>
      </c>
      <c r="K525" s="161" t="s">
        <v>179</v>
      </c>
      <c r="L525" s="165">
        <v>45390</v>
      </c>
      <c r="M525" s="92" t="str">
        <f t="shared" si="558"/>
        <v>С4</v>
      </c>
      <c r="N525" s="92" t="str">
        <f t="shared" si="559"/>
        <v>Трубопровод вакуумного газойля трубопровод рег. № 780</v>
      </c>
      <c r="O525" s="92" t="str">
        <f t="shared" si="560"/>
        <v>Частичное-пожар</v>
      </c>
      <c r="P525" s="92">
        <v>12.8</v>
      </c>
      <c r="Q525" s="92">
        <v>16.399999999999999</v>
      </c>
      <c r="R525" s="92">
        <v>21.7</v>
      </c>
      <c r="S525" s="92">
        <v>37.299999999999997</v>
      </c>
      <c r="T525" s="92" t="s">
        <v>83</v>
      </c>
      <c r="U525" s="92" t="s">
        <v>83</v>
      </c>
      <c r="V525" s="92" t="s">
        <v>83</v>
      </c>
      <c r="W525" s="92" t="s">
        <v>83</v>
      </c>
      <c r="X525" s="92" t="s">
        <v>83</v>
      </c>
      <c r="Y525" s="92" t="s">
        <v>83</v>
      </c>
      <c r="Z525" s="92" t="s">
        <v>83</v>
      </c>
      <c r="AA525" s="92" t="s">
        <v>83</v>
      </c>
      <c r="AB525" s="92" t="s">
        <v>83</v>
      </c>
      <c r="AC525" s="92" t="s">
        <v>83</v>
      </c>
      <c r="AD525" s="92" t="s">
        <v>83</v>
      </c>
      <c r="AE525" s="92" t="s">
        <v>83</v>
      </c>
      <c r="AF525" s="92" t="s">
        <v>83</v>
      </c>
      <c r="AG525" s="92" t="s">
        <v>83</v>
      </c>
      <c r="AH525" s="92" t="s">
        <v>83</v>
      </c>
      <c r="AI525" s="92" t="s">
        <v>83</v>
      </c>
      <c r="AJ525" s="92">
        <v>0</v>
      </c>
      <c r="AK525" s="92">
        <v>2</v>
      </c>
      <c r="AL525" s="92">
        <f>0.1*$AL$2</f>
        <v>7.5000000000000002E-4</v>
      </c>
      <c r="AM525" s="92">
        <f>AM522</f>
        <v>2.7E-2</v>
      </c>
      <c r="AN525" s="92">
        <f>ROUNDUP(AN522/3,0)</f>
        <v>1</v>
      </c>
      <c r="AO525" s="92"/>
      <c r="AP525" s="92"/>
      <c r="AQ525" s="93">
        <f>AM525*I525+AL525</f>
        <v>0.1979445</v>
      </c>
      <c r="AR525" s="93">
        <f t="shared" si="561"/>
        <v>1.9794450000000002E-2</v>
      </c>
      <c r="AS525" s="94">
        <f t="shared" si="562"/>
        <v>0.5</v>
      </c>
      <c r="AT525" s="94">
        <f t="shared" si="563"/>
        <v>0.1794347375</v>
      </c>
      <c r="AU525" s="93">
        <f>10068.2*J525*POWER(10,-6)</f>
        <v>7.3533098699999994E-2</v>
      </c>
      <c r="AV525" s="94">
        <f t="shared" si="564"/>
        <v>0.97070678619999995</v>
      </c>
      <c r="AW525" s="95">
        <f t="shared" si="565"/>
        <v>0</v>
      </c>
      <c r="AX525" s="95">
        <f t="shared" si="566"/>
        <v>2.1800000000000003E-2</v>
      </c>
      <c r="AY525" s="95">
        <f t="shared" si="567"/>
        <v>1.0580703969580002E-2</v>
      </c>
    </row>
    <row r="526" spans="1:51" x14ac:dyDescent="0.3">
      <c r="A526" s="48" t="s">
        <v>22</v>
      </c>
      <c r="B526" s="48" t="str">
        <f>B522</f>
        <v>Трубопровод вакуумного газойля трубопровод рег. № 780</v>
      </c>
      <c r="C526" s="166" t="s">
        <v>190</v>
      </c>
      <c r="D526" s="49" t="s">
        <v>84</v>
      </c>
      <c r="E526" s="154">
        <f>E525</f>
        <v>5.0000000000000004E-6</v>
      </c>
      <c r="F526" s="155">
        <f>F522</f>
        <v>10900</v>
      </c>
      <c r="G526" s="48">
        <v>0.04</v>
      </c>
      <c r="H526" s="50">
        <f t="shared" si="557"/>
        <v>2.1800000000000005E-3</v>
      </c>
      <c r="I526" s="149">
        <f>0.15*I522</f>
        <v>7.3034999999999997</v>
      </c>
      <c r="J526" s="149">
        <f>I525</f>
        <v>7.3034999999999997</v>
      </c>
      <c r="K526" s="161" t="s">
        <v>180</v>
      </c>
      <c r="L526" s="165">
        <v>3</v>
      </c>
      <c r="M526" s="92" t="str">
        <f t="shared" si="558"/>
        <v>С5</v>
      </c>
      <c r="N526" s="92" t="str">
        <f t="shared" si="559"/>
        <v>Трубопровод вакуумного газойля трубопровод рег. № 780</v>
      </c>
      <c r="O526" s="92" t="str">
        <f t="shared" si="560"/>
        <v>Частичное-пожар</v>
      </c>
      <c r="P526" s="92">
        <v>12.8</v>
      </c>
      <c r="Q526" s="92">
        <v>16.399999999999999</v>
      </c>
      <c r="R526" s="92">
        <v>21.7</v>
      </c>
      <c r="S526" s="92">
        <v>37.299999999999997</v>
      </c>
      <c r="T526" s="92" t="s">
        <v>83</v>
      </c>
      <c r="U526" s="92" t="s">
        <v>83</v>
      </c>
      <c r="V526" s="92" t="s">
        <v>83</v>
      </c>
      <c r="W526" s="92" t="s">
        <v>83</v>
      </c>
      <c r="X526" s="92" t="s">
        <v>83</v>
      </c>
      <c r="Y526" s="92" t="s">
        <v>83</v>
      </c>
      <c r="Z526" s="92" t="s">
        <v>83</v>
      </c>
      <c r="AA526" s="92" t="s">
        <v>83</v>
      </c>
      <c r="AB526" s="92" t="s">
        <v>83</v>
      </c>
      <c r="AC526" s="92" t="s">
        <v>83</v>
      </c>
      <c r="AD526" s="92" t="s">
        <v>83</v>
      </c>
      <c r="AE526" s="92" t="s">
        <v>83</v>
      </c>
      <c r="AF526" s="92" t="s">
        <v>83</v>
      </c>
      <c r="AG526" s="92" t="s">
        <v>83</v>
      </c>
      <c r="AH526" s="92" t="s">
        <v>83</v>
      </c>
      <c r="AI526" s="92" t="s">
        <v>83</v>
      </c>
      <c r="AJ526" s="92">
        <v>0</v>
      </c>
      <c r="AK526" s="92">
        <v>1</v>
      </c>
      <c r="AL526" s="92">
        <f>0.1*$AL$2</f>
        <v>7.5000000000000002E-4</v>
      </c>
      <c r="AM526" s="92">
        <f>AM522</f>
        <v>2.7E-2</v>
      </c>
      <c r="AN526" s="92">
        <f>ROUNDUP(AN522/3,0)</f>
        <v>1</v>
      </c>
      <c r="AO526" s="92"/>
      <c r="AP526" s="92"/>
      <c r="AQ526" s="93">
        <f>AM526*I526+AL526</f>
        <v>0.1979445</v>
      </c>
      <c r="AR526" s="93">
        <f t="shared" si="561"/>
        <v>1.9794450000000002E-2</v>
      </c>
      <c r="AS526" s="94">
        <f t="shared" si="562"/>
        <v>0.25</v>
      </c>
      <c r="AT526" s="94">
        <f t="shared" si="563"/>
        <v>0.1169347375</v>
      </c>
      <c r="AU526" s="93">
        <f>10068.2*J526*POWER(10,-6)*10</f>
        <v>0.73533098699999999</v>
      </c>
      <c r="AV526" s="94">
        <f t="shared" si="564"/>
        <v>1.3200046745</v>
      </c>
      <c r="AW526" s="95">
        <f t="shared" si="565"/>
        <v>0</v>
      </c>
      <c r="AX526" s="95">
        <f t="shared" si="566"/>
        <v>2.1800000000000005E-3</v>
      </c>
      <c r="AY526" s="95">
        <f t="shared" si="567"/>
        <v>2.8776101904100008E-3</v>
      </c>
    </row>
    <row r="527" spans="1:51" ht="15" thickBot="1" x14ac:dyDescent="0.35">
      <c r="A527" s="48" t="s">
        <v>23</v>
      </c>
      <c r="B527" s="48" t="str">
        <f>B522</f>
        <v>Трубопровод вакуумного газойля трубопровод рег. № 780</v>
      </c>
      <c r="C527" s="166" t="s">
        <v>164</v>
      </c>
      <c r="D527" s="49" t="s">
        <v>61</v>
      </c>
      <c r="E527" s="154">
        <f>E525</f>
        <v>5.0000000000000004E-6</v>
      </c>
      <c r="F527" s="155">
        <f>F522</f>
        <v>10900</v>
      </c>
      <c r="G527" s="48">
        <v>0.76</v>
      </c>
      <c r="H527" s="50">
        <f t="shared" si="557"/>
        <v>4.1420000000000005E-2</v>
      </c>
      <c r="I527" s="149">
        <f>0.15*I522</f>
        <v>7.3034999999999997</v>
      </c>
      <c r="J527" s="48">
        <v>0</v>
      </c>
      <c r="K527" s="162" t="s">
        <v>191</v>
      </c>
      <c r="L527" s="168">
        <v>3</v>
      </c>
      <c r="M527" s="92" t="str">
        <f t="shared" si="558"/>
        <v>С6</v>
      </c>
      <c r="N527" s="92" t="str">
        <f t="shared" si="559"/>
        <v>Трубопровод вакуумного газойля трубопровод рег. № 780</v>
      </c>
      <c r="O527" s="92" t="str">
        <f t="shared" si="560"/>
        <v>Частичное-ликвидация</v>
      </c>
      <c r="P527" s="92" t="s">
        <v>83</v>
      </c>
      <c r="Q527" s="92" t="s">
        <v>83</v>
      </c>
      <c r="R527" s="92" t="s">
        <v>83</v>
      </c>
      <c r="S527" s="92" t="s">
        <v>83</v>
      </c>
      <c r="T527" s="92" t="s">
        <v>83</v>
      </c>
      <c r="U527" s="92" t="s">
        <v>83</v>
      </c>
      <c r="V527" s="92" t="s">
        <v>83</v>
      </c>
      <c r="W527" s="92" t="s">
        <v>83</v>
      </c>
      <c r="X527" s="92" t="s">
        <v>83</v>
      </c>
      <c r="Y527" s="92" t="s">
        <v>83</v>
      </c>
      <c r="Z527" s="92" t="s">
        <v>83</v>
      </c>
      <c r="AA527" s="92" t="s">
        <v>83</v>
      </c>
      <c r="AB527" s="92" t="s">
        <v>83</v>
      </c>
      <c r="AC527" s="92" t="s">
        <v>83</v>
      </c>
      <c r="AD527" s="92" t="s">
        <v>83</v>
      </c>
      <c r="AE527" s="92" t="s">
        <v>83</v>
      </c>
      <c r="AF527" s="92" t="s">
        <v>83</v>
      </c>
      <c r="AG527" s="92" t="s">
        <v>83</v>
      </c>
      <c r="AH527" s="92" t="s">
        <v>83</v>
      </c>
      <c r="AI527" s="92" t="s">
        <v>83</v>
      </c>
      <c r="AJ527" s="92">
        <v>0</v>
      </c>
      <c r="AK527" s="92">
        <v>0</v>
      </c>
      <c r="AL527" s="92">
        <f>0.1*$AL$2</f>
        <v>7.5000000000000002E-4</v>
      </c>
      <c r="AM527" s="92">
        <f>AM522</f>
        <v>2.7E-2</v>
      </c>
      <c r="AN527" s="92">
        <f>ROUNDUP(AN522/3,0)</f>
        <v>1</v>
      </c>
      <c r="AO527" s="92"/>
      <c r="AP527" s="92"/>
      <c r="AQ527" s="93">
        <f>AM527*I527*0.1+AL527</f>
        <v>2.046945E-2</v>
      </c>
      <c r="AR527" s="93">
        <f t="shared" si="561"/>
        <v>2.0469450000000001E-3</v>
      </c>
      <c r="AS527" s="94">
        <f t="shared" si="562"/>
        <v>0</v>
      </c>
      <c r="AT527" s="94">
        <f t="shared" si="563"/>
        <v>5.6290987500000004E-3</v>
      </c>
      <c r="AU527" s="93">
        <f>1333*J526*POWER(10,-6)</f>
        <v>9.7355654999999978E-3</v>
      </c>
      <c r="AV527" s="94">
        <f t="shared" si="564"/>
        <v>3.7881059250000002E-2</v>
      </c>
      <c r="AW527" s="95">
        <f t="shared" si="565"/>
        <v>0</v>
      </c>
      <c r="AX527" s="95">
        <f t="shared" si="566"/>
        <v>0</v>
      </c>
      <c r="AY527" s="95">
        <f t="shared" si="567"/>
        <v>1.5690334741350002E-3</v>
      </c>
    </row>
    <row r="528" spans="1:51" x14ac:dyDescent="0.3">
      <c r="A528" s="48"/>
      <c r="B528" s="48"/>
      <c r="C528" s="166"/>
      <c r="D528" s="49"/>
      <c r="E528" s="154"/>
      <c r="F528" s="155"/>
      <c r="G528" s="48"/>
      <c r="H528" s="50"/>
      <c r="I528" s="149"/>
      <c r="J528" s="48"/>
      <c r="K528" s="278"/>
      <c r="L528" s="279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2"/>
      <c r="AO528" s="92"/>
      <c r="AP528" s="92"/>
      <c r="AQ528" s="93"/>
      <c r="AR528" s="93"/>
      <c r="AS528" s="94"/>
      <c r="AT528" s="94"/>
      <c r="AU528" s="93"/>
      <c r="AV528" s="94"/>
      <c r="AW528" s="95"/>
      <c r="AX528" s="95"/>
      <c r="AY528" s="95"/>
    </row>
    <row r="529" spans="1:51" s="267" customFormat="1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</row>
    <row r="530" spans="1:51" s="267" customFormat="1" x14ac:dyDescent="0.3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</row>
    <row r="531" spans="1:51" ht="15" thickBot="1" x14ac:dyDescent="0.35"/>
    <row r="532" spans="1:51" ht="15" thickBot="1" x14ac:dyDescent="0.35">
      <c r="A532" s="48" t="s">
        <v>18</v>
      </c>
      <c r="B532" s="294" t="s">
        <v>643</v>
      </c>
      <c r="C532" s="166" t="s">
        <v>159</v>
      </c>
      <c r="D532" s="49" t="s">
        <v>59</v>
      </c>
      <c r="E532" s="153">
        <v>9.9999999999999995E-8</v>
      </c>
      <c r="F532" s="150">
        <v>292</v>
      </c>
      <c r="G532" s="48">
        <v>0.2</v>
      </c>
      <c r="H532" s="50">
        <f t="shared" ref="H532:H537" si="568">E532*F532*G532</f>
        <v>5.84E-6</v>
      </c>
      <c r="I532" s="151">
        <v>15.36</v>
      </c>
      <c r="J532" s="149">
        <f>I532</f>
        <v>15.36</v>
      </c>
      <c r="K532" s="159" t="s">
        <v>175</v>
      </c>
      <c r="L532" s="164">
        <f>J532*20</f>
        <v>307.2</v>
      </c>
      <c r="M532" s="92" t="str">
        <f t="shared" ref="M532:M537" si="569">A532</f>
        <v>С1</v>
      </c>
      <c r="N532" s="92" t="str">
        <f t="shared" ref="N532:N537" si="570">B532</f>
        <v>Трубопровод Мазут на УЗК рег.№1110</v>
      </c>
      <c r="O532" s="92" t="str">
        <f t="shared" ref="O532:O537" si="571">D532</f>
        <v>Полное-пожар</v>
      </c>
      <c r="P532" s="92">
        <v>17.100000000000001</v>
      </c>
      <c r="Q532" s="92">
        <v>23.5</v>
      </c>
      <c r="R532" s="92">
        <v>33.1</v>
      </c>
      <c r="S532" s="92">
        <v>61.2</v>
      </c>
      <c r="T532" s="92" t="s">
        <v>83</v>
      </c>
      <c r="U532" s="92" t="s">
        <v>83</v>
      </c>
      <c r="V532" s="92" t="s">
        <v>83</v>
      </c>
      <c r="W532" s="92" t="s">
        <v>83</v>
      </c>
      <c r="X532" s="92" t="s">
        <v>83</v>
      </c>
      <c r="Y532" s="92" t="s">
        <v>83</v>
      </c>
      <c r="Z532" s="92" t="s">
        <v>83</v>
      </c>
      <c r="AA532" s="92" t="s">
        <v>83</v>
      </c>
      <c r="AB532" s="92" t="s">
        <v>83</v>
      </c>
      <c r="AC532" s="92" t="s">
        <v>83</v>
      </c>
      <c r="AD532" s="92" t="s">
        <v>83</v>
      </c>
      <c r="AE532" s="92" t="s">
        <v>83</v>
      </c>
      <c r="AF532" s="92" t="s">
        <v>83</v>
      </c>
      <c r="AG532" s="92" t="s">
        <v>83</v>
      </c>
      <c r="AH532" s="92" t="s">
        <v>83</v>
      </c>
      <c r="AI532" s="92" t="s">
        <v>83</v>
      </c>
      <c r="AJ532" s="52">
        <v>1</v>
      </c>
      <c r="AK532" s="52">
        <v>2</v>
      </c>
      <c r="AL532" s="152">
        <v>0.75</v>
      </c>
      <c r="AM532" s="152">
        <v>2.7E-2</v>
      </c>
      <c r="AN532" s="152">
        <v>3</v>
      </c>
      <c r="AO532" s="92"/>
      <c r="AP532" s="92"/>
      <c r="AQ532" s="93">
        <f>AM532*I532+AL532</f>
        <v>1.16472</v>
      </c>
      <c r="AR532" s="93">
        <f t="shared" ref="AR532:AR537" si="572">0.1*AQ532</f>
        <v>0.11647200000000001</v>
      </c>
      <c r="AS532" s="94">
        <f t="shared" ref="AS532:AS537" si="573">AJ532*3+0.25*AK532</f>
        <v>3.5</v>
      </c>
      <c r="AT532" s="94">
        <f t="shared" ref="AT532:AT537" si="574">SUM(AQ532:AS532)/4</f>
        <v>1.195298</v>
      </c>
      <c r="AU532" s="93">
        <f>10068.2*J532*POWER(10,-6)</f>
        <v>0.15464755199999999</v>
      </c>
      <c r="AV532" s="94">
        <f t="shared" ref="AV532:AV537" si="575">AU532+AT532+AS532+AR532+AQ532</f>
        <v>6.1311375519999993</v>
      </c>
      <c r="AW532" s="95">
        <f t="shared" ref="AW532:AW537" si="576">AJ532*H532</f>
        <v>5.84E-6</v>
      </c>
      <c r="AX532" s="95">
        <f t="shared" ref="AX532:AX537" si="577">H532*AK532</f>
        <v>1.168E-5</v>
      </c>
      <c r="AY532" s="95">
        <f t="shared" ref="AY532:AY537" si="578">H532*AV532</f>
        <v>3.5805843303679993E-5</v>
      </c>
    </row>
    <row r="533" spans="1:51" ht="15" thickBot="1" x14ac:dyDescent="0.35">
      <c r="A533" s="48" t="s">
        <v>19</v>
      </c>
      <c r="B533" s="48" t="str">
        <f>B532</f>
        <v>Трубопровод Мазут на УЗК рег.№1110</v>
      </c>
      <c r="C533" s="166" t="s">
        <v>174</v>
      </c>
      <c r="D533" s="49" t="s">
        <v>59</v>
      </c>
      <c r="E533" s="154">
        <f>E532</f>
        <v>9.9999999999999995E-8</v>
      </c>
      <c r="F533" s="155">
        <f>F532</f>
        <v>292</v>
      </c>
      <c r="G533" s="48">
        <v>0.04</v>
      </c>
      <c r="H533" s="50">
        <f t="shared" si="568"/>
        <v>1.1679999999999999E-6</v>
      </c>
      <c r="I533" s="149">
        <f>I532</f>
        <v>15.36</v>
      </c>
      <c r="J533" s="149">
        <f>I532</f>
        <v>15.36</v>
      </c>
      <c r="K533" s="159" t="s">
        <v>176</v>
      </c>
      <c r="L533" s="164">
        <v>0</v>
      </c>
      <c r="M533" s="92" t="str">
        <f t="shared" si="569"/>
        <v>С2</v>
      </c>
      <c r="N533" s="92" t="str">
        <f t="shared" si="570"/>
        <v>Трубопровод Мазут на УЗК рег.№1110</v>
      </c>
      <c r="O533" s="92" t="str">
        <f t="shared" si="571"/>
        <v>Полное-пожар</v>
      </c>
      <c r="P533" s="92">
        <v>17.100000000000001</v>
      </c>
      <c r="Q533" s="92">
        <v>23.5</v>
      </c>
      <c r="R533" s="92">
        <v>33.1</v>
      </c>
      <c r="S533" s="92">
        <v>61.2</v>
      </c>
      <c r="T533" s="92" t="s">
        <v>83</v>
      </c>
      <c r="U533" s="92" t="s">
        <v>83</v>
      </c>
      <c r="V533" s="92" t="s">
        <v>83</v>
      </c>
      <c r="W533" s="92" t="s">
        <v>83</v>
      </c>
      <c r="X533" s="92" t="s">
        <v>83</v>
      </c>
      <c r="Y533" s="92" t="s">
        <v>83</v>
      </c>
      <c r="Z533" s="92" t="s">
        <v>83</v>
      </c>
      <c r="AA533" s="92" t="s">
        <v>83</v>
      </c>
      <c r="AB533" s="92" t="s">
        <v>83</v>
      </c>
      <c r="AC533" s="92" t="s">
        <v>83</v>
      </c>
      <c r="AD533" s="92" t="s">
        <v>83</v>
      </c>
      <c r="AE533" s="92" t="s">
        <v>83</v>
      </c>
      <c r="AF533" s="92" t="s">
        <v>83</v>
      </c>
      <c r="AG533" s="92" t="s">
        <v>83</v>
      </c>
      <c r="AH533" s="92" t="s">
        <v>83</v>
      </c>
      <c r="AI533" s="92" t="s">
        <v>83</v>
      </c>
      <c r="AJ533" s="52">
        <v>2</v>
      </c>
      <c r="AK533" s="52">
        <v>2</v>
      </c>
      <c r="AL533" s="92">
        <f>AL532</f>
        <v>0.75</v>
      </c>
      <c r="AM533" s="92">
        <f>AM532</f>
        <v>2.7E-2</v>
      </c>
      <c r="AN533" s="92">
        <f>AN532</f>
        <v>3</v>
      </c>
      <c r="AO533" s="92"/>
      <c r="AP533" s="92"/>
      <c r="AQ533" s="93">
        <f>AM533*I533+AL533</f>
        <v>1.16472</v>
      </c>
      <c r="AR533" s="93">
        <f t="shared" si="572"/>
        <v>0.11647200000000001</v>
      </c>
      <c r="AS533" s="94">
        <f t="shared" si="573"/>
        <v>6.5</v>
      </c>
      <c r="AT533" s="94">
        <f t="shared" si="574"/>
        <v>1.945298</v>
      </c>
      <c r="AU533" s="93">
        <f>10068.2*J533*POWER(10,-6)*10</f>
        <v>1.54647552</v>
      </c>
      <c r="AV533" s="94">
        <f t="shared" si="575"/>
        <v>11.27296552</v>
      </c>
      <c r="AW533" s="95">
        <f t="shared" si="576"/>
        <v>2.3359999999999997E-6</v>
      </c>
      <c r="AX533" s="95">
        <f t="shared" si="577"/>
        <v>2.3359999999999997E-6</v>
      </c>
      <c r="AY533" s="95">
        <f t="shared" si="578"/>
        <v>1.3166823727359998E-5</v>
      </c>
    </row>
    <row r="534" spans="1:51" x14ac:dyDescent="0.3">
      <c r="A534" s="48" t="s">
        <v>20</v>
      </c>
      <c r="B534" s="48" t="str">
        <f>B532</f>
        <v>Трубопровод Мазут на УЗК рег.№1110</v>
      </c>
      <c r="C534" s="166" t="s">
        <v>161</v>
      </c>
      <c r="D534" s="49" t="s">
        <v>60</v>
      </c>
      <c r="E534" s="154">
        <f>E532</f>
        <v>9.9999999999999995E-8</v>
      </c>
      <c r="F534" s="155">
        <f>F532</f>
        <v>292</v>
      </c>
      <c r="G534" s="48">
        <v>0.76</v>
      </c>
      <c r="H534" s="50">
        <f t="shared" si="568"/>
        <v>2.2192E-5</v>
      </c>
      <c r="I534" s="149">
        <f>I532</f>
        <v>15.36</v>
      </c>
      <c r="J534" s="48">
        <v>0</v>
      </c>
      <c r="K534" s="159" t="s">
        <v>177</v>
      </c>
      <c r="L534" s="164">
        <v>0</v>
      </c>
      <c r="M534" s="92" t="str">
        <f t="shared" si="569"/>
        <v>С3</v>
      </c>
      <c r="N534" s="92" t="str">
        <f t="shared" si="570"/>
        <v>Трубопровод Мазут на УЗК рег.№1110</v>
      </c>
      <c r="O534" s="92" t="str">
        <f t="shared" si="571"/>
        <v>Полное-ликвидация</v>
      </c>
      <c r="P534" s="92" t="s">
        <v>83</v>
      </c>
      <c r="Q534" s="92" t="s">
        <v>83</v>
      </c>
      <c r="R534" s="92" t="s">
        <v>83</v>
      </c>
      <c r="S534" s="92" t="s">
        <v>83</v>
      </c>
      <c r="T534" s="92" t="s">
        <v>83</v>
      </c>
      <c r="U534" s="92" t="s">
        <v>83</v>
      </c>
      <c r="V534" s="92" t="s">
        <v>83</v>
      </c>
      <c r="W534" s="92" t="s">
        <v>83</v>
      </c>
      <c r="X534" s="92" t="s">
        <v>83</v>
      </c>
      <c r="Y534" s="92" t="s">
        <v>83</v>
      </c>
      <c r="Z534" s="92" t="s">
        <v>83</v>
      </c>
      <c r="AA534" s="92" t="s">
        <v>83</v>
      </c>
      <c r="AB534" s="92" t="s">
        <v>83</v>
      </c>
      <c r="AC534" s="92" t="s">
        <v>83</v>
      </c>
      <c r="AD534" s="92" t="s">
        <v>83</v>
      </c>
      <c r="AE534" s="92" t="s">
        <v>83</v>
      </c>
      <c r="AF534" s="92" t="s">
        <v>83</v>
      </c>
      <c r="AG534" s="92" t="s">
        <v>83</v>
      </c>
      <c r="AH534" s="92" t="s">
        <v>83</v>
      </c>
      <c r="AI534" s="92" t="s">
        <v>83</v>
      </c>
      <c r="AJ534" s="92">
        <v>0</v>
      </c>
      <c r="AK534" s="92">
        <v>0</v>
      </c>
      <c r="AL534" s="92">
        <f>AL532</f>
        <v>0.75</v>
      </c>
      <c r="AM534" s="92">
        <f>AM532</f>
        <v>2.7E-2</v>
      </c>
      <c r="AN534" s="92">
        <f>AN532</f>
        <v>3</v>
      </c>
      <c r="AO534" s="92"/>
      <c r="AP534" s="92"/>
      <c r="AQ534" s="93">
        <f>AM534*I534*0.1+AL534</f>
        <v>0.79147199999999995</v>
      </c>
      <c r="AR534" s="93">
        <f t="shared" si="572"/>
        <v>7.9147200000000001E-2</v>
      </c>
      <c r="AS534" s="94">
        <f t="shared" si="573"/>
        <v>0</v>
      </c>
      <c r="AT534" s="94">
        <f t="shared" si="574"/>
        <v>0.21765479999999998</v>
      </c>
      <c r="AU534" s="93">
        <f>1333*J533*POWER(10,-6)</f>
        <v>2.0474880000000001E-2</v>
      </c>
      <c r="AV534" s="94">
        <f t="shared" si="575"/>
        <v>1.1087488799999998</v>
      </c>
      <c r="AW534" s="95">
        <f t="shared" si="576"/>
        <v>0</v>
      </c>
      <c r="AX534" s="95">
        <f t="shared" si="577"/>
        <v>0</v>
      </c>
      <c r="AY534" s="95">
        <f t="shared" si="578"/>
        <v>2.4605355144959996E-5</v>
      </c>
    </row>
    <row r="535" spans="1:51" x14ac:dyDescent="0.3">
      <c r="A535" s="48" t="s">
        <v>21</v>
      </c>
      <c r="B535" s="48" t="str">
        <f>B532</f>
        <v>Трубопровод Мазут на УЗК рег.№1110</v>
      </c>
      <c r="C535" s="166" t="s">
        <v>162</v>
      </c>
      <c r="D535" s="49" t="s">
        <v>84</v>
      </c>
      <c r="E535" s="153">
        <v>5.0000000000000004E-6</v>
      </c>
      <c r="F535" s="155">
        <f>F532</f>
        <v>292</v>
      </c>
      <c r="G535" s="48">
        <v>0.2</v>
      </c>
      <c r="H535" s="50">
        <f t="shared" si="568"/>
        <v>2.9200000000000005E-4</v>
      </c>
      <c r="I535" s="149">
        <f>0.15*I532</f>
        <v>2.3039999999999998</v>
      </c>
      <c r="J535" s="149">
        <f>I535</f>
        <v>2.3039999999999998</v>
      </c>
      <c r="K535" s="161" t="s">
        <v>179</v>
      </c>
      <c r="L535" s="165">
        <v>45390</v>
      </c>
      <c r="M535" s="92" t="str">
        <f t="shared" si="569"/>
        <v>С4</v>
      </c>
      <c r="N535" s="92" t="str">
        <f t="shared" si="570"/>
        <v>Трубопровод Мазут на УЗК рег.№1110</v>
      </c>
      <c r="O535" s="92" t="str">
        <f t="shared" si="571"/>
        <v>Частичное-пожар</v>
      </c>
      <c r="P535" s="92">
        <v>12.8</v>
      </c>
      <c r="Q535" s="92">
        <v>16.399999999999999</v>
      </c>
      <c r="R535" s="92">
        <v>21.7</v>
      </c>
      <c r="S535" s="92">
        <v>37.299999999999997</v>
      </c>
      <c r="T535" s="92" t="s">
        <v>83</v>
      </c>
      <c r="U535" s="92" t="s">
        <v>83</v>
      </c>
      <c r="V535" s="92" t="s">
        <v>83</v>
      </c>
      <c r="W535" s="92" t="s">
        <v>83</v>
      </c>
      <c r="X535" s="92" t="s">
        <v>83</v>
      </c>
      <c r="Y535" s="92" t="s">
        <v>83</v>
      </c>
      <c r="Z535" s="92" t="s">
        <v>83</v>
      </c>
      <c r="AA535" s="92" t="s">
        <v>83</v>
      </c>
      <c r="AB535" s="92" t="s">
        <v>83</v>
      </c>
      <c r="AC535" s="92" t="s">
        <v>83</v>
      </c>
      <c r="AD535" s="92" t="s">
        <v>83</v>
      </c>
      <c r="AE535" s="92" t="s">
        <v>83</v>
      </c>
      <c r="AF535" s="92" t="s">
        <v>83</v>
      </c>
      <c r="AG535" s="92" t="s">
        <v>83</v>
      </c>
      <c r="AH535" s="92" t="s">
        <v>83</v>
      </c>
      <c r="AI535" s="92" t="s">
        <v>83</v>
      </c>
      <c r="AJ535" s="92">
        <v>0</v>
      </c>
      <c r="AK535" s="92">
        <v>2</v>
      </c>
      <c r="AL535" s="92">
        <f>0.1*$AL$2</f>
        <v>7.5000000000000002E-4</v>
      </c>
      <c r="AM535" s="92">
        <f>AM532</f>
        <v>2.7E-2</v>
      </c>
      <c r="AN535" s="92">
        <f>ROUNDUP(AN532/3,0)</f>
        <v>1</v>
      </c>
      <c r="AO535" s="92"/>
      <c r="AP535" s="92"/>
      <c r="AQ535" s="93">
        <f>AM535*I535+AL535</f>
        <v>6.2957999999999986E-2</v>
      </c>
      <c r="AR535" s="93">
        <f t="shared" si="572"/>
        <v>6.295799999999999E-3</v>
      </c>
      <c r="AS535" s="94">
        <f t="shared" si="573"/>
        <v>0.5</v>
      </c>
      <c r="AT535" s="94">
        <f t="shared" si="574"/>
        <v>0.14231345000000001</v>
      </c>
      <c r="AU535" s="93">
        <f>10068.2*J535*POWER(10,-6)</f>
        <v>2.3197132799999999E-2</v>
      </c>
      <c r="AV535" s="94">
        <f t="shared" si="575"/>
        <v>0.73476438279999989</v>
      </c>
      <c r="AW535" s="95">
        <f t="shared" si="576"/>
        <v>0</v>
      </c>
      <c r="AX535" s="95">
        <f t="shared" si="577"/>
        <v>5.840000000000001E-4</v>
      </c>
      <c r="AY535" s="95">
        <f t="shared" si="578"/>
        <v>2.1455119977760001E-4</v>
      </c>
    </row>
    <row r="536" spans="1:51" x14ac:dyDescent="0.3">
      <c r="A536" s="48" t="s">
        <v>22</v>
      </c>
      <c r="B536" s="48" t="str">
        <f>B532</f>
        <v>Трубопровод Мазут на УЗК рег.№1110</v>
      </c>
      <c r="C536" s="166" t="s">
        <v>190</v>
      </c>
      <c r="D536" s="49" t="s">
        <v>84</v>
      </c>
      <c r="E536" s="154">
        <f>E535</f>
        <v>5.0000000000000004E-6</v>
      </c>
      <c r="F536" s="155">
        <f>F532</f>
        <v>292</v>
      </c>
      <c r="G536" s="48">
        <v>0.04</v>
      </c>
      <c r="H536" s="50">
        <f t="shared" si="568"/>
        <v>5.840000000000001E-5</v>
      </c>
      <c r="I536" s="149">
        <f>0.15*I532</f>
        <v>2.3039999999999998</v>
      </c>
      <c r="J536" s="149">
        <f>I535</f>
        <v>2.3039999999999998</v>
      </c>
      <c r="K536" s="161" t="s">
        <v>180</v>
      </c>
      <c r="L536" s="165">
        <v>3</v>
      </c>
      <c r="M536" s="92" t="str">
        <f t="shared" si="569"/>
        <v>С5</v>
      </c>
      <c r="N536" s="92" t="str">
        <f t="shared" si="570"/>
        <v>Трубопровод Мазут на УЗК рег.№1110</v>
      </c>
      <c r="O536" s="92" t="str">
        <f t="shared" si="571"/>
        <v>Частичное-пожар</v>
      </c>
      <c r="P536" s="92">
        <v>12.8</v>
      </c>
      <c r="Q536" s="92">
        <v>16.399999999999999</v>
      </c>
      <c r="R536" s="92">
        <v>21.7</v>
      </c>
      <c r="S536" s="92">
        <v>37.299999999999997</v>
      </c>
      <c r="T536" s="92" t="s">
        <v>83</v>
      </c>
      <c r="U536" s="92" t="s">
        <v>83</v>
      </c>
      <c r="V536" s="92" t="s">
        <v>83</v>
      </c>
      <c r="W536" s="92" t="s">
        <v>83</v>
      </c>
      <c r="X536" s="92" t="s">
        <v>83</v>
      </c>
      <c r="Y536" s="92" t="s">
        <v>83</v>
      </c>
      <c r="Z536" s="92" t="s">
        <v>83</v>
      </c>
      <c r="AA536" s="92" t="s">
        <v>83</v>
      </c>
      <c r="AB536" s="92" t="s">
        <v>83</v>
      </c>
      <c r="AC536" s="92" t="s">
        <v>83</v>
      </c>
      <c r="AD536" s="92" t="s">
        <v>83</v>
      </c>
      <c r="AE536" s="92" t="s">
        <v>83</v>
      </c>
      <c r="AF536" s="92" t="s">
        <v>83</v>
      </c>
      <c r="AG536" s="92" t="s">
        <v>83</v>
      </c>
      <c r="AH536" s="92" t="s">
        <v>83</v>
      </c>
      <c r="AI536" s="92" t="s">
        <v>83</v>
      </c>
      <c r="AJ536" s="92">
        <v>0</v>
      </c>
      <c r="AK536" s="92">
        <v>1</v>
      </c>
      <c r="AL536" s="92">
        <f>0.1*$AL$2</f>
        <v>7.5000000000000002E-4</v>
      </c>
      <c r="AM536" s="92">
        <f>AM532</f>
        <v>2.7E-2</v>
      </c>
      <c r="AN536" s="92">
        <f>ROUNDUP(AN532/3,0)</f>
        <v>1</v>
      </c>
      <c r="AO536" s="92"/>
      <c r="AP536" s="92"/>
      <c r="AQ536" s="93">
        <f>AM536*I536+AL536</f>
        <v>6.2957999999999986E-2</v>
      </c>
      <c r="AR536" s="93">
        <f t="shared" si="572"/>
        <v>6.295799999999999E-3</v>
      </c>
      <c r="AS536" s="94">
        <f t="shared" si="573"/>
        <v>0.25</v>
      </c>
      <c r="AT536" s="94">
        <f t="shared" si="574"/>
        <v>7.9813449999999994E-2</v>
      </c>
      <c r="AU536" s="93">
        <f>10068.2*J536*POWER(10,-6)*10</f>
        <v>0.23197132799999998</v>
      </c>
      <c r="AV536" s="94">
        <f t="shared" si="575"/>
        <v>0.63103857799999996</v>
      </c>
      <c r="AW536" s="95">
        <f t="shared" si="576"/>
        <v>0</v>
      </c>
      <c r="AX536" s="95">
        <f t="shared" si="577"/>
        <v>5.840000000000001E-5</v>
      </c>
      <c r="AY536" s="95">
        <f t="shared" si="578"/>
        <v>3.6852652955200006E-5</v>
      </c>
    </row>
    <row r="537" spans="1:51" ht="15" thickBot="1" x14ac:dyDescent="0.35">
      <c r="A537" s="48" t="s">
        <v>23</v>
      </c>
      <c r="B537" s="48" t="str">
        <f>B532</f>
        <v>Трубопровод Мазут на УЗК рег.№1110</v>
      </c>
      <c r="C537" s="166" t="s">
        <v>164</v>
      </c>
      <c r="D537" s="49" t="s">
        <v>61</v>
      </c>
      <c r="E537" s="154">
        <f>E535</f>
        <v>5.0000000000000004E-6</v>
      </c>
      <c r="F537" s="155">
        <f>F532</f>
        <v>292</v>
      </c>
      <c r="G537" s="48">
        <v>0.76</v>
      </c>
      <c r="H537" s="50">
        <f t="shared" si="568"/>
        <v>1.1096000000000001E-3</v>
      </c>
      <c r="I537" s="149">
        <f>0.15*I532</f>
        <v>2.3039999999999998</v>
      </c>
      <c r="J537" s="48">
        <v>0</v>
      </c>
      <c r="K537" s="162" t="s">
        <v>191</v>
      </c>
      <c r="L537" s="168">
        <v>3</v>
      </c>
      <c r="M537" s="92" t="str">
        <f t="shared" si="569"/>
        <v>С6</v>
      </c>
      <c r="N537" s="92" t="str">
        <f t="shared" si="570"/>
        <v>Трубопровод Мазут на УЗК рег.№1110</v>
      </c>
      <c r="O537" s="92" t="str">
        <f t="shared" si="571"/>
        <v>Частичное-ликвидация</v>
      </c>
      <c r="P537" s="92" t="s">
        <v>83</v>
      </c>
      <c r="Q537" s="92" t="s">
        <v>83</v>
      </c>
      <c r="R537" s="92" t="s">
        <v>83</v>
      </c>
      <c r="S537" s="92" t="s">
        <v>83</v>
      </c>
      <c r="T537" s="92" t="s">
        <v>83</v>
      </c>
      <c r="U537" s="92" t="s">
        <v>83</v>
      </c>
      <c r="V537" s="92" t="s">
        <v>83</v>
      </c>
      <c r="W537" s="92" t="s">
        <v>83</v>
      </c>
      <c r="X537" s="92" t="s">
        <v>83</v>
      </c>
      <c r="Y537" s="92" t="s">
        <v>83</v>
      </c>
      <c r="Z537" s="92" t="s">
        <v>83</v>
      </c>
      <c r="AA537" s="92" t="s">
        <v>83</v>
      </c>
      <c r="AB537" s="92" t="s">
        <v>83</v>
      </c>
      <c r="AC537" s="92" t="s">
        <v>83</v>
      </c>
      <c r="AD537" s="92" t="s">
        <v>83</v>
      </c>
      <c r="AE537" s="92" t="s">
        <v>83</v>
      </c>
      <c r="AF537" s="92" t="s">
        <v>83</v>
      </c>
      <c r="AG537" s="92" t="s">
        <v>83</v>
      </c>
      <c r="AH537" s="92" t="s">
        <v>83</v>
      </c>
      <c r="AI537" s="92" t="s">
        <v>83</v>
      </c>
      <c r="AJ537" s="92">
        <v>0</v>
      </c>
      <c r="AK537" s="92">
        <v>0</v>
      </c>
      <c r="AL537" s="92">
        <f>0.1*$AL$2</f>
        <v>7.5000000000000002E-4</v>
      </c>
      <c r="AM537" s="92">
        <f>AM532</f>
        <v>2.7E-2</v>
      </c>
      <c r="AN537" s="92">
        <f>ROUNDUP(AN532/3,0)</f>
        <v>1</v>
      </c>
      <c r="AO537" s="92"/>
      <c r="AP537" s="92"/>
      <c r="AQ537" s="93">
        <f>AM537*I537*0.1+AL537</f>
        <v>6.9707999999999992E-3</v>
      </c>
      <c r="AR537" s="93">
        <f t="shared" si="572"/>
        <v>6.9707999999999999E-4</v>
      </c>
      <c r="AS537" s="94">
        <f t="shared" si="573"/>
        <v>0</v>
      </c>
      <c r="AT537" s="94">
        <f t="shared" si="574"/>
        <v>1.9169699999999998E-3</v>
      </c>
      <c r="AU537" s="93">
        <f>1333*J536*POWER(10,-6)</f>
        <v>3.0712319999999997E-3</v>
      </c>
      <c r="AV537" s="94">
        <f t="shared" si="575"/>
        <v>1.2656081999999999E-2</v>
      </c>
      <c r="AW537" s="95">
        <f t="shared" si="576"/>
        <v>0</v>
      </c>
      <c r="AX537" s="95">
        <f t="shared" si="577"/>
        <v>0</v>
      </c>
      <c r="AY537" s="95">
        <f t="shared" si="578"/>
        <v>1.40431885872E-5</v>
      </c>
    </row>
    <row r="538" spans="1:51" x14ac:dyDescent="0.3">
      <c r="A538" s="48"/>
      <c r="B538" s="48"/>
      <c r="C538" s="166"/>
      <c r="D538" s="49"/>
      <c r="E538" s="154"/>
      <c r="F538" s="155"/>
      <c r="G538" s="48"/>
      <c r="H538" s="50"/>
      <c r="I538" s="149"/>
      <c r="J538" s="48"/>
      <c r="K538" s="278"/>
      <c r="L538" s="279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3"/>
      <c r="AR538" s="93"/>
      <c r="AS538" s="94"/>
      <c r="AT538" s="94"/>
      <c r="AU538" s="93"/>
      <c r="AV538" s="94"/>
      <c r="AW538" s="95"/>
      <c r="AX538" s="95"/>
      <c r="AY538" s="95"/>
    </row>
    <row r="539" spans="1:51" s="267" customFormat="1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</row>
    <row r="540" spans="1:51" s="267" customFormat="1" x14ac:dyDescent="0.3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</row>
    <row r="541" spans="1:51" ht="15" thickBot="1" x14ac:dyDescent="0.35"/>
    <row r="542" spans="1:51" s="179" customFormat="1" ht="15" thickBot="1" x14ac:dyDescent="0.35">
      <c r="A542" s="169" t="s">
        <v>18</v>
      </c>
      <c r="B542" s="170" t="s">
        <v>644</v>
      </c>
      <c r="C542" s="171" t="s">
        <v>227</v>
      </c>
      <c r="D542" s="172" t="s">
        <v>183</v>
      </c>
      <c r="E542" s="173">
        <v>1.0000000000000001E-5</v>
      </c>
      <c r="F542" s="170">
        <v>1</v>
      </c>
      <c r="G542" s="169">
        <v>1.4999999999999999E-2</v>
      </c>
      <c r="H542" s="174">
        <f t="shared" ref="H542:H547" si="579">E542*F542*G542</f>
        <v>1.5000000000000002E-7</v>
      </c>
      <c r="I542" s="175">
        <f>(1800/3600)*12</f>
        <v>6</v>
      </c>
      <c r="J542" s="187">
        <f>I542</f>
        <v>6</v>
      </c>
      <c r="K542" s="177" t="s">
        <v>175</v>
      </c>
      <c r="L542" s="422">
        <f>J542*20</f>
        <v>120</v>
      </c>
      <c r="M542" s="179" t="str">
        <f t="shared" ref="M542:M547" si="580">A542</f>
        <v>С1</v>
      </c>
      <c r="N542" s="179" t="str">
        <f t="shared" ref="N542:N547" si="581">B542</f>
        <v>Насос центробежный (8715P0001A)</v>
      </c>
      <c r="O542" s="179" t="str">
        <f t="shared" ref="O542:O547" si="582">D542</f>
        <v>Полное-факел</v>
      </c>
      <c r="P542" s="179" t="s">
        <v>83</v>
      </c>
      <c r="Q542" s="179" t="s">
        <v>83</v>
      </c>
      <c r="R542" s="179" t="s">
        <v>83</v>
      </c>
      <c r="S542" s="179" t="s">
        <v>83</v>
      </c>
      <c r="T542" s="179" t="s">
        <v>83</v>
      </c>
      <c r="U542" s="179" t="s">
        <v>83</v>
      </c>
      <c r="V542" s="179" t="s">
        <v>83</v>
      </c>
      <c r="W542" s="179" t="s">
        <v>83</v>
      </c>
      <c r="X542" s="179" t="s">
        <v>83</v>
      </c>
      <c r="Y542" s="179" t="s">
        <v>83</v>
      </c>
      <c r="Z542" s="179" t="s">
        <v>83</v>
      </c>
      <c r="AA542" s="179" t="s">
        <v>83</v>
      </c>
      <c r="AB542" s="179" t="s">
        <v>83</v>
      </c>
      <c r="AC542" s="179" t="s">
        <v>83</v>
      </c>
      <c r="AD542" s="179" t="s">
        <v>83</v>
      </c>
      <c r="AE542" s="179" t="s">
        <v>83</v>
      </c>
      <c r="AF542" s="179" t="s">
        <v>83</v>
      </c>
      <c r="AG542" s="179" t="s">
        <v>83</v>
      </c>
      <c r="AH542" s="179" t="s">
        <v>83</v>
      </c>
      <c r="AI542" s="179" t="s">
        <v>83</v>
      </c>
      <c r="AJ542" s="180">
        <v>1</v>
      </c>
      <c r="AK542" s="180">
        <v>2</v>
      </c>
      <c r="AL542" s="181">
        <v>0.75</v>
      </c>
      <c r="AM542" s="181">
        <v>2.7E-2</v>
      </c>
      <c r="AN542" s="181">
        <v>3</v>
      </c>
      <c r="AQ542" s="182">
        <f>AM542*I542+AL542</f>
        <v>0.91200000000000003</v>
      </c>
      <c r="AR542" s="182">
        <f t="shared" ref="AR542:AR547" si="583">0.1*AQ542</f>
        <v>9.1200000000000003E-2</v>
      </c>
      <c r="AS542" s="183">
        <f t="shared" ref="AS542:AS547" si="584">AJ542*3+0.25*AK542</f>
        <v>3.5</v>
      </c>
      <c r="AT542" s="183">
        <f t="shared" ref="AT542:AT547" si="585">SUM(AQ542:AS542)/4</f>
        <v>1.1257999999999999</v>
      </c>
      <c r="AU542" s="182">
        <f>10068.2*J542*POWER(10,-6)</f>
        <v>6.0409200000000003E-2</v>
      </c>
      <c r="AV542" s="183">
        <f t="shared" ref="AV542:AV547" si="586">AU542+AT542+AS542+AR542+AQ542</f>
        <v>5.6894092000000001</v>
      </c>
      <c r="AW542" s="184">
        <f t="shared" ref="AW542:AW547" si="587">AJ542*H542</f>
        <v>1.5000000000000002E-7</v>
      </c>
      <c r="AX542" s="184">
        <f t="shared" ref="AX542:AX547" si="588">H542*AK542</f>
        <v>3.0000000000000004E-7</v>
      </c>
      <c r="AY542" s="184">
        <f t="shared" ref="AY542:AY547" si="589">H542*AV542</f>
        <v>8.5341138000000015E-7</v>
      </c>
    </row>
    <row r="543" spans="1:51" s="179" customFormat="1" ht="15" thickBot="1" x14ac:dyDescent="0.35">
      <c r="A543" s="169" t="s">
        <v>19</v>
      </c>
      <c r="B543" s="169" t="str">
        <f>B542</f>
        <v>Насос центробежный (8715P0001A)</v>
      </c>
      <c r="C543" s="171" t="s">
        <v>238</v>
      </c>
      <c r="D543" s="172" t="s">
        <v>59</v>
      </c>
      <c r="E543" s="185">
        <f>E542</f>
        <v>1.0000000000000001E-5</v>
      </c>
      <c r="F543" s="186">
        <f>F542</f>
        <v>1</v>
      </c>
      <c r="G543" s="169">
        <v>1.4249999999999999E-2</v>
      </c>
      <c r="H543" s="174">
        <f t="shared" si="579"/>
        <v>1.4250000000000001E-7</v>
      </c>
      <c r="I543" s="187">
        <f>I542</f>
        <v>6</v>
      </c>
      <c r="J543" s="175">
        <f>I542</f>
        <v>6</v>
      </c>
      <c r="K543" s="177" t="s">
        <v>176</v>
      </c>
      <c r="L543" s="178">
        <v>0</v>
      </c>
      <c r="M543" s="179" t="str">
        <f t="shared" si="580"/>
        <v>С2</v>
      </c>
      <c r="N543" s="179" t="str">
        <f t="shared" si="581"/>
        <v>Насос центробежный (8715P0001A)</v>
      </c>
      <c r="O543" s="179" t="str">
        <f t="shared" si="582"/>
        <v>Полное-пожар</v>
      </c>
      <c r="P543" s="179" t="s">
        <v>83</v>
      </c>
      <c r="Q543" s="179" t="s">
        <v>83</v>
      </c>
      <c r="R543" s="179" t="s">
        <v>83</v>
      </c>
      <c r="S543" s="179" t="s">
        <v>83</v>
      </c>
      <c r="T543" s="179" t="s">
        <v>83</v>
      </c>
      <c r="U543" s="179" t="s">
        <v>83</v>
      </c>
      <c r="V543" s="179" t="s">
        <v>83</v>
      </c>
      <c r="W543" s="179" t="s">
        <v>83</v>
      </c>
      <c r="X543" s="179" t="s">
        <v>83</v>
      </c>
      <c r="Y543" s="179" t="s">
        <v>83</v>
      </c>
      <c r="Z543" s="179" t="s">
        <v>83</v>
      </c>
      <c r="AA543" s="179" t="s">
        <v>83</v>
      </c>
      <c r="AB543" s="179" t="s">
        <v>83</v>
      </c>
      <c r="AC543" s="179" t="s">
        <v>83</v>
      </c>
      <c r="AD543" s="179" t="s">
        <v>83</v>
      </c>
      <c r="AE543" s="179" t="s">
        <v>83</v>
      </c>
      <c r="AF543" s="179" t="s">
        <v>83</v>
      </c>
      <c r="AG543" s="179" t="s">
        <v>83</v>
      </c>
      <c r="AH543" s="179" t="s">
        <v>83</v>
      </c>
      <c r="AI543" s="179" t="s">
        <v>83</v>
      </c>
      <c r="AJ543" s="180">
        <v>2</v>
      </c>
      <c r="AK543" s="180">
        <v>2</v>
      </c>
      <c r="AL543" s="179">
        <f>AL542</f>
        <v>0.75</v>
      </c>
      <c r="AM543" s="179">
        <f>AM542</f>
        <v>2.7E-2</v>
      </c>
      <c r="AN543" s="179">
        <f>AN542</f>
        <v>3</v>
      </c>
      <c r="AQ543" s="182">
        <f>AM543*I543+AL543</f>
        <v>0.91200000000000003</v>
      </c>
      <c r="AR543" s="182">
        <f t="shared" si="583"/>
        <v>9.1200000000000003E-2</v>
      </c>
      <c r="AS543" s="183">
        <f t="shared" si="584"/>
        <v>6.5</v>
      </c>
      <c r="AT543" s="183">
        <f t="shared" si="585"/>
        <v>1.8757999999999999</v>
      </c>
      <c r="AU543" s="182">
        <f>10068.2*J543*POWER(10,-6)*10</f>
        <v>0.60409200000000007</v>
      </c>
      <c r="AV543" s="183">
        <f t="shared" si="586"/>
        <v>9.983092000000001</v>
      </c>
      <c r="AW543" s="184">
        <f t="shared" si="587"/>
        <v>2.8500000000000002E-7</v>
      </c>
      <c r="AX543" s="184">
        <f t="shared" si="588"/>
        <v>2.8500000000000002E-7</v>
      </c>
      <c r="AY543" s="184">
        <f t="shared" si="589"/>
        <v>1.4225906100000002E-6</v>
      </c>
    </row>
    <row r="544" spans="1:51" s="179" customFormat="1" x14ac:dyDescent="0.3">
      <c r="A544" s="169" t="s">
        <v>20</v>
      </c>
      <c r="B544" s="169" t="str">
        <f>B542</f>
        <v>Насос центробежный (8715P0001A)</v>
      </c>
      <c r="C544" s="171" t="s">
        <v>239</v>
      </c>
      <c r="D544" s="172" t="s">
        <v>60</v>
      </c>
      <c r="E544" s="185">
        <f>E542</f>
        <v>1.0000000000000001E-5</v>
      </c>
      <c r="F544" s="186">
        <f>F542</f>
        <v>1</v>
      </c>
      <c r="G544" s="169">
        <v>0.27074999999999999</v>
      </c>
      <c r="H544" s="174">
        <f t="shared" si="579"/>
        <v>2.7075000000000003E-6</v>
      </c>
      <c r="I544" s="187">
        <f>I542</f>
        <v>6</v>
      </c>
      <c r="J544" s="169">
        <v>0</v>
      </c>
      <c r="K544" s="177" t="s">
        <v>177</v>
      </c>
      <c r="L544" s="178">
        <v>1</v>
      </c>
      <c r="M544" s="179" t="str">
        <f t="shared" si="580"/>
        <v>С3</v>
      </c>
      <c r="N544" s="179" t="str">
        <f t="shared" si="581"/>
        <v>Насос центробежный (8715P0001A)</v>
      </c>
      <c r="O544" s="179" t="str">
        <f t="shared" si="582"/>
        <v>Полное-ликвидация</v>
      </c>
      <c r="P544" s="179" t="s">
        <v>83</v>
      </c>
      <c r="Q544" s="179" t="s">
        <v>83</v>
      </c>
      <c r="R544" s="179" t="s">
        <v>83</v>
      </c>
      <c r="S544" s="179" t="s">
        <v>83</v>
      </c>
      <c r="T544" s="179" t="s">
        <v>83</v>
      </c>
      <c r="U544" s="179" t="s">
        <v>83</v>
      </c>
      <c r="V544" s="179" t="s">
        <v>83</v>
      </c>
      <c r="W544" s="179" t="s">
        <v>83</v>
      </c>
      <c r="X544" s="179" t="s">
        <v>83</v>
      </c>
      <c r="Y544" s="179" t="s">
        <v>83</v>
      </c>
      <c r="Z544" s="179" t="s">
        <v>83</v>
      </c>
      <c r="AA544" s="179" t="s">
        <v>83</v>
      </c>
      <c r="AB544" s="179" t="s">
        <v>83</v>
      </c>
      <c r="AC544" s="179" t="s">
        <v>83</v>
      </c>
      <c r="AD544" s="179" t="s">
        <v>83</v>
      </c>
      <c r="AE544" s="179" t="s">
        <v>83</v>
      </c>
      <c r="AF544" s="179" t="s">
        <v>83</v>
      </c>
      <c r="AG544" s="179" t="s">
        <v>83</v>
      </c>
      <c r="AH544" s="179" t="s">
        <v>83</v>
      </c>
      <c r="AI544" s="179" t="s">
        <v>83</v>
      </c>
      <c r="AJ544" s="179">
        <v>0</v>
      </c>
      <c r="AK544" s="179">
        <v>0</v>
      </c>
      <c r="AL544" s="179">
        <f>AL542</f>
        <v>0.75</v>
      </c>
      <c r="AM544" s="179">
        <f>AM542</f>
        <v>2.7E-2</v>
      </c>
      <c r="AN544" s="179">
        <f>AN542</f>
        <v>3</v>
      </c>
      <c r="AQ544" s="182">
        <f>AM544*I544*0.1+AL544</f>
        <v>0.76619999999999999</v>
      </c>
      <c r="AR544" s="182">
        <f t="shared" si="583"/>
        <v>7.6620000000000008E-2</v>
      </c>
      <c r="AS544" s="183">
        <f t="shared" si="584"/>
        <v>0</v>
      </c>
      <c r="AT544" s="183">
        <f t="shared" si="585"/>
        <v>0.210705</v>
      </c>
      <c r="AU544" s="182">
        <f>1333*J543*POWER(10,-6)</f>
        <v>7.9979999999999999E-3</v>
      </c>
      <c r="AV544" s="183">
        <f t="shared" si="586"/>
        <v>1.061523</v>
      </c>
      <c r="AW544" s="184">
        <f t="shared" si="587"/>
        <v>0</v>
      </c>
      <c r="AX544" s="184">
        <f t="shared" si="588"/>
        <v>0</v>
      </c>
      <c r="AY544" s="184">
        <f t="shared" si="589"/>
        <v>2.8740735225000002E-6</v>
      </c>
    </row>
    <row r="545" spans="1:51" s="179" customFormat="1" x14ac:dyDescent="0.3">
      <c r="A545" s="169" t="s">
        <v>21</v>
      </c>
      <c r="B545" s="169" t="str">
        <f>B542</f>
        <v>Насос центробежный (8715P0001A)</v>
      </c>
      <c r="C545" s="171" t="s">
        <v>230</v>
      </c>
      <c r="D545" s="172" t="s">
        <v>84</v>
      </c>
      <c r="E545" s="185">
        <f>E543</f>
        <v>1.0000000000000001E-5</v>
      </c>
      <c r="F545" s="186">
        <f>F542</f>
        <v>1</v>
      </c>
      <c r="G545" s="169">
        <v>3.4999999999999996E-2</v>
      </c>
      <c r="H545" s="174">
        <f t="shared" si="579"/>
        <v>3.4999999999999998E-7</v>
      </c>
      <c r="I545" s="187">
        <f>0.15*I542</f>
        <v>0.89999999999999991</v>
      </c>
      <c r="J545" s="187">
        <f>I545</f>
        <v>0.89999999999999991</v>
      </c>
      <c r="K545" s="190" t="s">
        <v>179</v>
      </c>
      <c r="L545" s="191">
        <v>45390</v>
      </c>
      <c r="M545" s="179" t="str">
        <f t="shared" si="580"/>
        <v>С4</v>
      </c>
      <c r="N545" s="179" t="str">
        <f t="shared" si="581"/>
        <v>Насос центробежный (8715P0001A)</v>
      </c>
      <c r="O545" s="179" t="str">
        <f t="shared" si="582"/>
        <v>Частичное-пожар</v>
      </c>
      <c r="P545" s="179" t="s">
        <v>83</v>
      </c>
      <c r="Q545" s="179" t="s">
        <v>83</v>
      </c>
      <c r="R545" s="179" t="s">
        <v>83</v>
      </c>
      <c r="S545" s="179" t="s">
        <v>83</v>
      </c>
      <c r="T545" s="179" t="s">
        <v>83</v>
      </c>
      <c r="U545" s="179" t="s">
        <v>83</v>
      </c>
      <c r="V545" s="179" t="s">
        <v>83</v>
      </c>
      <c r="W545" s="179" t="s">
        <v>83</v>
      </c>
      <c r="X545" s="179" t="s">
        <v>83</v>
      </c>
      <c r="Y545" s="179" t="s">
        <v>83</v>
      </c>
      <c r="Z545" s="179" t="s">
        <v>83</v>
      </c>
      <c r="AA545" s="179" t="s">
        <v>83</v>
      </c>
      <c r="AB545" s="179" t="s">
        <v>83</v>
      </c>
      <c r="AC545" s="179" t="s">
        <v>83</v>
      </c>
      <c r="AD545" s="179" t="s">
        <v>83</v>
      </c>
      <c r="AE545" s="179" t="s">
        <v>83</v>
      </c>
      <c r="AF545" s="179" t="s">
        <v>83</v>
      </c>
      <c r="AG545" s="179" t="s">
        <v>83</v>
      </c>
      <c r="AH545" s="179" t="s">
        <v>83</v>
      </c>
      <c r="AI545" s="179" t="s">
        <v>83</v>
      </c>
      <c r="AJ545" s="179">
        <v>0</v>
      </c>
      <c r="AK545" s="179">
        <v>2</v>
      </c>
      <c r="AL545" s="179">
        <f>0.1*$AL$2</f>
        <v>7.5000000000000002E-4</v>
      </c>
      <c r="AM545" s="179">
        <f>AM542</f>
        <v>2.7E-2</v>
      </c>
      <c r="AN545" s="179">
        <f>ROUNDUP(AN542/3,0)</f>
        <v>1</v>
      </c>
      <c r="AQ545" s="182">
        <f>AM545*I545+AL545</f>
        <v>2.5049999999999999E-2</v>
      </c>
      <c r="AR545" s="182">
        <f t="shared" si="583"/>
        <v>2.5050000000000003E-3</v>
      </c>
      <c r="AS545" s="183">
        <f t="shared" si="584"/>
        <v>0.5</v>
      </c>
      <c r="AT545" s="183">
        <f t="shared" si="585"/>
        <v>0.13188875</v>
      </c>
      <c r="AU545" s="182">
        <f>10068.2*J545*POWER(10,-6)</f>
        <v>9.0613799999999991E-3</v>
      </c>
      <c r="AV545" s="183">
        <f t="shared" si="586"/>
        <v>0.66850513</v>
      </c>
      <c r="AW545" s="184">
        <f t="shared" si="587"/>
        <v>0</v>
      </c>
      <c r="AX545" s="184">
        <f t="shared" si="588"/>
        <v>6.9999999999999997E-7</v>
      </c>
      <c r="AY545" s="184">
        <f t="shared" si="589"/>
        <v>2.3397679549999998E-7</v>
      </c>
    </row>
    <row r="546" spans="1:51" s="179" customFormat="1" x14ac:dyDescent="0.3">
      <c r="A546" s="169" t="s">
        <v>22</v>
      </c>
      <c r="B546" s="169" t="str">
        <f>B542</f>
        <v>Насос центробежный (8715P0001A)</v>
      </c>
      <c r="C546" s="171" t="s">
        <v>232</v>
      </c>
      <c r="D546" s="172" t="s">
        <v>84</v>
      </c>
      <c r="E546" s="185">
        <f>E544</f>
        <v>1.0000000000000001E-5</v>
      </c>
      <c r="F546" s="186">
        <f>F542</f>
        <v>1</v>
      </c>
      <c r="G546" s="169">
        <v>3.3249999999999995E-2</v>
      </c>
      <c r="H546" s="174">
        <f t="shared" si="579"/>
        <v>3.3249999999999999E-7</v>
      </c>
      <c r="I546" s="187">
        <f>0.15*I542</f>
        <v>0.89999999999999991</v>
      </c>
      <c r="J546" s="187">
        <f>I545</f>
        <v>0.89999999999999991</v>
      </c>
      <c r="K546" s="190" t="s">
        <v>180</v>
      </c>
      <c r="L546" s="191">
        <v>3</v>
      </c>
      <c r="M546" s="179" t="str">
        <f t="shared" si="580"/>
        <v>С5</v>
      </c>
      <c r="N546" s="179" t="str">
        <f t="shared" si="581"/>
        <v>Насос центробежный (8715P0001A)</v>
      </c>
      <c r="O546" s="179" t="str">
        <f t="shared" si="582"/>
        <v>Частичное-пожар</v>
      </c>
      <c r="P546" s="179" t="s">
        <v>83</v>
      </c>
      <c r="Q546" s="179" t="s">
        <v>83</v>
      </c>
      <c r="R546" s="179" t="s">
        <v>83</v>
      </c>
      <c r="S546" s="179" t="s">
        <v>83</v>
      </c>
      <c r="T546" s="179" t="s">
        <v>83</v>
      </c>
      <c r="U546" s="179" t="s">
        <v>83</v>
      </c>
      <c r="V546" s="179" t="s">
        <v>83</v>
      </c>
      <c r="W546" s="179" t="s">
        <v>83</v>
      </c>
      <c r="X546" s="179" t="s">
        <v>83</v>
      </c>
      <c r="Y546" s="179" t="s">
        <v>83</v>
      </c>
      <c r="Z546" s="179" t="s">
        <v>83</v>
      </c>
      <c r="AA546" s="179" t="s">
        <v>83</v>
      </c>
      <c r="AB546" s="179" t="s">
        <v>83</v>
      </c>
      <c r="AC546" s="179" t="s">
        <v>83</v>
      </c>
      <c r="AD546" s="179" t="s">
        <v>83</v>
      </c>
      <c r="AE546" s="179" t="s">
        <v>83</v>
      </c>
      <c r="AF546" s="179" t="s">
        <v>83</v>
      </c>
      <c r="AG546" s="179" t="s">
        <v>83</v>
      </c>
      <c r="AH546" s="179" t="s">
        <v>83</v>
      </c>
      <c r="AI546" s="179" t="s">
        <v>83</v>
      </c>
      <c r="AJ546" s="179">
        <v>0</v>
      </c>
      <c r="AK546" s="179">
        <v>1</v>
      </c>
      <c r="AL546" s="179">
        <f>0.1*$AL$2</f>
        <v>7.5000000000000002E-4</v>
      </c>
      <c r="AM546" s="179">
        <f>AM542</f>
        <v>2.7E-2</v>
      </c>
      <c r="AN546" s="179">
        <f>ROUNDUP(AN542/3,0)</f>
        <v>1</v>
      </c>
      <c r="AQ546" s="182">
        <f>AM546*I546+AL546</f>
        <v>2.5049999999999999E-2</v>
      </c>
      <c r="AR546" s="182">
        <f t="shared" si="583"/>
        <v>2.5050000000000003E-3</v>
      </c>
      <c r="AS546" s="183">
        <f t="shared" si="584"/>
        <v>0.25</v>
      </c>
      <c r="AT546" s="183">
        <f t="shared" si="585"/>
        <v>6.9388749999999999E-2</v>
      </c>
      <c r="AU546" s="182">
        <f>10068.2*J546*POWER(10,-6)*10</f>
        <v>9.0613799999999994E-2</v>
      </c>
      <c r="AV546" s="183">
        <f t="shared" si="586"/>
        <v>0.43755754999999996</v>
      </c>
      <c r="AW546" s="184">
        <f t="shared" si="587"/>
        <v>0</v>
      </c>
      <c r="AX546" s="184">
        <f t="shared" si="588"/>
        <v>3.3249999999999999E-7</v>
      </c>
      <c r="AY546" s="184">
        <f t="shared" si="589"/>
        <v>1.4548788537499998E-7</v>
      </c>
    </row>
    <row r="547" spans="1:51" s="179" customFormat="1" ht="15" thickBot="1" x14ac:dyDescent="0.35">
      <c r="A547" s="169" t="s">
        <v>23</v>
      </c>
      <c r="B547" s="169" t="str">
        <f>B542</f>
        <v>Насос центробежный (8715P0001A)</v>
      </c>
      <c r="C547" s="171" t="s">
        <v>231</v>
      </c>
      <c r="D547" s="172" t="s">
        <v>617</v>
      </c>
      <c r="E547" s="185">
        <f>E545</f>
        <v>1.0000000000000001E-5</v>
      </c>
      <c r="F547" s="186">
        <f>F542</f>
        <v>1</v>
      </c>
      <c r="G547" s="169">
        <v>0.63174999999999992</v>
      </c>
      <c r="H547" s="174">
        <f t="shared" si="579"/>
        <v>6.3175000000000001E-6</v>
      </c>
      <c r="I547" s="187">
        <f>0.15*I542</f>
        <v>0.89999999999999991</v>
      </c>
      <c r="J547" s="169">
        <v>0</v>
      </c>
      <c r="K547" s="192" t="s">
        <v>191</v>
      </c>
      <c r="L547" s="192">
        <v>18</v>
      </c>
      <c r="M547" s="179" t="str">
        <f t="shared" si="580"/>
        <v>С6</v>
      </c>
      <c r="N547" s="179" t="str">
        <f t="shared" si="581"/>
        <v>Насос центробежный (8715P0001A)</v>
      </c>
      <c r="O547" s="179" t="str">
        <f t="shared" si="582"/>
        <v>Частичное-ликв</v>
      </c>
      <c r="P547" s="179" t="s">
        <v>83</v>
      </c>
      <c r="Q547" s="179" t="s">
        <v>83</v>
      </c>
      <c r="R547" s="179" t="s">
        <v>83</v>
      </c>
      <c r="S547" s="179" t="s">
        <v>83</v>
      </c>
      <c r="T547" s="179" t="s">
        <v>83</v>
      </c>
      <c r="U547" s="179" t="s">
        <v>83</v>
      </c>
      <c r="V547" s="179" t="s">
        <v>83</v>
      </c>
      <c r="W547" s="179" t="s">
        <v>83</v>
      </c>
      <c r="X547" s="179" t="s">
        <v>83</v>
      </c>
      <c r="Y547" s="179" t="s">
        <v>83</v>
      </c>
      <c r="Z547" s="179" t="s">
        <v>83</v>
      </c>
      <c r="AA547" s="179" t="s">
        <v>83</v>
      </c>
      <c r="AB547" s="179" t="s">
        <v>83</v>
      </c>
      <c r="AC547" s="179" t="s">
        <v>83</v>
      </c>
      <c r="AD547" s="179" t="s">
        <v>83</v>
      </c>
      <c r="AE547" s="179" t="s">
        <v>83</v>
      </c>
      <c r="AF547" s="179" t="s">
        <v>83</v>
      </c>
      <c r="AG547" s="179" t="s">
        <v>83</v>
      </c>
      <c r="AH547" s="179" t="s">
        <v>83</v>
      </c>
      <c r="AI547" s="179" t="s">
        <v>83</v>
      </c>
      <c r="AJ547" s="179">
        <v>0</v>
      </c>
      <c r="AK547" s="179">
        <v>0</v>
      </c>
      <c r="AL547" s="179">
        <f>0.1*$AL$2</f>
        <v>7.5000000000000002E-4</v>
      </c>
      <c r="AM547" s="179">
        <f>AM542</f>
        <v>2.7E-2</v>
      </c>
      <c r="AN547" s="179">
        <f>ROUNDUP(AN542/3,0)</f>
        <v>1</v>
      </c>
      <c r="AQ547" s="182">
        <f>AM547*I547*0.1+AL547</f>
        <v>3.1799999999999997E-3</v>
      </c>
      <c r="AR547" s="182">
        <f t="shared" si="583"/>
        <v>3.1799999999999998E-4</v>
      </c>
      <c r="AS547" s="183">
        <f t="shared" si="584"/>
        <v>0</v>
      </c>
      <c r="AT547" s="183">
        <f t="shared" si="585"/>
        <v>8.7449999999999995E-4</v>
      </c>
      <c r="AU547" s="182">
        <f>1333*J546*POWER(10,-6)</f>
        <v>1.1996999999999997E-3</v>
      </c>
      <c r="AV547" s="183">
        <f t="shared" si="586"/>
        <v>5.5721999999999994E-3</v>
      </c>
      <c r="AW547" s="184">
        <f t="shared" si="587"/>
        <v>0</v>
      </c>
      <c r="AX547" s="184">
        <f t="shared" si="588"/>
        <v>0</v>
      </c>
      <c r="AY547" s="184">
        <f t="shared" si="589"/>
        <v>3.5202373499999998E-8</v>
      </c>
    </row>
    <row r="548" spans="1:51" s="179" customFormat="1" x14ac:dyDescent="0.3">
      <c r="A548" s="180"/>
      <c r="B548" s="180"/>
      <c r="D548" s="271"/>
      <c r="E548" s="272"/>
      <c r="F548" s="273"/>
      <c r="G548" s="180"/>
      <c r="H548" s="184"/>
      <c r="I548" s="183"/>
      <c r="J548" s="180"/>
      <c r="K548" s="180"/>
      <c r="L548" s="180"/>
      <c r="AQ548" s="182"/>
      <c r="AR548" s="182"/>
      <c r="AS548" s="183"/>
      <c r="AT548" s="183"/>
      <c r="AU548" s="182"/>
      <c r="AV548" s="183"/>
      <c r="AW548" s="184"/>
      <c r="AX548" s="184"/>
      <c r="AY548" s="184"/>
    </row>
    <row r="549" spans="1:51" s="179" customFormat="1" x14ac:dyDescent="0.3">
      <c r="A549" s="180"/>
      <c r="B549" s="180"/>
      <c r="D549" s="271"/>
      <c r="E549" s="272"/>
      <c r="F549" s="273"/>
      <c r="G549" s="180"/>
      <c r="H549" s="184"/>
      <c r="I549" s="183"/>
      <c r="J549" s="180"/>
      <c r="K549" s="180"/>
      <c r="L549" s="180"/>
      <c r="AQ549" s="182"/>
      <c r="AR549" s="182"/>
      <c r="AS549" s="183"/>
      <c r="AT549" s="183"/>
      <c r="AU549" s="182"/>
      <c r="AV549" s="183"/>
      <c r="AW549" s="184"/>
      <c r="AX549" s="184"/>
      <c r="AY549" s="184"/>
    </row>
    <row r="550" spans="1:51" s="179" customFormat="1" x14ac:dyDescent="0.3">
      <c r="A550" s="180"/>
      <c r="B550" s="180"/>
      <c r="D550" s="271"/>
      <c r="E550" s="272"/>
      <c r="F550" s="273"/>
      <c r="G550" s="180"/>
      <c r="H550" s="184"/>
      <c r="I550" s="183"/>
      <c r="J550" s="180"/>
      <c r="K550" s="180"/>
      <c r="L550" s="180"/>
      <c r="AQ550" s="182"/>
      <c r="AR550" s="182"/>
      <c r="AS550" s="183"/>
      <c r="AT550" s="183"/>
      <c r="AU550" s="182"/>
      <c r="AV550" s="183"/>
      <c r="AW550" s="184"/>
      <c r="AX550" s="184"/>
      <c r="AY550" s="184"/>
    </row>
    <row r="551" spans="1:51" ht="15" thickBot="1" x14ac:dyDescent="0.35"/>
    <row r="552" spans="1:51" s="227" customFormat="1" ht="18" customHeight="1" x14ac:dyDescent="0.3">
      <c r="A552" s="218" t="s">
        <v>18</v>
      </c>
      <c r="B552" s="219" t="s">
        <v>645</v>
      </c>
      <c r="C552" s="53" t="s">
        <v>312</v>
      </c>
      <c r="D552" s="220" t="s">
        <v>171</v>
      </c>
      <c r="E552" s="221">
        <v>1.0000000000000001E-5</v>
      </c>
      <c r="F552" s="219">
        <v>1</v>
      </c>
      <c r="G552" s="218">
        <v>0.2</v>
      </c>
      <c r="H552" s="222">
        <f>E552*F552*G552</f>
        <v>2.0000000000000003E-6</v>
      </c>
      <c r="I552" s="223">
        <v>165</v>
      </c>
      <c r="J552" s="280">
        <f>I552</f>
        <v>165</v>
      </c>
      <c r="K552" s="225" t="s">
        <v>175</v>
      </c>
      <c r="L552" s="226">
        <v>2100</v>
      </c>
      <c r="M552" s="227" t="str">
        <f>A552</f>
        <v>С1</v>
      </c>
      <c r="N552" s="227" t="str">
        <f>B552</f>
        <v>Емкость подачи щелочи в C0101</v>
      </c>
      <c r="O552" s="227" t="str">
        <f>D552</f>
        <v>Полное-токси</v>
      </c>
      <c r="P552" s="227" t="s">
        <v>83</v>
      </c>
      <c r="Q552" s="227" t="s">
        <v>83</v>
      </c>
      <c r="R552" s="227" t="s">
        <v>83</v>
      </c>
      <c r="S552" s="227" t="s">
        <v>83</v>
      </c>
      <c r="T552" s="227" t="s">
        <v>83</v>
      </c>
      <c r="U552" s="227" t="s">
        <v>83</v>
      </c>
      <c r="V552" s="227" t="s">
        <v>83</v>
      </c>
      <c r="W552" s="227" t="s">
        <v>83</v>
      </c>
      <c r="X552" s="227" t="s">
        <v>83</v>
      </c>
      <c r="Y552" s="227" t="s">
        <v>83</v>
      </c>
      <c r="Z552" s="227" t="s">
        <v>83</v>
      </c>
      <c r="AA552" s="227" t="s">
        <v>83</v>
      </c>
      <c r="AB552" s="227" t="s">
        <v>83</v>
      </c>
      <c r="AC552" s="227" t="s">
        <v>83</v>
      </c>
      <c r="AD552" s="227" t="s">
        <v>83</v>
      </c>
      <c r="AE552" s="227" t="s">
        <v>83</v>
      </c>
      <c r="AF552" s="227" t="s">
        <v>83</v>
      </c>
      <c r="AG552" s="227" t="s">
        <v>83</v>
      </c>
      <c r="AH552" s="227" t="s">
        <v>83</v>
      </c>
      <c r="AI552" s="227">
        <f>L552</f>
        <v>2100</v>
      </c>
      <c r="AJ552" s="228">
        <v>0</v>
      </c>
      <c r="AK552" s="228">
        <v>1</v>
      </c>
      <c r="AL552" s="229">
        <v>0.75</v>
      </c>
      <c r="AM552" s="229">
        <v>2.7E-2</v>
      </c>
      <c r="AN552" s="229">
        <v>3</v>
      </c>
      <c r="AQ552" s="230">
        <f>AM552*I552+AL552</f>
        <v>5.2050000000000001</v>
      </c>
      <c r="AR552" s="230">
        <f>0.1*AQ552</f>
        <v>0.52050000000000007</v>
      </c>
      <c r="AS552" s="231">
        <f>AJ552*3+0.25*AK552</f>
        <v>0.25</v>
      </c>
      <c r="AT552" s="231">
        <f>SUM(AQ552:AS552)/4</f>
        <v>1.4938750000000001</v>
      </c>
      <c r="AU552" s="230">
        <f>10068.2*J552*POWER(10,-6)</f>
        <v>1.6612530000000001</v>
      </c>
      <c r="AV552" s="231">
        <f>AU552+AT552+AS552+AR552+AQ552</f>
        <v>9.1306280000000015</v>
      </c>
      <c r="AW552" s="232">
        <f>AJ552*H552</f>
        <v>0</v>
      </c>
      <c r="AX552" s="232">
        <f>H552*AK552</f>
        <v>2.0000000000000003E-6</v>
      </c>
      <c r="AY552" s="232">
        <f>H552*AV552</f>
        <v>1.8261256000000007E-5</v>
      </c>
    </row>
    <row r="553" spans="1:51" s="227" customFormat="1" x14ac:dyDescent="0.3">
      <c r="A553" s="218" t="s">
        <v>19</v>
      </c>
      <c r="B553" s="218" t="str">
        <f>B552</f>
        <v>Емкость подачи щелочи в C0101</v>
      </c>
      <c r="C553" s="53" t="s">
        <v>646</v>
      </c>
      <c r="D553" s="220" t="s">
        <v>172</v>
      </c>
      <c r="E553" s="233">
        <f>E552*10</f>
        <v>1E-4</v>
      </c>
      <c r="F553" s="234">
        <f>F552</f>
        <v>1</v>
      </c>
      <c r="G553" s="218">
        <v>0.8</v>
      </c>
      <c r="H553" s="222">
        <f>E553*F553*G553</f>
        <v>8.0000000000000007E-5</v>
      </c>
      <c r="I553" s="235">
        <f>0.1*I552</f>
        <v>16.5</v>
      </c>
      <c r="J553" s="280">
        <f>I553</f>
        <v>16.5</v>
      </c>
      <c r="K553" s="236" t="s">
        <v>176</v>
      </c>
      <c r="L553" s="237">
        <v>0</v>
      </c>
      <c r="M553" s="227" t="str">
        <f>A553</f>
        <v>С2</v>
      </c>
      <c r="N553" s="227" t="str">
        <f>B553</f>
        <v>Емкость подачи щелочи в C0101</v>
      </c>
      <c r="O553" s="227" t="str">
        <f>D553</f>
        <v>Частичное-токси</v>
      </c>
      <c r="P553" s="227" t="s">
        <v>83</v>
      </c>
      <c r="Q553" s="227" t="s">
        <v>83</v>
      </c>
      <c r="R553" s="227" t="s">
        <v>83</v>
      </c>
      <c r="S553" s="227" t="s">
        <v>83</v>
      </c>
      <c r="T553" s="227" t="s">
        <v>83</v>
      </c>
      <c r="U553" s="227" t="s">
        <v>83</v>
      </c>
      <c r="V553" s="227" t="s">
        <v>83</v>
      </c>
      <c r="W553" s="227" t="s">
        <v>83</v>
      </c>
      <c r="X553" s="227" t="s">
        <v>83</v>
      </c>
      <c r="Y553" s="227" t="s">
        <v>83</v>
      </c>
      <c r="Z553" s="227" t="s">
        <v>83</v>
      </c>
      <c r="AA553" s="227" t="s">
        <v>83</v>
      </c>
      <c r="AB553" s="227" t="s">
        <v>83</v>
      </c>
      <c r="AC553" s="227" t="s">
        <v>83</v>
      </c>
      <c r="AD553" s="227" t="s">
        <v>83</v>
      </c>
      <c r="AE553" s="227" t="s">
        <v>83</v>
      </c>
      <c r="AF553" s="227" t="s">
        <v>83</v>
      </c>
      <c r="AG553" s="227" t="s">
        <v>83</v>
      </c>
      <c r="AH553" s="227" t="s">
        <v>83</v>
      </c>
      <c r="AI553" s="227">
        <f>(L552/10)</f>
        <v>210</v>
      </c>
      <c r="AJ553" s="228">
        <v>0</v>
      </c>
      <c r="AK553" s="228">
        <v>1</v>
      </c>
      <c r="AL553" s="227">
        <f>AL552</f>
        <v>0.75</v>
      </c>
      <c r="AM553" s="227">
        <f>AM552</f>
        <v>2.7E-2</v>
      </c>
      <c r="AN553" s="227">
        <f>AN552</f>
        <v>3</v>
      </c>
      <c r="AQ553" s="230">
        <f>AM553*I553+AL553</f>
        <v>1.1955</v>
      </c>
      <c r="AR553" s="230">
        <f>0.1*AQ553</f>
        <v>0.11955</v>
      </c>
      <c r="AS553" s="231">
        <f>AJ553*3+0.25*AK553</f>
        <v>0.25</v>
      </c>
      <c r="AT553" s="231">
        <f>SUM(AQ553:AS553)/4</f>
        <v>0.39126250000000001</v>
      </c>
      <c r="AU553" s="230">
        <f>10068.2*J553*POWER(10,-6)*10</f>
        <v>1.6612530000000001</v>
      </c>
      <c r="AV553" s="231">
        <f>AU553+AT553+AS553+AR553+AQ553</f>
        <v>3.6175655</v>
      </c>
      <c r="AW553" s="232">
        <f>AJ553*H553</f>
        <v>0</v>
      </c>
      <c r="AX553" s="232">
        <f>H553*AK553</f>
        <v>8.0000000000000007E-5</v>
      </c>
      <c r="AY553" s="232">
        <f>H553*AV553</f>
        <v>2.8940524000000003E-4</v>
      </c>
    </row>
    <row r="554" spans="1:51" s="227" customFormat="1" x14ac:dyDescent="0.3">
      <c r="A554" s="218"/>
      <c r="B554" s="218"/>
      <c r="C554" s="53"/>
      <c r="D554" s="220"/>
      <c r="E554" s="233"/>
      <c r="F554" s="234"/>
      <c r="G554" s="218"/>
      <c r="H554" s="222"/>
      <c r="I554" s="235"/>
      <c r="J554" s="238"/>
      <c r="K554" s="236" t="s">
        <v>177</v>
      </c>
      <c r="L554" s="237">
        <v>0</v>
      </c>
      <c r="N554" s="227">
        <f>B554</f>
        <v>0</v>
      </c>
      <c r="O554" s="227">
        <f>D554</f>
        <v>0</v>
      </c>
      <c r="P554" s="227" t="s">
        <v>83</v>
      </c>
      <c r="Q554" s="227" t="s">
        <v>83</v>
      </c>
      <c r="R554" s="227" t="s">
        <v>83</v>
      </c>
      <c r="S554" s="227" t="s">
        <v>83</v>
      </c>
      <c r="T554" s="227" t="s">
        <v>83</v>
      </c>
      <c r="U554" s="227" t="s">
        <v>83</v>
      </c>
      <c r="V554" s="227" t="s">
        <v>83</v>
      </c>
      <c r="W554" s="227" t="s">
        <v>83</v>
      </c>
      <c r="X554" s="227" t="s">
        <v>83</v>
      </c>
      <c r="Y554" s="227" t="s">
        <v>83</v>
      </c>
      <c r="Z554" s="227" t="s">
        <v>83</v>
      </c>
      <c r="AA554" s="227" t="s">
        <v>83</v>
      </c>
      <c r="AB554" s="227" t="s">
        <v>83</v>
      </c>
      <c r="AC554" s="227" t="s">
        <v>83</v>
      </c>
      <c r="AD554" s="227" t="s">
        <v>83</v>
      </c>
      <c r="AQ554" s="230"/>
      <c r="AR554" s="230"/>
      <c r="AS554" s="231"/>
      <c r="AT554" s="231"/>
      <c r="AU554" s="230"/>
      <c r="AV554" s="231"/>
      <c r="AW554" s="232"/>
      <c r="AX554" s="232"/>
      <c r="AY554" s="232"/>
    </row>
    <row r="555" spans="1:51" s="227" customFormat="1" x14ac:dyDescent="0.3">
      <c r="A555" s="218"/>
      <c r="B555" s="218"/>
      <c r="C555" s="53"/>
      <c r="D555" s="220"/>
      <c r="E555" s="221"/>
      <c r="F555" s="234"/>
      <c r="G555" s="218"/>
      <c r="H555" s="222"/>
      <c r="I555" s="235"/>
      <c r="J555" s="224"/>
      <c r="K555" s="236" t="s">
        <v>179</v>
      </c>
      <c r="L555" s="237">
        <v>0</v>
      </c>
      <c r="AQ555" s="230"/>
      <c r="AR555" s="230"/>
      <c r="AS555" s="231"/>
      <c r="AT555" s="231"/>
      <c r="AU555" s="230"/>
      <c r="AV555" s="231"/>
      <c r="AW555" s="232"/>
      <c r="AX555" s="232"/>
      <c r="AY555" s="232"/>
    </row>
    <row r="556" spans="1:51" s="227" customFormat="1" x14ac:dyDescent="0.3">
      <c r="A556" s="218"/>
      <c r="B556" s="218"/>
      <c r="C556" s="53"/>
      <c r="D556" s="220"/>
      <c r="E556" s="233"/>
      <c r="F556" s="234"/>
      <c r="G556" s="218"/>
      <c r="H556" s="222"/>
      <c r="I556" s="235"/>
      <c r="J556" s="224"/>
      <c r="K556" s="236" t="s">
        <v>180</v>
      </c>
      <c r="L556" s="237">
        <v>0</v>
      </c>
      <c r="AQ556" s="230"/>
      <c r="AR556" s="230"/>
      <c r="AS556" s="231"/>
      <c r="AT556" s="231"/>
      <c r="AU556" s="230"/>
      <c r="AV556" s="231"/>
      <c r="AW556" s="232"/>
      <c r="AX556" s="232"/>
      <c r="AY556" s="232"/>
    </row>
    <row r="557" spans="1:51" s="227" customFormat="1" ht="15" thickBot="1" x14ac:dyDescent="0.35">
      <c r="A557" s="218"/>
      <c r="B557" s="218"/>
      <c r="C557" s="53"/>
      <c r="D557" s="220"/>
      <c r="E557" s="233"/>
      <c r="F557" s="234"/>
      <c r="G557" s="218"/>
      <c r="H557" s="222"/>
      <c r="I557" s="235"/>
      <c r="J557" s="224"/>
      <c r="K557" s="241" t="s">
        <v>191</v>
      </c>
      <c r="L557" s="253">
        <v>24</v>
      </c>
      <c r="AQ557" s="230"/>
      <c r="AR557" s="230"/>
      <c r="AS557" s="231"/>
      <c r="AT557" s="231"/>
      <c r="AU557" s="230"/>
      <c r="AV557" s="231"/>
      <c r="AW557" s="232"/>
      <c r="AX557" s="232"/>
      <c r="AY557" s="232"/>
    </row>
    <row r="558" spans="1:51" s="227" customFormat="1" x14ac:dyDescent="0.3">
      <c r="A558" s="228"/>
      <c r="B558" s="228"/>
      <c r="D558" s="274"/>
      <c r="E558" s="275"/>
      <c r="F558" s="276"/>
      <c r="G558" s="228"/>
      <c r="H558" s="232"/>
      <c r="I558" s="231"/>
      <c r="J558" s="231"/>
      <c r="K558" s="228"/>
      <c r="L558" s="276"/>
      <c r="AQ558" s="230"/>
      <c r="AR558" s="230"/>
      <c r="AS558" s="231"/>
      <c r="AT558" s="231"/>
      <c r="AU558" s="230"/>
      <c r="AV558" s="231"/>
      <c r="AW558" s="232"/>
      <c r="AX558" s="232"/>
      <c r="AY558" s="232"/>
    </row>
    <row r="559" spans="1:51" s="227" customFormat="1" x14ac:dyDescent="0.3">
      <c r="A559" s="228"/>
      <c r="B559" s="228"/>
      <c r="D559" s="274"/>
      <c r="E559" s="275"/>
      <c r="F559" s="276"/>
      <c r="G559" s="228"/>
      <c r="H559" s="232"/>
      <c r="I559" s="231"/>
      <c r="J559" s="231"/>
      <c r="K559" s="228"/>
      <c r="L559" s="276"/>
      <c r="AQ559" s="230"/>
      <c r="AR559" s="230"/>
      <c r="AS559" s="231"/>
      <c r="AT559" s="231"/>
      <c r="AU559" s="230"/>
      <c r="AV559" s="231"/>
      <c r="AW559" s="232"/>
      <c r="AX559" s="232"/>
      <c r="AY559" s="232"/>
    </row>
    <row r="560" spans="1:51" s="227" customFormat="1" x14ac:dyDescent="0.3">
      <c r="A560" s="228"/>
      <c r="B560" s="228"/>
      <c r="D560" s="274"/>
      <c r="E560" s="275"/>
      <c r="F560" s="276"/>
      <c r="G560" s="228"/>
      <c r="H560" s="232"/>
      <c r="I560" s="231"/>
      <c r="J560" s="231"/>
      <c r="K560" s="228"/>
      <c r="L560" s="276"/>
      <c r="AQ560" s="230"/>
      <c r="AR560" s="230"/>
      <c r="AS560" s="231"/>
      <c r="AT560" s="231"/>
      <c r="AU560" s="230"/>
      <c r="AV560" s="231"/>
      <c r="AW560" s="232"/>
      <c r="AX560" s="232"/>
      <c r="AY560" s="232"/>
    </row>
    <row r="561" spans="1:51" ht="15" thickBot="1" x14ac:dyDescent="0.35"/>
    <row r="562" spans="1:51" ht="15" thickBot="1" x14ac:dyDescent="0.35">
      <c r="A562" s="48" t="s">
        <v>18</v>
      </c>
      <c r="B562" s="294" t="s">
        <v>647</v>
      </c>
      <c r="C562" s="166" t="s">
        <v>159</v>
      </c>
      <c r="D562" s="49" t="s">
        <v>59</v>
      </c>
      <c r="E562" s="153">
        <v>9.9999999999999995E-8</v>
      </c>
      <c r="F562" s="150">
        <v>125</v>
      </c>
      <c r="G562" s="48">
        <v>0.2</v>
      </c>
      <c r="H562" s="50">
        <f t="shared" ref="H562:H567" si="590">E562*F562*G562</f>
        <v>2.4999999999999998E-6</v>
      </c>
      <c r="I562" s="151">
        <v>7.65</v>
      </c>
      <c r="J562" s="149">
        <f>I562</f>
        <v>7.65</v>
      </c>
      <c r="K562" s="159" t="s">
        <v>175</v>
      </c>
      <c r="L562" s="164">
        <f>J562*20</f>
        <v>153</v>
      </c>
      <c r="M562" s="92" t="str">
        <f t="shared" ref="M562:M567" si="591">A562</f>
        <v>С1</v>
      </c>
      <c r="N562" s="92" t="str">
        <f t="shared" ref="N562:N567" si="592">B562</f>
        <v>Нафта висбрекинга трубопровод рег. № 1003</v>
      </c>
      <c r="O562" s="92" t="str">
        <f t="shared" ref="O562:O567" si="593">D562</f>
        <v>Полное-пожар</v>
      </c>
      <c r="P562" s="92">
        <v>17.100000000000001</v>
      </c>
      <c r="Q562" s="92">
        <v>23.5</v>
      </c>
      <c r="R562" s="92">
        <v>33.1</v>
      </c>
      <c r="S562" s="92">
        <v>61.2</v>
      </c>
      <c r="T562" s="92" t="s">
        <v>83</v>
      </c>
      <c r="U562" s="92" t="s">
        <v>83</v>
      </c>
      <c r="V562" s="92" t="s">
        <v>83</v>
      </c>
      <c r="W562" s="92" t="s">
        <v>83</v>
      </c>
      <c r="X562" s="92" t="s">
        <v>83</v>
      </c>
      <c r="Y562" s="92" t="s">
        <v>83</v>
      </c>
      <c r="Z562" s="92" t="s">
        <v>83</v>
      </c>
      <c r="AA562" s="92" t="s">
        <v>83</v>
      </c>
      <c r="AB562" s="92" t="s">
        <v>83</v>
      </c>
      <c r="AC562" s="92" t="s">
        <v>83</v>
      </c>
      <c r="AD562" s="92" t="s">
        <v>83</v>
      </c>
      <c r="AE562" s="92" t="s">
        <v>83</v>
      </c>
      <c r="AF562" s="92" t="s">
        <v>83</v>
      </c>
      <c r="AG562" s="92" t="s">
        <v>83</v>
      </c>
      <c r="AH562" s="92" t="s">
        <v>83</v>
      </c>
      <c r="AI562" s="92" t="s">
        <v>83</v>
      </c>
      <c r="AJ562" s="52">
        <v>1</v>
      </c>
      <c r="AK562" s="52">
        <v>2</v>
      </c>
      <c r="AL562" s="152">
        <v>0.75</v>
      </c>
      <c r="AM562" s="152">
        <v>2.7E-2</v>
      </c>
      <c r="AN562" s="152">
        <v>3</v>
      </c>
      <c r="AO562" s="92"/>
      <c r="AP562" s="92"/>
      <c r="AQ562" s="93">
        <f>AM562*I562+AL562</f>
        <v>0.95655000000000001</v>
      </c>
      <c r="AR562" s="93">
        <f t="shared" ref="AR562:AR567" si="594">0.1*AQ562</f>
        <v>9.5655000000000004E-2</v>
      </c>
      <c r="AS562" s="94">
        <f t="shared" ref="AS562:AS567" si="595">AJ562*3+0.25*AK562</f>
        <v>3.5</v>
      </c>
      <c r="AT562" s="94">
        <f t="shared" ref="AT562:AT567" si="596">SUM(AQ562:AS562)/4</f>
        <v>1.13805125</v>
      </c>
      <c r="AU562" s="93">
        <f>10068.2*J562*POWER(10,-6)</f>
        <v>7.702173000000001E-2</v>
      </c>
      <c r="AV562" s="94">
        <f t="shared" ref="AV562:AV567" si="597">AU562+AT562+AS562+AR562+AQ562</f>
        <v>5.7672779800000002</v>
      </c>
      <c r="AW562" s="95">
        <f t="shared" ref="AW562:AW567" si="598">AJ562*H562</f>
        <v>2.4999999999999998E-6</v>
      </c>
      <c r="AX562" s="95">
        <f t="shared" ref="AX562:AX567" si="599">H562*AK562</f>
        <v>4.9999999999999996E-6</v>
      </c>
      <c r="AY562" s="95">
        <f t="shared" ref="AY562:AY567" si="600">H562*AV562</f>
        <v>1.4418194949999999E-5</v>
      </c>
    </row>
    <row r="563" spans="1:51" ht="15" thickBot="1" x14ac:dyDescent="0.35">
      <c r="A563" s="48" t="s">
        <v>19</v>
      </c>
      <c r="B563" s="48" t="str">
        <f>B562</f>
        <v>Нафта висбрекинга трубопровод рег. № 1003</v>
      </c>
      <c r="C563" s="166" t="s">
        <v>174</v>
      </c>
      <c r="D563" s="49" t="s">
        <v>59</v>
      </c>
      <c r="E563" s="154">
        <f>E562</f>
        <v>9.9999999999999995E-8</v>
      </c>
      <c r="F563" s="155">
        <f>F562</f>
        <v>125</v>
      </c>
      <c r="G563" s="48">
        <v>0.04</v>
      </c>
      <c r="H563" s="50">
        <f t="shared" si="590"/>
        <v>4.9999999999999998E-7</v>
      </c>
      <c r="I563" s="149">
        <f>I562</f>
        <v>7.65</v>
      </c>
      <c r="J563" s="149">
        <f>I562</f>
        <v>7.65</v>
      </c>
      <c r="K563" s="159" t="s">
        <v>176</v>
      </c>
      <c r="L563" s="164">
        <v>0</v>
      </c>
      <c r="M563" s="92" t="str">
        <f t="shared" si="591"/>
        <v>С2</v>
      </c>
      <c r="N563" s="92" t="str">
        <f t="shared" si="592"/>
        <v>Нафта висбрекинга трубопровод рег. № 1003</v>
      </c>
      <c r="O563" s="92" t="str">
        <f t="shared" si="593"/>
        <v>Полное-пожар</v>
      </c>
      <c r="P563" s="92">
        <v>17.100000000000001</v>
      </c>
      <c r="Q563" s="92">
        <v>23.5</v>
      </c>
      <c r="R563" s="92">
        <v>33.1</v>
      </c>
      <c r="S563" s="92">
        <v>61.2</v>
      </c>
      <c r="T563" s="92" t="s">
        <v>83</v>
      </c>
      <c r="U563" s="92" t="s">
        <v>83</v>
      </c>
      <c r="V563" s="92" t="s">
        <v>83</v>
      </c>
      <c r="W563" s="92" t="s">
        <v>83</v>
      </c>
      <c r="X563" s="92" t="s">
        <v>83</v>
      </c>
      <c r="Y563" s="92" t="s">
        <v>83</v>
      </c>
      <c r="Z563" s="92" t="s">
        <v>83</v>
      </c>
      <c r="AA563" s="92" t="s">
        <v>83</v>
      </c>
      <c r="AB563" s="92" t="s">
        <v>83</v>
      </c>
      <c r="AC563" s="92" t="s">
        <v>83</v>
      </c>
      <c r="AD563" s="92" t="s">
        <v>83</v>
      </c>
      <c r="AE563" s="92" t="s">
        <v>83</v>
      </c>
      <c r="AF563" s="92" t="s">
        <v>83</v>
      </c>
      <c r="AG563" s="92" t="s">
        <v>83</v>
      </c>
      <c r="AH563" s="92" t="s">
        <v>83</v>
      </c>
      <c r="AI563" s="92" t="s">
        <v>83</v>
      </c>
      <c r="AJ563" s="52">
        <v>2</v>
      </c>
      <c r="AK563" s="52">
        <v>2</v>
      </c>
      <c r="AL563" s="92">
        <f>AL562</f>
        <v>0.75</v>
      </c>
      <c r="AM563" s="92">
        <f>AM562</f>
        <v>2.7E-2</v>
      </c>
      <c r="AN563" s="92">
        <f>AN562</f>
        <v>3</v>
      </c>
      <c r="AO563" s="92"/>
      <c r="AP563" s="92"/>
      <c r="AQ563" s="93">
        <f>AM563*I563+AL563</f>
        <v>0.95655000000000001</v>
      </c>
      <c r="AR563" s="93">
        <f t="shared" si="594"/>
        <v>9.5655000000000004E-2</v>
      </c>
      <c r="AS563" s="94">
        <f t="shared" si="595"/>
        <v>6.5</v>
      </c>
      <c r="AT563" s="94">
        <f t="shared" si="596"/>
        <v>1.88805125</v>
      </c>
      <c r="AU563" s="93">
        <f>10068.2*J563*POWER(10,-6)*10</f>
        <v>0.7702173000000001</v>
      </c>
      <c r="AV563" s="94">
        <f t="shared" si="597"/>
        <v>10.21047355</v>
      </c>
      <c r="AW563" s="95">
        <f t="shared" si="598"/>
        <v>9.9999999999999995E-7</v>
      </c>
      <c r="AX563" s="95">
        <f t="shared" si="599"/>
        <v>9.9999999999999995E-7</v>
      </c>
      <c r="AY563" s="95">
        <f t="shared" si="600"/>
        <v>5.1052367749999999E-6</v>
      </c>
    </row>
    <row r="564" spans="1:51" x14ac:dyDescent="0.3">
      <c r="A564" s="48" t="s">
        <v>20</v>
      </c>
      <c r="B564" s="48" t="str">
        <f>B562</f>
        <v>Нафта висбрекинга трубопровод рег. № 1003</v>
      </c>
      <c r="C564" s="166" t="s">
        <v>161</v>
      </c>
      <c r="D564" s="49" t="s">
        <v>60</v>
      </c>
      <c r="E564" s="154">
        <f>E562</f>
        <v>9.9999999999999995E-8</v>
      </c>
      <c r="F564" s="155">
        <f>F562</f>
        <v>125</v>
      </c>
      <c r="G564" s="48">
        <v>0.76</v>
      </c>
      <c r="H564" s="50">
        <f t="shared" si="590"/>
        <v>9.4999999999999988E-6</v>
      </c>
      <c r="I564" s="149">
        <f>I562</f>
        <v>7.65</v>
      </c>
      <c r="J564" s="48">
        <v>0</v>
      </c>
      <c r="K564" s="159" t="s">
        <v>177</v>
      </c>
      <c r="L564" s="164">
        <v>0</v>
      </c>
      <c r="M564" s="92" t="str">
        <f t="shared" si="591"/>
        <v>С3</v>
      </c>
      <c r="N564" s="92" t="str">
        <f t="shared" si="592"/>
        <v>Нафта висбрекинга трубопровод рег. № 1003</v>
      </c>
      <c r="O564" s="92" t="str">
        <f t="shared" si="593"/>
        <v>Полное-ликвидация</v>
      </c>
      <c r="P564" s="92" t="s">
        <v>83</v>
      </c>
      <c r="Q564" s="92" t="s">
        <v>83</v>
      </c>
      <c r="R564" s="92" t="s">
        <v>83</v>
      </c>
      <c r="S564" s="92" t="s">
        <v>83</v>
      </c>
      <c r="T564" s="92" t="s">
        <v>83</v>
      </c>
      <c r="U564" s="92" t="s">
        <v>83</v>
      </c>
      <c r="V564" s="92" t="s">
        <v>83</v>
      </c>
      <c r="W564" s="92" t="s">
        <v>83</v>
      </c>
      <c r="X564" s="92" t="s">
        <v>83</v>
      </c>
      <c r="Y564" s="92" t="s">
        <v>83</v>
      </c>
      <c r="Z564" s="92" t="s">
        <v>83</v>
      </c>
      <c r="AA564" s="92" t="s">
        <v>83</v>
      </c>
      <c r="AB564" s="92" t="s">
        <v>83</v>
      </c>
      <c r="AC564" s="92" t="s">
        <v>83</v>
      </c>
      <c r="AD564" s="92" t="s">
        <v>83</v>
      </c>
      <c r="AE564" s="92" t="s">
        <v>83</v>
      </c>
      <c r="AF564" s="92" t="s">
        <v>83</v>
      </c>
      <c r="AG564" s="92" t="s">
        <v>83</v>
      </c>
      <c r="AH564" s="92" t="s">
        <v>83</v>
      </c>
      <c r="AI564" s="92" t="s">
        <v>83</v>
      </c>
      <c r="AJ564" s="92">
        <v>0</v>
      </c>
      <c r="AK564" s="92">
        <v>0</v>
      </c>
      <c r="AL564" s="92">
        <f>AL562</f>
        <v>0.75</v>
      </c>
      <c r="AM564" s="92">
        <f>AM562</f>
        <v>2.7E-2</v>
      </c>
      <c r="AN564" s="92">
        <f>AN562</f>
        <v>3</v>
      </c>
      <c r="AO564" s="92"/>
      <c r="AP564" s="92"/>
      <c r="AQ564" s="93">
        <f>AM564*I564*0.1+AL564</f>
        <v>0.77065499999999998</v>
      </c>
      <c r="AR564" s="93">
        <f t="shared" si="594"/>
        <v>7.7065500000000009E-2</v>
      </c>
      <c r="AS564" s="94">
        <f t="shared" si="595"/>
        <v>0</v>
      </c>
      <c r="AT564" s="94">
        <f t="shared" si="596"/>
        <v>0.211930125</v>
      </c>
      <c r="AU564" s="93">
        <f>1333*J563*POWER(10,-6)</f>
        <v>1.019745E-2</v>
      </c>
      <c r="AV564" s="94">
        <f t="shared" si="597"/>
        <v>1.0698480749999999</v>
      </c>
      <c r="AW564" s="95">
        <f t="shared" si="598"/>
        <v>0</v>
      </c>
      <c r="AX564" s="95">
        <f t="shared" si="599"/>
        <v>0</v>
      </c>
      <c r="AY564" s="95">
        <f t="shared" si="600"/>
        <v>1.0163556712499999E-5</v>
      </c>
    </row>
    <row r="565" spans="1:51" x14ac:dyDescent="0.3">
      <c r="A565" s="48" t="s">
        <v>21</v>
      </c>
      <c r="B565" s="48" t="str">
        <f>B562</f>
        <v>Нафта висбрекинга трубопровод рег. № 1003</v>
      </c>
      <c r="C565" s="166" t="s">
        <v>162</v>
      </c>
      <c r="D565" s="49" t="s">
        <v>84</v>
      </c>
      <c r="E565" s="153">
        <v>5.0000000000000004E-6</v>
      </c>
      <c r="F565" s="155">
        <f>F562</f>
        <v>125</v>
      </c>
      <c r="G565" s="48">
        <v>0.2</v>
      </c>
      <c r="H565" s="50">
        <f t="shared" si="590"/>
        <v>1.25E-4</v>
      </c>
      <c r="I565" s="149">
        <f>0.15*I562</f>
        <v>1.1475</v>
      </c>
      <c r="J565" s="149">
        <f>I565</f>
        <v>1.1475</v>
      </c>
      <c r="K565" s="161" t="s">
        <v>179</v>
      </c>
      <c r="L565" s="165">
        <v>45390</v>
      </c>
      <c r="M565" s="92" t="str">
        <f t="shared" si="591"/>
        <v>С4</v>
      </c>
      <c r="N565" s="92" t="str">
        <f t="shared" si="592"/>
        <v>Нафта висбрекинга трубопровод рег. № 1003</v>
      </c>
      <c r="O565" s="92" t="str">
        <f t="shared" si="593"/>
        <v>Частичное-пожар</v>
      </c>
      <c r="P565" s="92">
        <v>12.8</v>
      </c>
      <c r="Q565" s="92">
        <v>16.399999999999999</v>
      </c>
      <c r="R565" s="92">
        <v>21.7</v>
      </c>
      <c r="S565" s="92">
        <v>37.299999999999997</v>
      </c>
      <c r="T565" s="92" t="s">
        <v>83</v>
      </c>
      <c r="U565" s="92" t="s">
        <v>83</v>
      </c>
      <c r="V565" s="92" t="s">
        <v>83</v>
      </c>
      <c r="W565" s="92" t="s">
        <v>83</v>
      </c>
      <c r="X565" s="92" t="s">
        <v>83</v>
      </c>
      <c r="Y565" s="92" t="s">
        <v>83</v>
      </c>
      <c r="Z565" s="92" t="s">
        <v>83</v>
      </c>
      <c r="AA565" s="92" t="s">
        <v>83</v>
      </c>
      <c r="AB565" s="92" t="s">
        <v>83</v>
      </c>
      <c r="AC565" s="92" t="s">
        <v>83</v>
      </c>
      <c r="AD565" s="92" t="s">
        <v>83</v>
      </c>
      <c r="AE565" s="92" t="s">
        <v>83</v>
      </c>
      <c r="AF565" s="92" t="s">
        <v>83</v>
      </c>
      <c r="AG565" s="92" t="s">
        <v>83</v>
      </c>
      <c r="AH565" s="92" t="s">
        <v>83</v>
      </c>
      <c r="AI565" s="92" t="s">
        <v>83</v>
      </c>
      <c r="AJ565" s="92">
        <v>0</v>
      </c>
      <c r="AK565" s="92">
        <v>2</v>
      </c>
      <c r="AL565" s="92">
        <f>0.1*$AL$2</f>
        <v>7.5000000000000002E-4</v>
      </c>
      <c r="AM565" s="92">
        <f>AM562</f>
        <v>2.7E-2</v>
      </c>
      <c r="AN565" s="92">
        <f>ROUNDUP(AN562/3,0)</f>
        <v>1</v>
      </c>
      <c r="AO565" s="92"/>
      <c r="AP565" s="92"/>
      <c r="AQ565" s="93">
        <f>AM565*I565+AL565</f>
        <v>3.1732499999999997E-2</v>
      </c>
      <c r="AR565" s="93">
        <f t="shared" si="594"/>
        <v>3.1732499999999999E-3</v>
      </c>
      <c r="AS565" s="94">
        <f t="shared" si="595"/>
        <v>0.5</v>
      </c>
      <c r="AT565" s="94">
        <f t="shared" si="596"/>
        <v>0.13372643749999999</v>
      </c>
      <c r="AU565" s="93">
        <f>10068.2*J565*POWER(10,-6)</f>
        <v>1.1553259499999999E-2</v>
      </c>
      <c r="AV565" s="94">
        <f t="shared" si="597"/>
        <v>0.68018544699999994</v>
      </c>
      <c r="AW565" s="95">
        <f t="shared" si="598"/>
        <v>0</v>
      </c>
      <c r="AX565" s="95">
        <f t="shared" si="599"/>
        <v>2.5000000000000001E-4</v>
      </c>
      <c r="AY565" s="95">
        <f t="shared" si="600"/>
        <v>8.5023180874999998E-5</v>
      </c>
    </row>
    <row r="566" spans="1:51" x14ac:dyDescent="0.3">
      <c r="A566" s="48" t="s">
        <v>22</v>
      </c>
      <c r="B566" s="48" t="str">
        <f>B562</f>
        <v>Нафта висбрекинга трубопровод рег. № 1003</v>
      </c>
      <c r="C566" s="166" t="s">
        <v>190</v>
      </c>
      <c r="D566" s="49" t="s">
        <v>84</v>
      </c>
      <c r="E566" s="154">
        <f>E565</f>
        <v>5.0000000000000004E-6</v>
      </c>
      <c r="F566" s="155">
        <f>F562</f>
        <v>125</v>
      </c>
      <c r="G566" s="48">
        <v>0.04</v>
      </c>
      <c r="H566" s="50">
        <f t="shared" si="590"/>
        <v>2.5000000000000001E-5</v>
      </c>
      <c r="I566" s="149">
        <f>0.15*I562</f>
        <v>1.1475</v>
      </c>
      <c r="J566" s="149">
        <f>I565</f>
        <v>1.1475</v>
      </c>
      <c r="K566" s="161" t="s">
        <v>180</v>
      </c>
      <c r="L566" s="165">
        <v>3</v>
      </c>
      <c r="M566" s="92" t="str">
        <f t="shared" si="591"/>
        <v>С5</v>
      </c>
      <c r="N566" s="92" t="str">
        <f t="shared" si="592"/>
        <v>Нафта висбрекинга трубопровод рег. № 1003</v>
      </c>
      <c r="O566" s="92" t="str">
        <f t="shared" si="593"/>
        <v>Частичное-пожар</v>
      </c>
      <c r="P566" s="92">
        <v>12.8</v>
      </c>
      <c r="Q566" s="92">
        <v>16.399999999999999</v>
      </c>
      <c r="R566" s="92">
        <v>21.7</v>
      </c>
      <c r="S566" s="92">
        <v>37.299999999999997</v>
      </c>
      <c r="T566" s="92" t="s">
        <v>83</v>
      </c>
      <c r="U566" s="92" t="s">
        <v>83</v>
      </c>
      <c r="V566" s="92" t="s">
        <v>83</v>
      </c>
      <c r="W566" s="92" t="s">
        <v>83</v>
      </c>
      <c r="X566" s="92" t="s">
        <v>83</v>
      </c>
      <c r="Y566" s="92" t="s">
        <v>83</v>
      </c>
      <c r="Z566" s="92" t="s">
        <v>83</v>
      </c>
      <c r="AA566" s="92" t="s">
        <v>83</v>
      </c>
      <c r="AB566" s="92" t="s">
        <v>83</v>
      </c>
      <c r="AC566" s="92" t="s">
        <v>83</v>
      </c>
      <c r="AD566" s="92" t="s">
        <v>83</v>
      </c>
      <c r="AE566" s="92" t="s">
        <v>83</v>
      </c>
      <c r="AF566" s="92" t="s">
        <v>83</v>
      </c>
      <c r="AG566" s="92" t="s">
        <v>83</v>
      </c>
      <c r="AH566" s="92" t="s">
        <v>83</v>
      </c>
      <c r="AI566" s="92" t="s">
        <v>83</v>
      </c>
      <c r="AJ566" s="92">
        <v>0</v>
      </c>
      <c r="AK566" s="92">
        <v>1</v>
      </c>
      <c r="AL566" s="92">
        <f>0.1*$AL$2</f>
        <v>7.5000000000000002E-4</v>
      </c>
      <c r="AM566" s="92">
        <f>AM562</f>
        <v>2.7E-2</v>
      </c>
      <c r="AN566" s="92">
        <f>ROUNDUP(AN562/3,0)</f>
        <v>1</v>
      </c>
      <c r="AO566" s="92"/>
      <c r="AP566" s="92"/>
      <c r="AQ566" s="93">
        <f>AM566*I566+AL566</f>
        <v>3.1732499999999997E-2</v>
      </c>
      <c r="AR566" s="93">
        <f t="shared" si="594"/>
        <v>3.1732499999999999E-3</v>
      </c>
      <c r="AS566" s="94">
        <f t="shared" si="595"/>
        <v>0.25</v>
      </c>
      <c r="AT566" s="94">
        <f t="shared" si="596"/>
        <v>7.1226437500000003E-2</v>
      </c>
      <c r="AU566" s="93">
        <f>10068.2*J566*POWER(10,-6)*10</f>
        <v>0.11553259499999999</v>
      </c>
      <c r="AV566" s="94">
        <f t="shared" si="597"/>
        <v>0.47166478249999999</v>
      </c>
      <c r="AW566" s="95">
        <f t="shared" si="598"/>
        <v>0</v>
      </c>
      <c r="AX566" s="95">
        <f t="shared" si="599"/>
        <v>2.5000000000000001E-5</v>
      </c>
      <c r="AY566" s="95">
        <f t="shared" si="600"/>
        <v>1.17916195625E-5</v>
      </c>
    </row>
    <row r="567" spans="1:51" ht="15" thickBot="1" x14ac:dyDescent="0.35">
      <c r="A567" s="48" t="s">
        <v>23</v>
      </c>
      <c r="B567" s="48" t="str">
        <f>B562</f>
        <v>Нафта висбрекинга трубопровод рег. № 1003</v>
      </c>
      <c r="C567" s="166" t="s">
        <v>164</v>
      </c>
      <c r="D567" s="49" t="s">
        <v>61</v>
      </c>
      <c r="E567" s="154">
        <f>E565</f>
        <v>5.0000000000000004E-6</v>
      </c>
      <c r="F567" s="155">
        <f>F562</f>
        <v>125</v>
      </c>
      <c r="G567" s="48">
        <v>0.76</v>
      </c>
      <c r="H567" s="50">
        <f t="shared" si="590"/>
        <v>4.75E-4</v>
      </c>
      <c r="I567" s="149">
        <f>0.15*I562</f>
        <v>1.1475</v>
      </c>
      <c r="J567" s="48">
        <v>0</v>
      </c>
      <c r="K567" s="162" t="s">
        <v>191</v>
      </c>
      <c r="L567" s="168">
        <v>3</v>
      </c>
      <c r="M567" s="92" t="str">
        <f t="shared" si="591"/>
        <v>С6</v>
      </c>
      <c r="N567" s="92" t="str">
        <f t="shared" si="592"/>
        <v>Нафта висбрекинга трубопровод рег. № 1003</v>
      </c>
      <c r="O567" s="92" t="str">
        <f t="shared" si="593"/>
        <v>Частичное-ликвидация</v>
      </c>
      <c r="P567" s="92" t="s">
        <v>83</v>
      </c>
      <c r="Q567" s="92" t="s">
        <v>83</v>
      </c>
      <c r="R567" s="92" t="s">
        <v>83</v>
      </c>
      <c r="S567" s="92" t="s">
        <v>83</v>
      </c>
      <c r="T567" s="92" t="s">
        <v>83</v>
      </c>
      <c r="U567" s="92" t="s">
        <v>83</v>
      </c>
      <c r="V567" s="92" t="s">
        <v>83</v>
      </c>
      <c r="W567" s="92" t="s">
        <v>83</v>
      </c>
      <c r="X567" s="92" t="s">
        <v>83</v>
      </c>
      <c r="Y567" s="92" t="s">
        <v>83</v>
      </c>
      <c r="Z567" s="92" t="s">
        <v>83</v>
      </c>
      <c r="AA567" s="92" t="s">
        <v>83</v>
      </c>
      <c r="AB567" s="92" t="s">
        <v>83</v>
      </c>
      <c r="AC567" s="92" t="s">
        <v>83</v>
      </c>
      <c r="AD567" s="92" t="s">
        <v>83</v>
      </c>
      <c r="AE567" s="92" t="s">
        <v>83</v>
      </c>
      <c r="AF567" s="92" t="s">
        <v>83</v>
      </c>
      <c r="AG567" s="92" t="s">
        <v>83</v>
      </c>
      <c r="AH567" s="92" t="s">
        <v>83</v>
      </c>
      <c r="AI567" s="92" t="s">
        <v>83</v>
      </c>
      <c r="AJ567" s="92">
        <v>0</v>
      </c>
      <c r="AK567" s="92">
        <v>0</v>
      </c>
      <c r="AL567" s="92">
        <f>0.1*$AL$2</f>
        <v>7.5000000000000002E-4</v>
      </c>
      <c r="AM567" s="92">
        <f>AM562</f>
        <v>2.7E-2</v>
      </c>
      <c r="AN567" s="92">
        <f>ROUNDUP(AN562/3,0)</f>
        <v>1</v>
      </c>
      <c r="AO567" s="92"/>
      <c r="AP567" s="92"/>
      <c r="AQ567" s="93">
        <f>AM567*I567*0.1+AL567</f>
        <v>3.8482500000000001E-3</v>
      </c>
      <c r="AR567" s="93">
        <f t="shared" si="594"/>
        <v>3.8482500000000004E-4</v>
      </c>
      <c r="AS567" s="94">
        <f t="shared" si="595"/>
        <v>0</v>
      </c>
      <c r="AT567" s="94">
        <f t="shared" si="596"/>
        <v>1.0582687500000001E-3</v>
      </c>
      <c r="AU567" s="93">
        <f>1333*J566*POWER(10,-6)</f>
        <v>1.5296175E-3</v>
      </c>
      <c r="AV567" s="94">
        <f t="shared" si="597"/>
        <v>6.8209612500000003E-3</v>
      </c>
      <c r="AW567" s="95">
        <f t="shared" si="598"/>
        <v>0</v>
      </c>
      <c r="AX567" s="95">
        <f t="shared" si="599"/>
        <v>0</v>
      </c>
      <c r="AY567" s="95">
        <f t="shared" si="600"/>
        <v>3.2399565937500001E-6</v>
      </c>
    </row>
    <row r="568" spans="1:51" x14ac:dyDescent="0.3">
      <c r="A568" s="48"/>
      <c r="B568" s="48"/>
      <c r="C568" s="166"/>
      <c r="D568" s="49"/>
      <c r="E568" s="154"/>
      <c r="F568" s="155"/>
      <c r="G568" s="48"/>
      <c r="H568" s="50"/>
      <c r="I568" s="149"/>
      <c r="J568" s="48"/>
      <c r="K568" s="278"/>
      <c r="L568" s="279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2"/>
      <c r="AO568" s="92"/>
      <c r="AP568" s="92"/>
      <c r="AQ568" s="93"/>
      <c r="AR568" s="93"/>
      <c r="AS568" s="94"/>
      <c r="AT568" s="94"/>
      <c r="AU568" s="93"/>
      <c r="AV568" s="94"/>
      <c r="AW568" s="95"/>
      <c r="AX568" s="95"/>
      <c r="AY568" s="95"/>
    </row>
    <row r="569" spans="1:51" s="267" customFormat="1" x14ac:dyDescent="0.3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</row>
    <row r="570" spans="1:51" s="267" customFormat="1" x14ac:dyDescent="0.3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</row>
    <row r="571" spans="1:51" ht="15" thickBot="1" x14ac:dyDescent="0.35"/>
    <row r="572" spans="1:51" s="179" customFormat="1" ht="15" thickBot="1" x14ac:dyDescent="0.35">
      <c r="A572" s="169" t="s">
        <v>18</v>
      </c>
      <c r="B572" s="170" t="s">
        <v>648</v>
      </c>
      <c r="C572" s="171" t="s">
        <v>196</v>
      </c>
      <c r="D572" s="172" t="s">
        <v>59</v>
      </c>
      <c r="E572" s="173">
        <v>1.0000000000000001E-5</v>
      </c>
      <c r="F572" s="170">
        <v>1</v>
      </c>
      <c r="G572" s="169">
        <v>0.1</v>
      </c>
      <c r="H572" s="174">
        <f t="shared" ref="H572:H577" si="601">E572*F572*G572</f>
        <v>1.0000000000000002E-6</v>
      </c>
      <c r="I572" s="175">
        <v>1704</v>
      </c>
      <c r="J572" s="176">
        <f>I572</f>
        <v>1704</v>
      </c>
      <c r="K572" s="177" t="s">
        <v>175</v>
      </c>
      <c r="L572" s="178">
        <v>2700</v>
      </c>
      <c r="M572" s="179" t="str">
        <f t="shared" ref="M572:M577" si="602">A572</f>
        <v>С1</v>
      </c>
      <c r="N572" s="179" t="str">
        <f t="shared" ref="N572:N577" si="603">B572</f>
        <v>Резервуар РВС (8251Т0001)</v>
      </c>
      <c r="O572" s="179" t="str">
        <f t="shared" ref="O572:O577" si="604">D572</f>
        <v>Полное-пожар</v>
      </c>
      <c r="P572" s="179">
        <v>47.1</v>
      </c>
      <c r="Q572" s="179">
        <v>64.099999999999994</v>
      </c>
      <c r="R572" s="179">
        <v>90.1</v>
      </c>
      <c r="S572" s="179">
        <v>161.69999999999999</v>
      </c>
      <c r="T572" s="179" t="s">
        <v>83</v>
      </c>
      <c r="U572" s="179" t="s">
        <v>83</v>
      </c>
      <c r="V572" s="179" t="s">
        <v>83</v>
      </c>
      <c r="W572" s="179" t="s">
        <v>83</v>
      </c>
      <c r="X572" s="179" t="s">
        <v>83</v>
      </c>
      <c r="Y572" s="179" t="s">
        <v>83</v>
      </c>
      <c r="Z572" s="179" t="s">
        <v>83</v>
      </c>
      <c r="AA572" s="179" t="s">
        <v>83</v>
      </c>
      <c r="AB572" s="179" t="s">
        <v>83</v>
      </c>
      <c r="AC572" s="179" t="s">
        <v>83</v>
      </c>
      <c r="AD572" s="179" t="s">
        <v>83</v>
      </c>
      <c r="AE572" s="179" t="s">
        <v>83</v>
      </c>
      <c r="AF572" s="179" t="s">
        <v>83</v>
      </c>
      <c r="AG572" s="179" t="s">
        <v>83</v>
      </c>
      <c r="AH572" s="179" t="s">
        <v>83</v>
      </c>
      <c r="AI572" s="179" t="s">
        <v>83</v>
      </c>
      <c r="AJ572" s="180">
        <v>1</v>
      </c>
      <c r="AK572" s="180">
        <v>2</v>
      </c>
      <c r="AL572" s="181">
        <v>0.75</v>
      </c>
      <c r="AM572" s="181">
        <v>2.7E-2</v>
      </c>
      <c r="AN572" s="181">
        <v>3</v>
      </c>
      <c r="AQ572" s="182">
        <f>AM572*I572+AL572</f>
        <v>46.758000000000003</v>
      </c>
      <c r="AR572" s="182">
        <f t="shared" ref="AR572:AR577" si="605">0.1*AQ572</f>
        <v>4.6758000000000006</v>
      </c>
      <c r="AS572" s="183">
        <f t="shared" ref="AS572:AS577" si="606">AJ572*3+0.25*AK572</f>
        <v>3.5</v>
      </c>
      <c r="AT572" s="183">
        <f t="shared" ref="AT572:AT577" si="607">SUM(AQ572:AS572)/4</f>
        <v>13.733450000000001</v>
      </c>
      <c r="AU572" s="182">
        <f>10068.2*J572*POWER(10,-6)</f>
        <v>17.156212799999999</v>
      </c>
      <c r="AV572" s="183">
        <f t="shared" ref="AV572:AV577" si="608">AU572+AT572+AS572+AR572+AQ572</f>
        <v>85.823462800000001</v>
      </c>
      <c r="AW572" s="184">
        <f t="shared" ref="AW572:AW577" si="609">AJ572*H572</f>
        <v>1.0000000000000002E-6</v>
      </c>
      <c r="AX572" s="184">
        <f t="shared" ref="AX572:AX577" si="610">H572*AK572</f>
        <v>2.0000000000000003E-6</v>
      </c>
      <c r="AY572" s="184">
        <f t="shared" ref="AY572:AY577" si="611">H572*AV572</f>
        <v>8.5823462800000018E-5</v>
      </c>
    </row>
    <row r="573" spans="1:51" s="179" customFormat="1" ht="15" thickBot="1" x14ac:dyDescent="0.35">
      <c r="A573" s="169" t="s">
        <v>19</v>
      </c>
      <c r="B573" s="169" t="str">
        <f>B572</f>
        <v>Резервуар РВС (8251Т0001)</v>
      </c>
      <c r="C573" s="171" t="s">
        <v>197</v>
      </c>
      <c r="D573" s="172" t="s">
        <v>62</v>
      </c>
      <c r="E573" s="185">
        <f>E572</f>
        <v>1.0000000000000001E-5</v>
      </c>
      <c r="F573" s="186">
        <f>F572</f>
        <v>1</v>
      </c>
      <c r="G573" s="169">
        <v>0.18000000000000002</v>
      </c>
      <c r="H573" s="174">
        <f t="shared" si="601"/>
        <v>1.8000000000000003E-6</v>
      </c>
      <c r="I573" s="187">
        <f>I572</f>
        <v>1704</v>
      </c>
      <c r="J573" s="418">
        <f>POWER(10,-6)*55*SQRT(100)*3600*L572/1000*0.05</f>
        <v>0.26729999999999998</v>
      </c>
      <c r="K573" s="177" t="s">
        <v>176</v>
      </c>
      <c r="L573" s="178">
        <v>0</v>
      </c>
      <c r="M573" s="179" t="str">
        <f t="shared" si="602"/>
        <v>С2</v>
      </c>
      <c r="N573" s="179" t="str">
        <f t="shared" si="603"/>
        <v>Резервуар РВС (8251Т0001)</v>
      </c>
      <c r="O573" s="179" t="str">
        <f t="shared" si="604"/>
        <v>Полное-взрыв</v>
      </c>
      <c r="P573" s="179" t="s">
        <v>83</v>
      </c>
      <c r="Q573" s="179" t="s">
        <v>83</v>
      </c>
      <c r="R573" s="179" t="s">
        <v>83</v>
      </c>
      <c r="S573" s="179" t="s">
        <v>83</v>
      </c>
      <c r="T573" s="179">
        <v>0</v>
      </c>
      <c r="U573" s="179">
        <v>0</v>
      </c>
      <c r="V573" s="179">
        <v>64.599999999999994</v>
      </c>
      <c r="W573" s="179">
        <v>216.1</v>
      </c>
      <c r="X573" s="179">
        <v>562.6</v>
      </c>
      <c r="Y573" s="179" t="s">
        <v>83</v>
      </c>
      <c r="Z573" s="179" t="s">
        <v>83</v>
      </c>
      <c r="AA573" s="179" t="s">
        <v>83</v>
      </c>
      <c r="AB573" s="179" t="s">
        <v>83</v>
      </c>
      <c r="AC573" s="179" t="s">
        <v>83</v>
      </c>
      <c r="AD573" s="179" t="s">
        <v>83</v>
      </c>
      <c r="AE573" s="179" t="s">
        <v>83</v>
      </c>
      <c r="AF573" s="179" t="s">
        <v>83</v>
      </c>
      <c r="AG573" s="179" t="s">
        <v>83</v>
      </c>
      <c r="AH573" s="179" t="s">
        <v>83</v>
      </c>
      <c r="AI573" s="179" t="s">
        <v>83</v>
      </c>
      <c r="AJ573" s="180">
        <v>2</v>
      </c>
      <c r="AK573" s="180">
        <v>2</v>
      </c>
      <c r="AL573" s="179">
        <f>AL572</f>
        <v>0.75</v>
      </c>
      <c r="AM573" s="179">
        <f>AM572</f>
        <v>2.7E-2</v>
      </c>
      <c r="AN573" s="179">
        <f>AN572</f>
        <v>3</v>
      </c>
      <c r="AQ573" s="182">
        <f>AM573*I573+AL573</f>
        <v>46.758000000000003</v>
      </c>
      <c r="AR573" s="182">
        <f t="shared" si="605"/>
        <v>4.6758000000000006</v>
      </c>
      <c r="AS573" s="183">
        <f t="shared" si="606"/>
        <v>6.5</v>
      </c>
      <c r="AT573" s="183">
        <f t="shared" si="607"/>
        <v>14.483450000000001</v>
      </c>
      <c r="AU573" s="182">
        <f>10068.2*J573*POWER(10,-6)*10</f>
        <v>2.6912298599999999E-2</v>
      </c>
      <c r="AV573" s="183">
        <f t="shared" si="608"/>
        <v>72.444162298600006</v>
      </c>
      <c r="AW573" s="184">
        <f t="shared" si="609"/>
        <v>3.6000000000000007E-6</v>
      </c>
      <c r="AX573" s="184">
        <f t="shared" si="610"/>
        <v>3.6000000000000007E-6</v>
      </c>
      <c r="AY573" s="184">
        <f t="shared" si="611"/>
        <v>1.3039949213748003E-4</v>
      </c>
    </row>
    <row r="574" spans="1:51" s="179" customFormat="1" x14ac:dyDescent="0.3">
      <c r="A574" s="169" t="s">
        <v>20</v>
      </c>
      <c r="B574" s="169" t="str">
        <f>B572</f>
        <v>Резервуар РВС (8251Т0001)</v>
      </c>
      <c r="C574" s="171" t="s">
        <v>198</v>
      </c>
      <c r="D574" s="172" t="s">
        <v>60</v>
      </c>
      <c r="E574" s="185">
        <f>E572</f>
        <v>1.0000000000000001E-5</v>
      </c>
      <c r="F574" s="186">
        <f>F572</f>
        <v>1</v>
      </c>
      <c r="G574" s="169">
        <v>0.72000000000000008</v>
      </c>
      <c r="H574" s="174">
        <f t="shared" si="601"/>
        <v>7.2000000000000014E-6</v>
      </c>
      <c r="I574" s="187">
        <f>I572</f>
        <v>1704</v>
      </c>
      <c r="J574" s="189">
        <v>0</v>
      </c>
      <c r="K574" s="177" t="s">
        <v>177</v>
      </c>
      <c r="L574" s="178">
        <v>0</v>
      </c>
      <c r="M574" s="179" t="str">
        <f t="shared" si="602"/>
        <v>С3</v>
      </c>
      <c r="N574" s="179" t="str">
        <f t="shared" si="603"/>
        <v>Резервуар РВС (8251Т0001)</v>
      </c>
      <c r="O574" s="179" t="str">
        <f t="shared" si="604"/>
        <v>Полное-ликвидация</v>
      </c>
      <c r="P574" s="179" t="s">
        <v>83</v>
      </c>
      <c r="Q574" s="179" t="s">
        <v>83</v>
      </c>
      <c r="R574" s="179" t="s">
        <v>83</v>
      </c>
      <c r="S574" s="179" t="s">
        <v>83</v>
      </c>
      <c r="T574" s="179" t="s">
        <v>83</v>
      </c>
      <c r="U574" s="179" t="s">
        <v>83</v>
      </c>
      <c r="V574" s="179" t="s">
        <v>83</v>
      </c>
      <c r="W574" s="179" t="s">
        <v>83</v>
      </c>
      <c r="X574" s="179" t="s">
        <v>83</v>
      </c>
      <c r="Y574" s="179" t="s">
        <v>83</v>
      </c>
      <c r="Z574" s="179" t="s">
        <v>83</v>
      </c>
      <c r="AA574" s="179" t="s">
        <v>83</v>
      </c>
      <c r="AB574" s="179" t="s">
        <v>83</v>
      </c>
      <c r="AC574" s="179" t="s">
        <v>83</v>
      </c>
      <c r="AD574" s="179" t="s">
        <v>83</v>
      </c>
      <c r="AE574" s="179" t="s">
        <v>83</v>
      </c>
      <c r="AF574" s="179" t="s">
        <v>83</v>
      </c>
      <c r="AG574" s="179" t="s">
        <v>83</v>
      </c>
      <c r="AH574" s="179" t="s">
        <v>83</v>
      </c>
      <c r="AI574" s="179" t="s">
        <v>83</v>
      </c>
      <c r="AJ574" s="179">
        <v>0</v>
      </c>
      <c r="AK574" s="179">
        <v>0</v>
      </c>
      <c r="AL574" s="179">
        <f>AL572</f>
        <v>0.75</v>
      </c>
      <c r="AM574" s="179">
        <f>AM572</f>
        <v>2.7E-2</v>
      </c>
      <c r="AN574" s="179">
        <f>AN572</f>
        <v>3</v>
      </c>
      <c r="AQ574" s="182">
        <f>AM574*I574*0.1+AL574</f>
        <v>5.3508000000000004</v>
      </c>
      <c r="AR574" s="182">
        <f t="shared" si="605"/>
        <v>0.53508000000000011</v>
      </c>
      <c r="AS574" s="183">
        <f t="shared" si="606"/>
        <v>0</v>
      </c>
      <c r="AT574" s="183">
        <f t="shared" si="607"/>
        <v>1.4714700000000001</v>
      </c>
      <c r="AU574" s="182">
        <f>1333*J573*POWER(10,-6)</f>
        <v>3.5631089999999996E-4</v>
      </c>
      <c r="AV574" s="183">
        <f t="shared" si="608"/>
        <v>7.3577063109000012</v>
      </c>
      <c r="AW574" s="184">
        <f t="shared" si="609"/>
        <v>0</v>
      </c>
      <c r="AX574" s="184">
        <f t="shared" si="610"/>
        <v>0</v>
      </c>
      <c r="AY574" s="184">
        <f t="shared" si="611"/>
        <v>5.2975485438480016E-5</v>
      </c>
    </row>
    <row r="575" spans="1:51" s="179" customFormat="1" x14ac:dyDescent="0.3">
      <c r="A575" s="169" t="s">
        <v>21</v>
      </c>
      <c r="B575" s="169" t="str">
        <f>B572</f>
        <v>Резервуар РВС (8251Т0001)</v>
      </c>
      <c r="C575" s="171" t="s">
        <v>199</v>
      </c>
      <c r="D575" s="172" t="s">
        <v>84</v>
      </c>
      <c r="E575" s="173">
        <v>1E-4</v>
      </c>
      <c r="F575" s="186">
        <f>F572</f>
        <v>1</v>
      </c>
      <c r="G575" s="169">
        <v>0.1</v>
      </c>
      <c r="H575" s="174">
        <f t="shared" si="601"/>
        <v>1.0000000000000001E-5</v>
      </c>
      <c r="I575" s="187">
        <f>0.15*I572</f>
        <v>255.6</v>
      </c>
      <c r="J575" s="176">
        <f>I575</f>
        <v>255.6</v>
      </c>
      <c r="K575" s="190" t="s">
        <v>179</v>
      </c>
      <c r="L575" s="191">
        <v>45390</v>
      </c>
      <c r="M575" s="179" t="str">
        <f t="shared" si="602"/>
        <v>С4</v>
      </c>
      <c r="N575" s="179" t="str">
        <f t="shared" si="603"/>
        <v>Резервуар РВС (8251Т0001)</v>
      </c>
      <c r="O575" s="179" t="str">
        <f t="shared" si="604"/>
        <v>Частичное-пожар</v>
      </c>
      <c r="P575" s="179">
        <v>18.600000000000001</v>
      </c>
      <c r="Q575" s="179">
        <v>25.8</v>
      </c>
      <c r="R575" s="179">
        <v>36.9</v>
      </c>
      <c r="S575" s="179">
        <v>68.8</v>
      </c>
      <c r="T575" s="179" t="s">
        <v>83</v>
      </c>
      <c r="U575" s="179" t="s">
        <v>83</v>
      </c>
      <c r="V575" s="179" t="s">
        <v>83</v>
      </c>
      <c r="W575" s="179" t="s">
        <v>83</v>
      </c>
      <c r="X575" s="179" t="s">
        <v>83</v>
      </c>
      <c r="Y575" s="179" t="s">
        <v>83</v>
      </c>
      <c r="Z575" s="179" t="s">
        <v>83</v>
      </c>
      <c r="AA575" s="179" t="s">
        <v>83</v>
      </c>
      <c r="AB575" s="179" t="s">
        <v>83</v>
      </c>
      <c r="AC575" s="179" t="s">
        <v>83</v>
      </c>
      <c r="AD575" s="179" t="s">
        <v>83</v>
      </c>
      <c r="AE575" s="179" t="s">
        <v>83</v>
      </c>
      <c r="AF575" s="179" t="s">
        <v>83</v>
      </c>
      <c r="AG575" s="179" t="s">
        <v>83</v>
      </c>
      <c r="AH575" s="179" t="s">
        <v>83</v>
      </c>
      <c r="AI575" s="179" t="s">
        <v>83</v>
      </c>
      <c r="AJ575" s="179">
        <v>0</v>
      </c>
      <c r="AK575" s="179">
        <v>2</v>
      </c>
      <c r="AL575" s="179">
        <f>0.1*$AL$2</f>
        <v>7.5000000000000002E-4</v>
      </c>
      <c r="AM575" s="179">
        <f>AM572</f>
        <v>2.7E-2</v>
      </c>
      <c r="AN575" s="179">
        <f>ROUNDUP(AN572/3,0)</f>
        <v>1</v>
      </c>
      <c r="AQ575" s="182">
        <f>AM575*I575+AL575</f>
        <v>6.9019499999999994</v>
      </c>
      <c r="AR575" s="182">
        <f t="shared" si="605"/>
        <v>0.690195</v>
      </c>
      <c r="AS575" s="183">
        <f t="shared" si="606"/>
        <v>0.5</v>
      </c>
      <c r="AT575" s="183">
        <f t="shared" si="607"/>
        <v>2.0230362499999996</v>
      </c>
      <c r="AU575" s="182">
        <f>10068.2*J575*POWER(10,-6)</f>
        <v>2.57343192</v>
      </c>
      <c r="AV575" s="183">
        <f t="shared" si="608"/>
        <v>12.68861317</v>
      </c>
      <c r="AW575" s="184">
        <f t="shared" si="609"/>
        <v>0</v>
      </c>
      <c r="AX575" s="184">
        <f t="shared" si="610"/>
        <v>2.0000000000000002E-5</v>
      </c>
      <c r="AY575" s="184">
        <f t="shared" si="611"/>
        <v>1.2688613170000002E-4</v>
      </c>
    </row>
    <row r="576" spans="1:51" s="179" customFormat="1" x14ac:dyDescent="0.3">
      <c r="A576" s="169" t="s">
        <v>22</v>
      </c>
      <c r="B576" s="169" t="str">
        <f>B572</f>
        <v>Резервуар РВС (8251Т0001)</v>
      </c>
      <c r="C576" s="171" t="s">
        <v>200</v>
      </c>
      <c r="D576" s="172" t="s">
        <v>165</v>
      </c>
      <c r="E576" s="185">
        <f>E575</f>
        <v>1E-4</v>
      </c>
      <c r="F576" s="186">
        <f>F572</f>
        <v>1</v>
      </c>
      <c r="G576" s="169">
        <v>4.5000000000000005E-2</v>
      </c>
      <c r="H576" s="174">
        <f t="shared" si="601"/>
        <v>4.500000000000001E-6</v>
      </c>
      <c r="I576" s="187">
        <f>0.15*I572</f>
        <v>255.6</v>
      </c>
      <c r="J576" s="176">
        <f>0.15*J573</f>
        <v>4.0094999999999999E-2</v>
      </c>
      <c r="K576" s="190" t="s">
        <v>180</v>
      </c>
      <c r="L576" s="191">
        <v>3</v>
      </c>
      <c r="M576" s="179" t="str">
        <f t="shared" si="602"/>
        <v>С5</v>
      </c>
      <c r="N576" s="179" t="str">
        <f t="shared" si="603"/>
        <v>Резервуар РВС (8251Т0001)</v>
      </c>
      <c r="O576" s="179" t="str">
        <f t="shared" si="604"/>
        <v>Частичное-пожар-вспышка</v>
      </c>
      <c r="P576" s="179" t="s">
        <v>83</v>
      </c>
      <c r="Q576" s="179" t="s">
        <v>83</v>
      </c>
      <c r="R576" s="179" t="s">
        <v>83</v>
      </c>
      <c r="S576" s="179" t="s">
        <v>83</v>
      </c>
      <c r="T576" s="179" t="s">
        <v>83</v>
      </c>
      <c r="U576" s="179" t="s">
        <v>83</v>
      </c>
      <c r="V576" s="179" t="s">
        <v>83</v>
      </c>
      <c r="W576" s="179" t="s">
        <v>83</v>
      </c>
      <c r="X576" s="179" t="s">
        <v>83</v>
      </c>
      <c r="Y576" s="179" t="s">
        <v>83</v>
      </c>
      <c r="Z576" s="179" t="s">
        <v>83</v>
      </c>
      <c r="AA576" s="179">
        <v>15.35</v>
      </c>
      <c r="AB576" s="179">
        <v>18.420000000000002</v>
      </c>
      <c r="AC576" s="179" t="s">
        <v>83</v>
      </c>
      <c r="AD576" s="179" t="s">
        <v>83</v>
      </c>
      <c r="AE576" s="179" t="s">
        <v>83</v>
      </c>
      <c r="AF576" s="179" t="s">
        <v>83</v>
      </c>
      <c r="AG576" s="179" t="s">
        <v>83</v>
      </c>
      <c r="AH576" s="179" t="s">
        <v>83</v>
      </c>
      <c r="AI576" s="179" t="s">
        <v>83</v>
      </c>
      <c r="AJ576" s="179">
        <v>0</v>
      </c>
      <c r="AK576" s="179">
        <v>1</v>
      </c>
      <c r="AL576" s="179">
        <f>0.1*$AL$2</f>
        <v>7.5000000000000002E-4</v>
      </c>
      <c r="AM576" s="179">
        <f>AM572</f>
        <v>2.7E-2</v>
      </c>
      <c r="AN576" s="179">
        <f>ROUNDUP(AN572/3,0)</f>
        <v>1</v>
      </c>
      <c r="AQ576" s="182">
        <f>AM576*I576+AL576</f>
        <v>6.9019499999999994</v>
      </c>
      <c r="AR576" s="182">
        <f t="shared" si="605"/>
        <v>0.690195</v>
      </c>
      <c r="AS576" s="183">
        <f t="shared" si="606"/>
        <v>0.25</v>
      </c>
      <c r="AT576" s="183">
        <f t="shared" si="607"/>
        <v>1.9605362499999999</v>
      </c>
      <c r="AU576" s="182">
        <f>10068.2*J576*POWER(10,-6)*10</f>
        <v>4.0368447899999998E-3</v>
      </c>
      <c r="AV576" s="183">
        <f t="shared" si="608"/>
        <v>9.8067180947899999</v>
      </c>
      <c r="AW576" s="184">
        <f t="shared" si="609"/>
        <v>0</v>
      </c>
      <c r="AX576" s="184">
        <f t="shared" si="610"/>
        <v>4.500000000000001E-6</v>
      </c>
      <c r="AY576" s="184">
        <f t="shared" si="611"/>
        <v>4.4130231426555009E-5</v>
      </c>
    </row>
    <row r="577" spans="1:51" s="179" customFormat="1" ht="15" thickBot="1" x14ac:dyDescent="0.35">
      <c r="A577" s="169" t="s">
        <v>23</v>
      </c>
      <c r="B577" s="169" t="str">
        <f>B572</f>
        <v>Резервуар РВС (8251Т0001)</v>
      </c>
      <c r="C577" s="171" t="s">
        <v>201</v>
      </c>
      <c r="D577" s="172" t="s">
        <v>61</v>
      </c>
      <c r="E577" s="185">
        <f>E575</f>
        <v>1E-4</v>
      </c>
      <c r="F577" s="186">
        <f>F572</f>
        <v>1</v>
      </c>
      <c r="G577" s="169">
        <v>0.85499999999999998</v>
      </c>
      <c r="H577" s="174">
        <f t="shared" si="601"/>
        <v>8.5500000000000005E-5</v>
      </c>
      <c r="I577" s="187">
        <f>0.15*I572</f>
        <v>255.6</v>
      </c>
      <c r="J577" s="189">
        <v>0</v>
      </c>
      <c r="K577" s="192" t="s">
        <v>191</v>
      </c>
      <c r="L577" s="192">
        <v>9</v>
      </c>
      <c r="M577" s="179" t="str">
        <f t="shared" si="602"/>
        <v>С6</v>
      </c>
      <c r="N577" s="179" t="str">
        <f t="shared" si="603"/>
        <v>Резервуар РВС (8251Т0001)</v>
      </c>
      <c r="O577" s="179" t="str">
        <f t="shared" si="604"/>
        <v>Частичное-ликвидация</v>
      </c>
      <c r="P577" s="179" t="s">
        <v>83</v>
      </c>
      <c r="Q577" s="179" t="s">
        <v>83</v>
      </c>
      <c r="R577" s="179" t="s">
        <v>83</v>
      </c>
      <c r="S577" s="179" t="s">
        <v>83</v>
      </c>
      <c r="T577" s="179" t="s">
        <v>83</v>
      </c>
      <c r="U577" s="179" t="s">
        <v>83</v>
      </c>
      <c r="V577" s="179" t="s">
        <v>83</v>
      </c>
      <c r="W577" s="179" t="s">
        <v>83</v>
      </c>
      <c r="X577" s="179" t="s">
        <v>83</v>
      </c>
      <c r="Y577" s="179" t="s">
        <v>83</v>
      </c>
      <c r="Z577" s="179" t="s">
        <v>83</v>
      </c>
      <c r="AA577" s="179" t="s">
        <v>83</v>
      </c>
      <c r="AB577" s="179" t="s">
        <v>83</v>
      </c>
      <c r="AC577" s="179" t="s">
        <v>83</v>
      </c>
      <c r="AD577" s="179" t="s">
        <v>83</v>
      </c>
      <c r="AE577" s="179" t="s">
        <v>83</v>
      </c>
      <c r="AF577" s="179" t="s">
        <v>83</v>
      </c>
      <c r="AG577" s="179" t="s">
        <v>83</v>
      </c>
      <c r="AH577" s="179" t="s">
        <v>83</v>
      </c>
      <c r="AI577" s="179" t="s">
        <v>83</v>
      </c>
      <c r="AJ577" s="179">
        <v>0</v>
      </c>
      <c r="AK577" s="179">
        <v>0</v>
      </c>
      <c r="AL577" s="179">
        <f>0.1*$AL$2</f>
        <v>7.5000000000000002E-4</v>
      </c>
      <c r="AM577" s="179">
        <f>AM572</f>
        <v>2.7E-2</v>
      </c>
      <c r="AN577" s="179">
        <f>ROUNDUP(AN572/3,0)</f>
        <v>1</v>
      </c>
      <c r="AQ577" s="182">
        <f>AM577*I577*0.1+AL577</f>
        <v>0.69086999999999998</v>
      </c>
      <c r="AR577" s="182">
        <f t="shared" si="605"/>
        <v>6.9086999999999996E-2</v>
      </c>
      <c r="AS577" s="183">
        <f t="shared" si="606"/>
        <v>0</v>
      </c>
      <c r="AT577" s="183">
        <f t="shared" si="607"/>
        <v>0.18998925</v>
      </c>
      <c r="AU577" s="182">
        <f>1333*J576*POWER(10,-6)</f>
        <v>5.3446635E-5</v>
      </c>
      <c r="AV577" s="183">
        <f t="shared" si="608"/>
        <v>0.94999969663499995</v>
      </c>
      <c r="AW577" s="184">
        <f t="shared" si="609"/>
        <v>0</v>
      </c>
      <c r="AX577" s="184">
        <f t="shared" si="610"/>
        <v>0</v>
      </c>
      <c r="AY577" s="184">
        <f t="shared" si="611"/>
        <v>8.1224974062292502E-5</v>
      </c>
    </row>
    <row r="578" spans="1:51" s="179" customFormat="1" x14ac:dyDescent="0.3">
      <c r="A578" s="180"/>
      <c r="B578" s="180"/>
      <c r="D578" s="271"/>
      <c r="E578" s="272"/>
      <c r="F578" s="273"/>
      <c r="G578" s="180"/>
      <c r="H578" s="184"/>
      <c r="I578" s="183"/>
      <c r="J578" s="180"/>
      <c r="K578" s="180"/>
      <c r="L578" s="180"/>
      <c r="AQ578" s="182"/>
      <c r="AR578" s="182"/>
      <c r="AS578" s="183"/>
      <c r="AT578" s="183"/>
      <c r="AU578" s="182"/>
      <c r="AV578" s="183"/>
      <c r="AW578" s="184"/>
      <c r="AX578" s="184"/>
      <c r="AY578" s="184"/>
    </row>
    <row r="579" spans="1:51" s="179" customFormat="1" x14ac:dyDescent="0.3">
      <c r="A579" s="180"/>
      <c r="B579" s="180"/>
      <c r="D579" s="271"/>
      <c r="E579" s="272"/>
      <c r="F579" s="273"/>
      <c r="G579" s="180"/>
      <c r="H579" s="184"/>
      <c r="I579" s="183"/>
      <c r="J579" s="180"/>
      <c r="K579" s="180"/>
      <c r="L579" s="180"/>
      <c r="AQ579" s="182"/>
      <c r="AR579" s="182"/>
      <c r="AS579" s="183"/>
      <c r="AT579" s="183"/>
      <c r="AU579" s="182"/>
      <c r="AV579" s="183"/>
      <c r="AW579" s="184"/>
      <c r="AX579" s="184"/>
      <c r="AY579" s="184"/>
    </row>
    <row r="580" spans="1:51" s="179" customFormat="1" x14ac:dyDescent="0.3">
      <c r="A580" s="180"/>
      <c r="B580" s="180"/>
      <c r="D580" s="271"/>
      <c r="E580" s="272"/>
      <c r="F580" s="273"/>
      <c r="G580" s="180"/>
      <c r="H580" s="184"/>
      <c r="I580" s="183"/>
      <c r="J580" s="180"/>
      <c r="K580" s="180"/>
      <c r="L580" s="180"/>
      <c r="AQ580" s="182"/>
      <c r="AR580" s="182"/>
      <c r="AS580" s="183"/>
      <c r="AT580" s="183"/>
      <c r="AU580" s="182"/>
      <c r="AV580" s="183"/>
      <c r="AW580" s="184"/>
      <c r="AX580" s="184"/>
      <c r="AY580" s="184"/>
    </row>
    <row r="581" spans="1:51" ht="15" thickBot="1" x14ac:dyDescent="0.35"/>
    <row r="582" spans="1:51" ht="15" thickBot="1" x14ac:dyDescent="0.35">
      <c r="A582" s="48" t="s">
        <v>18</v>
      </c>
      <c r="B582" s="150" t="s">
        <v>649</v>
      </c>
      <c r="C582" s="166" t="s">
        <v>159</v>
      </c>
      <c r="D582" s="49" t="s">
        <v>59</v>
      </c>
      <c r="E582" s="153">
        <v>2.9999999999999999E-7</v>
      </c>
      <c r="F582" s="150">
        <v>950</v>
      </c>
      <c r="G582" s="48">
        <v>0.2</v>
      </c>
      <c r="H582" s="50">
        <f t="shared" ref="H582:H587" si="612">E582*F582*G582</f>
        <v>5.7000000000000003E-5</v>
      </c>
      <c r="I582" s="151">
        <v>9.7799999999999994</v>
      </c>
      <c r="J582" s="156">
        <f>I582</f>
        <v>9.7799999999999994</v>
      </c>
      <c r="K582" s="159" t="s">
        <v>175</v>
      </c>
      <c r="L582" s="164">
        <f>I582*20</f>
        <v>195.6</v>
      </c>
      <c r="M582" s="92" t="str">
        <f t="shared" ref="M582:M587" si="613">A582</f>
        <v>С1</v>
      </c>
      <c r="N582" s="92" t="str">
        <f t="shared" ref="N582:N587" si="614">B582</f>
        <v>Трубопровод транспортировки бензина ККФ (P) рег. № 2389</v>
      </c>
      <c r="O582" s="92" t="str">
        <f t="shared" ref="O582:O587" si="615">D582</f>
        <v>Полное-пожар</v>
      </c>
      <c r="P582" s="92">
        <v>38.799999999999997</v>
      </c>
      <c r="Q582" s="92">
        <v>53.1</v>
      </c>
      <c r="R582" s="92">
        <v>75.3</v>
      </c>
      <c r="S582" s="92">
        <v>137</v>
      </c>
      <c r="T582" s="92" t="s">
        <v>83</v>
      </c>
      <c r="U582" s="92" t="s">
        <v>83</v>
      </c>
      <c r="V582" s="92" t="s">
        <v>83</v>
      </c>
      <c r="W582" s="92" t="s">
        <v>83</v>
      </c>
      <c r="X582" s="92" t="s">
        <v>83</v>
      </c>
      <c r="Y582" s="92" t="s">
        <v>83</v>
      </c>
      <c r="Z582" s="92" t="s">
        <v>83</v>
      </c>
      <c r="AA582" s="92" t="s">
        <v>83</v>
      </c>
      <c r="AB582" s="92" t="s">
        <v>83</v>
      </c>
      <c r="AC582" s="92" t="s">
        <v>83</v>
      </c>
      <c r="AD582" s="92" t="s">
        <v>83</v>
      </c>
      <c r="AE582" s="92" t="s">
        <v>83</v>
      </c>
      <c r="AF582" s="92" t="s">
        <v>83</v>
      </c>
      <c r="AG582" s="92" t="s">
        <v>83</v>
      </c>
      <c r="AH582" s="92" t="s">
        <v>83</v>
      </c>
      <c r="AI582" s="92" t="s">
        <v>83</v>
      </c>
      <c r="AJ582" s="52">
        <v>1</v>
      </c>
      <c r="AK582" s="52">
        <v>1</v>
      </c>
      <c r="AL582" s="152">
        <f>0.75*F582/1000</f>
        <v>0.71250000000000002</v>
      </c>
      <c r="AM582" s="152">
        <v>2.7E-2</v>
      </c>
      <c r="AN582" s="152">
        <v>3</v>
      </c>
      <c r="AO582" s="92"/>
      <c r="AP582" s="92"/>
      <c r="AQ582" s="93">
        <f>AM582*I582+AL582</f>
        <v>0.97655999999999998</v>
      </c>
      <c r="AR582" s="93">
        <f t="shared" ref="AR582:AR587" si="616">0.1*AQ582</f>
        <v>9.7656000000000007E-2</v>
      </c>
      <c r="AS582" s="94">
        <f t="shared" ref="AS582:AS587" si="617">AJ582*3+0.25*AK582</f>
        <v>3.25</v>
      </c>
      <c r="AT582" s="94">
        <f t="shared" ref="AT582:AT587" si="618">SUM(AQ582:AS582)/4</f>
        <v>1.081054</v>
      </c>
      <c r="AU582" s="93">
        <f>10068.2*J582*POWER(10,-6)</f>
        <v>9.8466996000000001E-2</v>
      </c>
      <c r="AV582" s="94">
        <f t="shared" ref="AV582:AV587" si="619">AU582+AT582+AS582+AR582+AQ582</f>
        <v>5.5037369959999998</v>
      </c>
      <c r="AW582" s="95">
        <f t="shared" ref="AW582:AW587" si="620">AJ582*H582</f>
        <v>5.7000000000000003E-5</v>
      </c>
      <c r="AX582" s="95">
        <f t="shared" ref="AX582:AX587" si="621">H582*AK582</f>
        <v>5.7000000000000003E-5</v>
      </c>
      <c r="AY582" s="95">
        <f t="shared" ref="AY582:AY587" si="622">H582*AV582</f>
        <v>3.1371300877200002E-4</v>
      </c>
    </row>
    <row r="583" spans="1:51" ht="15" thickBot="1" x14ac:dyDescent="0.35">
      <c r="A583" s="48" t="s">
        <v>19</v>
      </c>
      <c r="B583" s="48" t="str">
        <f>B582</f>
        <v>Трубопровод транспортировки бензина ККФ (P) рег. № 2389</v>
      </c>
      <c r="C583" s="166" t="s">
        <v>160</v>
      </c>
      <c r="D583" s="49" t="s">
        <v>62</v>
      </c>
      <c r="E583" s="154">
        <f>E582</f>
        <v>2.9999999999999999E-7</v>
      </c>
      <c r="F583" s="155">
        <f>F582</f>
        <v>950</v>
      </c>
      <c r="G583" s="48">
        <v>0.04</v>
      </c>
      <c r="H583" s="50">
        <f t="shared" si="612"/>
        <v>1.1399999999999999E-5</v>
      </c>
      <c r="I583" s="149">
        <f>I582</f>
        <v>9.7799999999999994</v>
      </c>
      <c r="J583" s="421">
        <f>POWER(10,-6)*55*SQRT(100)*3600*L582/1000*0.2</f>
        <v>7.7457600000000001E-2</v>
      </c>
      <c r="K583" s="159" t="s">
        <v>176</v>
      </c>
      <c r="L583" s="164">
        <v>0</v>
      </c>
      <c r="M583" s="92" t="str">
        <f t="shared" si="613"/>
        <v>С2</v>
      </c>
      <c r="N583" s="92" t="str">
        <f t="shared" si="614"/>
        <v>Трубопровод транспортировки бензина ККФ (P) рег. № 2389</v>
      </c>
      <c r="O583" s="92" t="str">
        <f t="shared" si="615"/>
        <v>Полное-взрыв</v>
      </c>
      <c r="P583" s="92" t="s">
        <v>83</v>
      </c>
      <c r="Q583" s="92" t="s">
        <v>83</v>
      </c>
      <c r="R583" s="92" t="s">
        <v>83</v>
      </c>
      <c r="S583" s="92" t="s">
        <v>83</v>
      </c>
      <c r="T583" s="92">
        <v>0</v>
      </c>
      <c r="U583" s="92">
        <v>0</v>
      </c>
      <c r="V583" s="92">
        <v>38.1</v>
      </c>
      <c r="W583" s="92">
        <v>154.1</v>
      </c>
      <c r="X583" s="92">
        <v>409.6</v>
      </c>
      <c r="Y583" s="92" t="s">
        <v>83</v>
      </c>
      <c r="Z583" s="92" t="s">
        <v>83</v>
      </c>
      <c r="AA583" s="92" t="s">
        <v>83</v>
      </c>
      <c r="AB583" s="92" t="s">
        <v>83</v>
      </c>
      <c r="AC583" s="92" t="s">
        <v>83</v>
      </c>
      <c r="AD583" s="92" t="s">
        <v>83</v>
      </c>
      <c r="AE583" s="92" t="s">
        <v>83</v>
      </c>
      <c r="AF583" s="92" t="s">
        <v>83</v>
      </c>
      <c r="AG583" s="92" t="s">
        <v>83</v>
      </c>
      <c r="AH583" s="92" t="s">
        <v>83</v>
      </c>
      <c r="AI583" s="92" t="s">
        <v>83</v>
      </c>
      <c r="AJ583" s="52">
        <v>1</v>
      </c>
      <c r="AK583" s="52">
        <v>1</v>
      </c>
      <c r="AL583" s="92">
        <f>AL582</f>
        <v>0.71250000000000002</v>
      </c>
      <c r="AM583" s="92">
        <f>AM582</f>
        <v>2.7E-2</v>
      </c>
      <c r="AN583" s="92">
        <f>AN582</f>
        <v>3</v>
      </c>
      <c r="AO583" s="92"/>
      <c r="AP583" s="92"/>
      <c r="AQ583" s="93">
        <f>AM583*I583+AL583</f>
        <v>0.97655999999999998</v>
      </c>
      <c r="AR583" s="93">
        <f t="shared" si="616"/>
        <v>9.7656000000000007E-2</v>
      </c>
      <c r="AS583" s="94">
        <f t="shared" si="617"/>
        <v>3.25</v>
      </c>
      <c r="AT583" s="94">
        <f t="shared" si="618"/>
        <v>1.081054</v>
      </c>
      <c r="AU583" s="93">
        <f>10068.2*J583*POWER(10,-6)*10</f>
        <v>7.7985860831999996E-3</v>
      </c>
      <c r="AV583" s="94">
        <f t="shared" si="619"/>
        <v>5.4130685860831997</v>
      </c>
      <c r="AW583" s="95">
        <f t="shared" si="620"/>
        <v>1.1399999999999999E-5</v>
      </c>
      <c r="AX583" s="95">
        <f t="shared" si="621"/>
        <v>1.1399999999999999E-5</v>
      </c>
      <c r="AY583" s="95">
        <f t="shared" si="622"/>
        <v>6.1708981881348471E-5</v>
      </c>
    </row>
    <row r="584" spans="1:51" x14ac:dyDescent="0.3">
      <c r="A584" s="48" t="s">
        <v>20</v>
      </c>
      <c r="B584" s="48" t="str">
        <f>B582</f>
        <v>Трубопровод транспортировки бензина ККФ (P) рег. № 2389</v>
      </c>
      <c r="C584" s="166" t="s">
        <v>161</v>
      </c>
      <c r="D584" s="49" t="s">
        <v>60</v>
      </c>
      <c r="E584" s="154">
        <f>E582</f>
        <v>2.9999999999999999E-7</v>
      </c>
      <c r="F584" s="155">
        <f>F582</f>
        <v>950</v>
      </c>
      <c r="G584" s="48">
        <v>0.76</v>
      </c>
      <c r="H584" s="50">
        <f t="shared" si="612"/>
        <v>2.1660000000000001E-4</v>
      </c>
      <c r="I584" s="149">
        <f>I582</f>
        <v>9.7799999999999994</v>
      </c>
      <c r="J584" s="158">
        <v>0</v>
      </c>
      <c r="K584" s="159" t="s">
        <v>177</v>
      </c>
      <c r="L584" s="164">
        <v>0</v>
      </c>
      <c r="M584" s="92" t="str">
        <f t="shared" si="613"/>
        <v>С3</v>
      </c>
      <c r="N584" s="92" t="str">
        <f t="shared" si="614"/>
        <v>Трубопровод транспортировки бензина ККФ (P) рег. № 2389</v>
      </c>
      <c r="O584" s="92" t="str">
        <f t="shared" si="615"/>
        <v>Полное-ликвидация</v>
      </c>
      <c r="P584" s="92" t="s">
        <v>83</v>
      </c>
      <c r="Q584" s="92" t="s">
        <v>83</v>
      </c>
      <c r="R584" s="92" t="s">
        <v>83</v>
      </c>
      <c r="S584" s="92" t="s">
        <v>83</v>
      </c>
      <c r="T584" s="92" t="s">
        <v>83</v>
      </c>
      <c r="U584" s="92" t="s">
        <v>83</v>
      </c>
      <c r="V584" s="92" t="s">
        <v>83</v>
      </c>
      <c r="W584" s="92" t="s">
        <v>83</v>
      </c>
      <c r="X584" s="92" t="s">
        <v>83</v>
      </c>
      <c r="Y584" s="92" t="s">
        <v>83</v>
      </c>
      <c r="Z584" s="92" t="s">
        <v>83</v>
      </c>
      <c r="AA584" s="92" t="s">
        <v>83</v>
      </c>
      <c r="AB584" s="92" t="s">
        <v>83</v>
      </c>
      <c r="AC584" s="92" t="s">
        <v>83</v>
      </c>
      <c r="AD584" s="92" t="s">
        <v>83</v>
      </c>
      <c r="AE584" s="92" t="s">
        <v>83</v>
      </c>
      <c r="AF584" s="92" t="s">
        <v>83</v>
      </c>
      <c r="AG584" s="92" t="s">
        <v>83</v>
      </c>
      <c r="AH584" s="92" t="s">
        <v>83</v>
      </c>
      <c r="AI584" s="92" t="s">
        <v>83</v>
      </c>
      <c r="AJ584" s="92">
        <v>0</v>
      </c>
      <c r="AK584" s="92">
        <v>0</v>
      </c>
      <c r="AL584" s="92">
        <f>AL582</f>
        <v>0.71250000000000002</v>
      </c>
      <c r="AM584" s="92">
        <f>AM582</f>
        <v>2.7E-2</v>
      </c>
      <c r="AN584" s="92">
        <f>AN582</f>
        <v>3</v>
      </c>
      <c r="AO584" s="92"/>
      <c r="AP584" s="92"/>
      <c r="AQ584" s="93">
        <f>AM584*I584*0.1+AL584</f>
        <v>0.73890600000000006</v>
      </c>
      <c r="AR584" s="93">
        <f t="shared" si="616"/>
        <v>7.3890600000000015E-2</v>
      </c>
      <c r="AS584" s="94">
        <f t="shared" si="617"/>
        <v>0</v>
      </c>
      <c r="AT584" s="94">
        <f t="shared" si="618"/>
        <v>0.20319915000000002</v>
      </c>
      <c r="AU584" s="93">
        <f>1333*J583*POWER(10,-6)</f>
        <v>1.032509808E-4</v>
      </c>
      <c r="AV584" s="94">
        <f t="shared" si="619"/>
        <v>1.0160990009808</v>
      </c>
      <c r="AW584" s="95">
        <f t="shared" si="620"/>
        <v>0</v>
      </c>
      <c r="AX584" s="95">
        <f t="shared" si="621"/>
        <v>0</v>
      </c>
      <c r="AY584" s="95">
        <f t="shared" si="622"/>
        <v>2.2008704361244129E-4</v>
      </c>
    </row>
    <row r="585" spans="1:51" x14ac:dyDescent="0.3">
      <c r="A585" s="48" t="s">
        <v>21</v>
      </c>
      <c r="B585" s="48" t="str">
        <f>B582</f>
        <v>Трубопровод транспортировки бензина ККФ (P) рег. № 2389</v>
      </c>
      <c r="C585" s="166" t="s">
        <v>162</v>
      </c>
      <c r="D585" s="49" t="s">
        <v>84</v>
      </c>
      <c r="E585" s="153">
        <v>1.9999999999999999E-6</v>
      </c>
      <c r="F585" s="155">
        <f>F582</f>
        <v>950</v>
      </c>
      <c r="G585" s="48">
        <v>0.2</v>
      </c>
      <c r="H585" s="50">
        <f t="shared" si="612"/>
        <v>3.8000000000000002E-4</v>
      </c>
      <c r="I585" s="149">
        <f>0.15*I582</f>
        <v>1.4669999999999999</v>
      </c>
      <c r="J585" s="156">
        <f>I585</f>
        <v>1.4669999999999999</v>
      </c>
      <c r="K585" s="161" t="s">
        <v>179</v>
      </c>
      <c r="L585" s="165">
        <v>45390</v>
      </c>
      <c r="M585" s="92" t="str">
        <f t="shared" si="613"/>
        <v>С4</v>
      </c>
      <c r="N585" s="92" t="str">
        <f t="shared" si="614"/>
        <v>Трубопровод транспортировки бензина ККФ (P) рег. № 2389</v>
      </c>
      <c r="O585" s="92" t="str">
        <f t="shared" si="615"/>
        <v>Частичное-пожар</v>
      </c>
      <c r="P585" s="92">
        <v>17.399999999999999</v>
      </c>
      <c r="Q585" s="92">
        <v>23.9</v>
      </c>
      <c r="R585" s="92">
        <v>33.9</v>
      </c>
      <c r="S585" s="92">
        <v>62.8</v>
      </c>
      <c r="T585" s="92" t="s">
        <v>83</v>
      </c>
      <c r="U585" s="92" t="s">
        <v>83</v>
      </c>
      <c r="V585" s="92" t="s">
        <v>83</v>
      </c>
      <c r="W585" s="92" t="s">
        <v>83</v>
      </c>
      <c r="X585" s="92" t="s">
        <v>83</v>
      </c>
      <c r="Y585" s="92" t="s">
        <v>83</v>
      </c>
      <c r="Z585" s="92" t="s">
        <v>83</v>
      </c>
      <c r="AA585" s="92" t="s">
        <v>83</v>
      </c>
      <c r="AB585" s="92" t="s">
        <v>83</v>
      </c>
      <c r="AC585" s="92" t="s">
        <v>83</v>
      </c>
      <c r="AD585" s="92" t="s">
        <v>83</v>
      </c>
      <c r="AE585" s="92" t="s">
        <v>83</v>
      </c>
      <c r="AF585" s="92" t="s">
        <v>83</v>
      </c>
      <c r="AG585" s="92" t="s">
        <v>83</v>
      </c>
      <c r="AH585" s="92" t="s">
        <v>83</v>
      </c>
      <c r="AI585" s="92" t="s">
        <v>83</v>
      </c>
      <c r="AJ585" s="92">
        <v>0</v>
      </c>
      <c r="AK585" s="92">
        <v>1</v>
      </c>
      <c r="AL585" s="92">
        <f>0.1*AL582</f>
        <v>7.1250000000000008E-2</v>
      </c>
      <c r="AM585" s="92">
        <f>AM582</f>
        <v>2.7E-2</v>
      </c>
      <c r="AN585" s="92">
        <f>ROUNDUP(AN582/3,0)</f>
        <v>1</v>
      </c>
      <c r="AO585" s="92"/>
      <c r="AP585" s="92"/>
      <c r="AQ585" s="93">
        <f>AM585*I585+AL585</f>
        <v>0.11085900000000001</v>
      </c>
      <c r="AR585" s="93">
        <f t="shared" si="616"/>
        <v>1.1085900000000003E-2</v>
      </c>
      <c r="AS585" s="94">
        <f t="shared" si="617"/>
        <v>0.25</v>
      </c>
      <c r="AT585" s="94">
        <f t="shared" si="618"/>
        <v>9.2986225000000006E-2</v>
      </c>
      <c r="AU585" s="93">
        <f>10068.2*J585*POWER(10,-6)</f>
        <v>1.4770049399999999E-2</v>
      </c>
      <c r="AV585" s="94">
        <f t="shared" si="619"/>
        <v>0.47970117440000004</v>
      </c>
      <c r="AW585" s="95">
        <f t="shared" si="620"/>
        <v>0</v>
      </c>
      <c r="AX585" s="95">
        <f t="shared" si="621"/>
        <v>3.8000000000000002E-4</v>
      </c>
      <c r="AY585" s="95">
        <f t="shared" si="622"/>
        <v>1.8228644627200002E-4</v>
      </c>
    </row>
    <row r="586" spans="1:51" x14ac:dyDescent="0.3">
      <c r="A586" s="48" t="s">
        <v>22</v>
      </c>
      <c r="B586" s="48" t="str">
        <f>B582</f>
        <v>Трубопровод транспортировки бензина ККФ (P) рег. № 2389</v>
      </c>
      <c r="C586" s="166" t="s">
        <v>163</v>
      </c>
      <c r="D586" s="49" t="s">
        <v>165</v>
      </c>
      <c r="E586" s="154">
        <f>E585</f>
        <v>1.9999999999999999E-6</v>
      </c>
      <c r="F586" s="155">
        <f>F582</f>
        <v>950</v>
      </c>
      <c r="G586" s="48">
        <v>0.04</v>
      </c>
      <c r="H586" s="50">
        <f t="shared" si="612"/>
        <v>7.6000000000000004E-5</v>
      </c>
      <c r="I586" s="149">
        <f>0.15*I582</f>
        <v>1.4669999999999999</v>
      </c>
      <c r="J586" s="156">
        <f>0.3*J583</f>
        <v>2.3237279999999999E-2</v>
      </c>
      <c r="K586" s="161" t="s">
        <v>180</v>
      </c>
      <c r="L586" s="165">
        <v>3</v>
      </c>
      <c r="M586" s="92" t="str">
        <f t="shared" si="613"/>
        <v>С5</v>
      </c>
      <c r="N586" s="92" t="str">
        <f t="shared" si="614"/>
        <v>Трубопровод транспортировки бензина ККФ (P) рег. № 2389</v>
      </c>
      <c r="O586" s="92" t="str">
        <f t="shared" si="615"/>
        <v>Частичное-пожар-вспышка</v>
      </c>
      <c r="P586" s="92" t="s">
        <v>83</v>
      </c>
      <c r="Q586" s="92" t="s">
        <v>83</v>
      </c>
      <c r="R586" s="92" t="s">
        <v>83</v>
      </c>
      <c r="S586" s="92" t="s">
        <v>83</v>
      </c>
      <c r="T586" s="92" t="s">
        <v>83</v>
      </c>
      <c r="U586" s="92" t="s">
        <v>83</v>
      </c>
      <c r="V586" s="92" t="s">
        <v>83</v>
      </c>
      <c r="W586" s="92" t="s">
        <v>83</v>
      </c>
      <c r="X586" s="92" t="s">
        <v>83</v>
      </c>
      <c r="Y586" s="92" t="s">
        <v>83</v>
      </c>
      <c r="Z586" s="92" t="s">
        <v>83</v>
      </c>
      <c r="AA586" s="92">
        <v>15.7</v>
      </c>
      <c r="AB586" s="92">
        <v>18.84</v>
      </c>
      <c r="AC586" s="92" t="s">
        <v>83</v>
      </c>
      <c r="AD586" s="92" t="s">
        <v>83</v>
      </c>
      <c r="AE586" s="92" t="s">
        <v>83</v>
      </c>
      <c r="AF586" s="92" t="s">
        <v>83</v>
      </c>
      <c r="AG586" s="92" t="s">
        <v>83</v>
      </c>
      <c r="AH586" s="92" t="s">
        <v>83</v>
      </c>
      <c r="AI586" s="92" t="s">
        <v>83</v>
      </c>
      <c r="AJ586" s="92">
        <v>0</v>
      </c>
      <c r="AK586" s="92">
        <v>1</v>
      </c>
      <c r="AL586" s="92">
        <f t="shared" ref="AL586:AL587" si="623">0.1*AL583</f>
        <v>7.1250000000000008E-2</v>
      </c>
      <c r="AM586" s="92">
        <f>AM582</f>
        <v>2.7E-2</v>
      </c>
      <c r="AN586" s="92">
        <f>ROUNDUP(AN582/3,0)</f>
        <v>1</v>
      </c>
      <c r="AO586" s="92"/>
      <c r="AP586" s="92"/>
      <c r="AQ586" s="93">
        <f>AM586*I586+AL586</f>
        <v>0.11085900000000001</v>
      </c>
      <c r="AR586" s="93">
        <f t="shared" si="616"/>
        <v>1.1085900000000003E-2</v>
      </c>
      <c r="AS586" s="94">
        <f t="shared" si="617"/>
        <v>0.25</v>
      </c>
      <c r="AT586" s="94">
        <f t="shared" si="618"/>
        <v>9.2986225000000006E-2</v>
      </c>
      <c r="AU586" s="93">
        <f>10068.2*J586*POWER(10,-6)*10</f>
        <v>2.33957582496E-3</v>
      </c>
      <c r="AV586" s="94">
        <f t="shared" si="619"/>
        <v>0.46727070082496003</v>
      </c>
      <c r="AW586" s="95">
        <f t="shared" si="620"/>
        <v>0</v>
      </c>
      <c r="AX586" s="95">
        <f t="shared" si="621"/>
        <v>7.6000000000000004E-5</v>
      </c>
      <c r="AY586" s="95">
        <f t="shared" si="622"/>
        <v>3.5512573262696964E-5</v>
      </c>
    </row>
    <row r="587" spans="1:51" x14ac:dyDescent="0.3">
      <c r="A587" s="257" t="s">
        <v>23</v>
      </c>
      <c r="B587" s="257" t="str">
        <f>B582</f>
        <v>Трубопровод транспортировки бензина ККФ (P) рег. № 2389</v>
      </c>
      <c r="C587" s="258" t="s">
        <v>164</v>
      </c>
      <c r="D587" s="259" t="s">
        <v>61</v>
      </c>
      <c r="E587" s="260">
        <f>E585</f>
        <v>1.9999999999999999E-6</v>
      </c>
      <c r="F587" s="261">
        <f>F582</f>
        <v>950</v>
      </c>
      <c r="G587" s="257">
        <v>0.76</v>
      </c>
      <c r="H587" s="262">
        <f t="shared" si="612"/>
        <v>1.444E-3</v>
      </c>
      <c r="I587" s="263">
        <f>0.15*I582</f>
        <v>1.4669999999999999</v>
      </c>
      <c r="J587" s="264">
        <v>0</v>
      </c>
      <c r="K587" s="265" t="s">
        <v>191</v>
      </c>
      <c r="L587" s="266">
        <v>1</v>
      </c>
      <c r="M587" s="92" t="str">
        <f t="shared" si="613"/>
        <v>С6</v>
      </c>
      <c r="N587" s="92" t="str">
        <f t="shared" si="614"/>
        <v>Трубопровод транспортировки бензина ККФ (P) рег. № 2389</v>
      </c>
      <c r="O587" s="92" t="str">
        <f t="shared" si="615"/>
        <v>Частичное-ликвидация</v>
      </c>
      <c r="P587" s="92" t="s">
        <v>83</v>
      </c>
      <c r="Q587" s="92" t="s">
        <v>83</v>
      </c>
      <c r="R587" s="92" t="s">
        <v>83</v>
      </c>
      <c r="S587" s="92" t="s">
        <v>83</v>
      </c>
      <c r="T587" s="92" t="s">
        <v>83</v>
      </c>
      <c r="U587" s="92" t="s">
        <v>83</v>
      </c>
      <c r="V587" s="92" t="s">
        <v>83</v>
      </c>
      <c r="W587" s="92" t="s">
        <v>83</v>
      </c>
      <c r="X587" s="92" t="s">
        <v>83</v>
      </c>
      <c r="Y587" s="92" t="s">
        <v>83</v>
      </c>
      <c r="Z587" s="92" t="s">
        <v>83</v>
      </c>
      <c r="AA587" s="92" t="s">
        <v>83</v>
      </c>
      <c r="AB587" s="92" t="s">
        <v>83</v>
      </c>
      <c r="AC587" s="92" t="s">
        <v>83</v>
      </c>
      <c r="AD587" s="92" t="s">
        <v>83</v>
      </c>
      <c r="AE587" s="92" t="s">
        <v>83</v>
      </c>
      <c r="AF587" s="92" t="s">
        <v>83</v>
      </c>
      <c r="AG587" s="92" t="s">
        <v>83</v>
      </c>
      <c r="AH587" s="92" t="s">
        <v>83</v>
      </c>
      <c r="AI587" s="92" t="s">
        <v>83</v>
      </c>
      <c r="AJ587" s="92">
        <v>0</v>
      </c>
      <c r="AK587" s="92">
        <v>0</v>
      </c>
      <c r="AL587" s="92">
        <f t="shared" si="623"/>
        <v>7.1250000000000008E-2</v>
      </c>
      <c r="AM587" s="92">
        <f>AM582</f>
        <v>2.7E-2</v>
      </c>
      <c r="AN587" s="92">
        <f>ROUNDUP(AN582/3,0)</f>
        <v>1</v>
      </c>
      <c r="AO587" s="92"/>
      <c r="AP587" s="92"/>
      <c r="AQ587" s="93">
        <f>AM587*I587*0.1+AL587</f>
        <v>7.5210900000000011E-2</v>
      </c>
      <c r="AR587" s="93">
        <f t="shared" si="616"/>
        <v>7.5210900000000011E-3</v>
      </c>
      <c r="AS587" s="94">
        <f t="shared" si="617"/>
        <v>0</v>
      </c>
      <c r="AT587" s="94">
        <f t="shared" si="618"/>
        <v>2.0682997500000001E-2</v>
      </c>
      <c r="AU587" s="93">
        <f>1333*J586*POWER(10,-6)</f>
        <v>3.0975294240000001E-5</v>
      </c>
      <c r="AV587" s="94">
        <f t="shared" si="619"/>
        <v>0.10344596279424001</v>
      </c>
      <c r="AW587" s="95">
        <f t="shared" si="620"/>
        <v>0</v>
      </c>
      <c r="AX587" s="95">
        <f t="shared" si="621"/>
        <v>0</v>
      </c>
      <c r="AY587" s="95">
        <f t="shared" si="622"/>
        <v>1.4937597027488256E-4</v>
      </c>
    </row>
    <row r="588" spans="1:51" s="267" customFormat="1" x14ac:dyDescent="0.3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</row>
    <row r="589" spans="1:51" s="267" customFormat="1" x14ac:dyDescent="0.3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</row>
    <row r="590" spans="1:51" s="267" customFormat="1" x14ac:dyDescent="0.3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</row>
    <row r="591" spans="1:51" ht="15" thickBot="1" x14ac:dyDescent="0.35"/>
    <row r="592" spans="1:51" s="179" customFormat="1" ht="15" thickBot="1" x14ac:dyDescent="0.35">
      <c r="A592" s="169" t="s">
        <v>18</v>
      </c>
      <c r="B592" s="312" t="s">
        <v>650</v>
      </c>
      <c r="C592" s="171" t="s">
        <v>196</v>
      </c>
      <c r="D592" s="172" t="s">
        <v>59</v>
      </c>
      <c r="E592" s="173">
        <v>1.0000000000000001E-5</v>
      </c>
      <c r="F592" s="170">
        <v>1</v>
      </c>
      <c r="G592" s="169">
        <v>0.1</v>
      </c>
      <c r="H592" s="174">
        <f t="shared" ref="H592:H597" si="624">E592*F592*G592</f>
        <v>1.0000000000000002E-6</v>
      </c>
      <c r="I592" s="175">
        <v>1408</v>
      </c>
      <c r="J592" s="187">
        <f>I592</f>
        <v>1408</v>
      </c>
      <c r="K592" s="177" t="s">
        <v>175</v>
      </c>
      <c r="L592" s="178">
        <v>1200</v>
      </c>
      <c r="M592" s="179" t="str">
        <f t="shared" ref="M592:M597" si="625">A592</f>
        <v>С1</v>
      </c>
      <c r="N592" s="179" t="str">
        <f t="shared" ref="N592:N597" si="626">B592</f>
        <v>Резервуар РВС (8720T0002)</v>
      </c>
      <c r="O592" s="179" t="str">
        <f t="shared" ref="O592:O597" si="627">D592</f>
        <v>Полное-пожар</v>
      </c>
      <c r="P592" s="179" t="s">
        <v>83</v>
      </c>
      <c r="Q592" s="179" t="s">
        <v>83</v>
      </c>
      <c r="R592" s="179" t="s">
        <v>83</v>
      </c>
      <c r="S592" s="179" t="s">
        <v>83</v>
      </c>
      <c r="T592" s="179" t="s">
        <v>83</v>
      </c>
      <c r="U592" s="179" t="s">
        <v>83</v>
      </c>
      <c r="V592" s="179" t="s">
        <v>83</v>
      </c>
      <c r="W592" s="179" t="s">
        <v>83</v>
      </c>
      <c r="X592" s="179" t="s">
        <v>83</v>
      </c>
      <c r="Y592" s="179" t="s">
        <v>83</v>
      </c>
      <c r="Z592" s="179" t="s">
        <v>83</v>
      </c>
      <c r="AA592" s="179" t="s">
        <v>83</v>
      </c>
      <c r="AB592" s="179" t="s">
        <v>83</v>
      </c>
      <c r="AC592" s="179" t="s">
        <v>83</v>
      </c>
      <c r="AD592" s="179" t="s">
        <v>83</v>
      </c>
      <c r="AE592" s="179" t="s">
        <v>83</v>
      </c>
      <c r="AF592" s="179" t="s">
        <v>83</v>
      </c>
      <c r="AG592" s="179" t="s">
        <v>83</v>
      </c>
      <c r="AH592" s="179" t="s">
        <v>83</v>
      </c>
      <c r="AI592" s="179" t="s">
        <v>83</v>
      </c>
      <c r="AJ592" s="180">
        <v>1</v>
      </c>
      <c r="AK592" s="180">
        <v>2</v>
      </c>
      <c r="AL592" s="181">
        <v>0.75</v>
      </c>
      <c r="AM592" s="181">
        <v>2.7E-2</v>
      </c>
      <c r="AN592" s="181">
        <v>3</v>
      </c>
      <c r="AQ592" s="182">
        <f>AM592*I592+AL592</f>
        <v>38.765999999999998</v>
      </c>
      <c r="AR592" s="182">
        <f t="shared" ref="AR592:AR597" si="628">0.1*AQ592</f>
        <v>3.8765999999999998</v>
      </c>
      <c r="AS592" s="183">
        <f t="shared" ref="AS592:AS597" si="629">AJ592*3+0.25*AK592</f>
        <v>3.5</v>
      </c>
      <c r="AT592" s="183">
        <f t="shared" ref="AT592:AT597" si="630">SUM(AQ592:AS592)/4</f>
        <v>11.53565</v>
      </c>
      <c r="AU592" s="182">
        <f>10068.2*J592*POWER(10,-6)</f>
        <v>14.176025600000001</v>
      </c>
      <c r="AV592" s="183">
        <f t="shared" ref="AV592:AV597" si="631">AU592+AT592+AS592+AR592+AQ592</f>
        <v>71.854275599999994</v>
      </c>
      <c r="AW592" s="184">
        <f t="shared" ref="AW592:AW597" si="632">AJ592*H592</f>
        <v>1.0000000000000002E-6</v>
      </c>
      <c r="AX592" s="184">
        <f t="shared" ref="AX592:AX597" si="633">H592*AK592</f>
        <v>2.0000000000000003E-6</v>
      </c>
      <c r="AY592" s="184">
        <f t="shared" ref="AY592:AY597" si="634">H592*AV592</f>
        <v>7.1854275600000009E-5</v>
      </c>
    </row>
    <row r="593" spans="1:51" s="179" customFormat="1" ht="15" thickBot="1" x14ac:dyDescent="0.35">
      <c r="A593" s="169" t="s">
        <v>19</v>
      </c>
      <c r="B593" s="169" t="str">
        <f>B592</f>
        <v>Резервуар РВС (8720T0002)</v>
      </c>
      <c r="C593" s="171" t="s">
        <v>205</v>
      </c>
      <c r="D593" s="172" t="s">
        <v>59</v>
      </c>
      <c r="E593" s="185">
        <f>E592</f>
        <v>1.0000000000000001E-5</v>
      </c>
      <c r="F593" s="186">
        <f>F592</f>
        <v>1</v>
      </c>
      <c r="G593" s="169">
        <v>0.18000000000000002</v>
      </c>
      <c r="H593" s="174">
        <f t="shared" si="624"/>
        <v>1.8000000000000003E-6</v>
      </c>
      <c r="I593" s="187">
        <f>I592</f>
        <v>1408</v>
      </c>
      <c r="J593" s="187">
        <f>I592</f>
        <v>1408</v>
      </c>
      <c r="K593" s="177" t="s">
        <v>176</v>
      </c>
      <c r="L593" s="178">
        <v>0</v>
      </c>
      <c r="M593" s="179" t="str">
        <f t="shared" si="625"/>
        <v>С2</v>
      </c>
      <c r="N593" s="179" t="str">
        <f t="shared" si="626"/>
        <v>Резервуар РВС (8720T0002)</v>
      </c>
      <c r="O593" s="179" t="str">
        <f t="shared" si="627"/>
        <v>Полное-пожар</v>
      </c>
      <c r="P593" s="179" t="s">
        <v>83</v>
      </c>
      <c r="Q593" s="179" t="s">
        <v>83</v>
      </c>
      <c r="R593" s="179" t="s">
        <v>83</v>
      </c>
      <c r="S593" s="179" t="s">
        <v>83</v>
      </c>
      <c r="T593" s="179" t="s">
        <v>83</v>
      </c>
      <c r="U593" s="179" t="s">
        <v>83</v>
      </c>
      <c r="V593" s="179" t="s">
        <v>83</v>
      </c>
      <c r="W593" s="179" t="s">
        <v>83</v>
      </c>
      <c r="X593" s="179" t="s">
        <v>83</v>
      </c>
      <c r="Y593" s="179" t="s">
        <v>83</v>
      </c>
      <c r="Z593" s="179" t="s">
        <v>83</v>
      </c>
      <c r="AA593" s="179" t="s">
        <v>83</v>
      </c>
      <c r="AB593" s="179" t="s">
        <v>83</v>
      </c>
      <c r="AC593" s="179" t="s">
        <v>83</v>
      </c>
      <c r="AD593" s="179" t="s">
        <v>83</v>
      </c>
      <c r="AE593" s="179" t="s">
        <v>83</v>
      </c>
      <c r="AF593" s="179" t="s">
        <v>83</v>
      </c>
      <c r="AG593" s="179" t="s">
        <v>83</v>
      </c>
      <c r="AH593" s="179" t="s">
        <v>83</v>
      </c>
      <c r="AI593" s="179" t="s">
        <v>83</v>
      </c>
      <c r="AJ593" s="180">
        <v>2</v>
      </c>
      <c r="AK593" s="180">
        <v>2</v>
      </c>
      <c r="AL593" s="179">
        <f>AL592</f>
        <v>0.75</v>
      </c>
      <c r="AM593" s="179">
        <f>AM592</f>
        <v>2.7E-2</v>
      </c>
      <c r="AN593" s="179">
        <f>AN592</f>
        <v>3</v>
      </c>
      <c r="AQ593" s="182">
        <f>AM593*I593+AL593</f>
        <v>38.765999999999998</v>
      </c>
      <c r="AR593" s="182">
        <f t="shared" si="628"/>
        <v>3.8765999999999998</v>
      </c>
      <c r="AS593" s="183">
        <f t="shared" si="629"/>
        <v>6.5</v>
      </c>
      <c r="AT593" s="183">
        <f t="shared" si="630"/>
        <v>12.28565</v>
      </c>
      <c r="AU593" s="182">
        <f>10068.2*J593*POWER(10,-6)*10</f>
        <v>141.760256</v>
      </c>
      <c r="AV593" s="183">
        <f t="shared" si="631"/>
        <v>203.18850599999999</v>
      </c>
      <c r="AW593" s="184">
        <f t="shared" si="632"/>
        <v>3.6000000000000007E-6</v>
      </c>
      <c r="AX593" s="184">
        <f t="shared" si="633"/>
        <v>3.6000000000000007E-6</v>
      </c>
      <c r="AY593" s="184">
        <f t="shared" si="634"/>
        <v>3.6573931080000006E-4</v>
      </c>
    </row>
    <row r="594" spans="1:51" s="179" customFormat="1" x14ac:dyDescent="0.3">
      <c r="A594" s="169" t="s">
        <v>20</v>
      </c>
      <c r="B594" s="169" t="str">
        <f>B592</f>
        <v>Резервуар РВС (8720T0002)</v>
      </c>
      <c r="C594" s="171" t="s">
        <v>198</v>
      </c>
      <c r="D594" s="172" t="s">
        <v>60</v>
      </c>
      <c r="E594" s="185">
        <f>E592</f>
        <v>1.0000000000000001E-5</v>
      </c>
      <c r="F594" s="186">
        <f>F592</f>
        <v>1</v>
      </c>
      <c r="G594" s="169">
        <v>0.72000000000000008</v>
      </c>
      <c r="H594" s="174">
        <f t="shared" si="624"/>
        <v>7.2000000000000014E-6</v>
      </c>
      <c r="I594" s="187">
        <f>I592</f>
        <v>1408</v>
      </c>
      <c r="J594" s="169">
        <v>0</v>
      </c>
      <c r="K594" s="177" t="s">
        <v>177</v>
      </c>
      <c r="L594" s="178">
        <v>0</v>
      </c>
      <c r="M594" s="179" t="str">
        <f t="shared" si="625"/>
        <v>С3</v>
      </c>
      <c r="N594" s="179" t="str">
        <f t="shared" si="626"/>
        <v>Резервуар РВС (8720T0002)</v>
      </c>
      <c r="O594" s="179" t="str">
        <f t="shared" si="627"/>
        <v>Полное-ликвидация</v>
      </c>
      <c r="P594" s="179" t="s">
        <v>83</v>
      </c>
      <c r="Q594" s="179" t="s">
        <v>83</v>
      </c>
      <c r="R594" s="179" t="s">
        <v>83</v>
      </c>
      <c r="S594" s="179" t="s">
        <v>83</v>
      </c>
      <c r="T594" s="179" t="s">
        <v>83</v>
      </c>
      <c r="U594" s="179" t="s">
        <v>83</v>
      </c>
      <c r="V594" s="179" t="s">
        <v>83</v>
      </c>
      <c r="W594" s="179" t="s">
        <v>83</v>
      </c>
      <c r="X594" s="179" t="s">
        <v>83</v>
      </c>
      <c r="Y594" s="179" t="s">
        <v>83</v>
      </c>
      <c r="Z594" s="179" t="s">
        <v>83</v>
      </c>
      <c r="AA594" s="179" t="s">
        <v>83</v>
      </c>
      <c r="AB594" s="179" t="s">
        <v>83</v>
      </c>
      <c r="AC594" s="179" t="s">
        <v>83</v>
      </c>
      <c r="AD594" s="179" t="s">
        <v>83</v>
      </c>
      <c r="AE594" s="179" t="s">
        <v>83</v>
      </c>
      <c r="AF594" s="179" t="s">
        <v>83</v>
      </c>
      <c r="AG594" s="179" t="s">
        <v>83</v>
      </c>
      <c r="AH594" s="179" t="s">
        <v>83</v>
      </c>
      <c r="AI594" s="179" t="s">
        <v>83</v>
      </c>
      <c r="AJ594" s="179">
        <v>0</v>
      </c>
      <c r="AK594" s="179">
        <v>0</v>
      </c>
      <c r="AL594" s="179">
        <f>AL592</f>
        <v>0.75</v>
      </c>
      <c r="AM594" s="179">
        <f>AM592</f>
        <v>2.7E-2</v>
      </c>
      <c r="AN594" s="179">
        <f>AN592</f>
        <v>3</v>
      </c>
      <c r="AQ594" s="182">
        <f>AM594*I594*0.1+AL594</f>
        <v>4.5516000000000005</v>
      </c>
      <c r="AR594" s="182">
        <f t="shared" si="628"/>
        <v>0.45516000000000006</v>
      </c>
      <c r="AS594" s="183">
        <f t="shared" si="629"/>
        <v>0</v>
      </c>
      <c r="AT594" s="183">
        <f t="shared" si="630"/>
        <v>1.2516900000000002</v>
      </c>
      <c r="AU594" s="182">
        <f>1333*J593*POWER(10,-6)</f>
        <v>1.8768639999999999</v>
      </c>
      <c r="AV594" s="183">
        <f t="shared" si="631"/>
        <v>8.135314000000001</v>
      </c>
      <c r="AW594" s="184">
        <f t="shared" si="632"/>
        <v>0</v>
      </c>
      <c r="AX594" s="184">
        <f t="shared" si="633"/>
        <v>0</v>
      </c>
      <c r="AY594" s="184">
        <f t="shared" si="634"/>
        <v>5.8574260800000016E-5</v>
      </c>
    </row>
    <row r="595" spans="1:51" s="179" customFormat="1" x14ac:dyDescent="0.3">
      <c r="A595" s="169" t="s">
        <v>21</v>
      </c>
      <c r="B595" s="169" t="str">
        <f>B592</f>
        <v>Резервуар РВС (8720T0002)</v>
      </c>
      <c r="C595" s="171" t="s">
        <v>199</v>
      </c>
      <c r="D595" s="172" t="s">
        <v>84</v>
      </c>
      <c r="E595" s="173">
        <v>1E-4</v>
      </c>
      <c r="F595" s="186">
        <f>F592</f>
        <v>1</v>
      </c>
      <c r="G595" s="169">
        <v>0.1</v>
      </c>
      <c r="H595" s="174">
        <f t="shared" si="624"/>
        <v>1.0000000000000001E-5</v>
      </c>
      <c r="I595" s="187">
        <f>0.15*I592</f>
        <v>211.2</v>
      </c>
      <c r="J595" s="187">
        <f>I595</f>
        <v>211.2</v>
      </c>
      <c r="K595" s="190" t="s">
        <v>179</v>
      </c>
      <c r="L595" s="191">
        <v>45390</v>
      </c>
      <c r="M595" s="179" t="str">
        <f t="shared" si="625"/>
        <v>С4</v>
      </c>
      <c r="N595" s="179" t="str">
        <f t="shared" si="626"/>
        <v>Резервуар РВС (8720T0002)</v>
      </c>
      <c r="O595" s="179" t="str">
        <f t="shared" si="627"/>
        <v>Частичное-пожар</v>
      </c>
      <c r="P595" s="179" t="s">
        <v>83</v>
      </c>
      <c r="Q595" s="179" t="s">
        <v>83</v>
      </c>
      <c r="R595" s="179" t="s">
        <v>83</v>
      </c>
      <c r="S595" s="179" t="s">
        <v>83</v>
      </c>
      <c r="T595" s="179" t="s">
        <v>83</v>
      </c>
      <c r="U595" s="179" t="s">
        <v>83</v>
      </c>
      <c r="V595" s="179" t="s">
        <v>83</v>
      </c>
      <c r="W595" s="179" t="s">
        <v>83</v>
      </c>
      <c r="X595" s="179" t="s">
        <v>83</v>
      </c>
      <c r="Y595" s="179" t="s">
        <v>83</v>
      </c>
      <c r="Z595" s="179" t="s">
        <v>83</v>
      </c>
      <c r="AA595" s="179" t="s">
        <v>83</v>
      </c>
      <c r="AB595" s="179" t="s">
        <v>83</v>
      </c>
      <c r="AC595" s="179" t="s">
        <v>83</v>
      </c>
      <c r="AD595" s="179" t="s">
        <v>83</v>
      </c>
      <c r="AE595" s="179" t="s">
        <v>83</v>
      </c>
      <c r="AF595" s="179" t="s">
        <v>83</v>
      </c>
      <c r="AG595" s="179" t="s">
        <v>83</v>
      </c>
      <c r="AH595" s="179" t="s">
        <v>83</v>
      </c>
      <c r="AI595" s="179" t="s">
        <v>83</v>
      </c>
      <c r="AJ595" s="179">
        <v>0</v>
      </c>
      <c r="AK595" s="179">
        <v>2</v>
      </c>
      <c r="AL595" s="179">
        <f>0.1*$AL$2</f>
        <v>7.5000000000000002E-4</v>
      </c>
      <c r="AM595" s="179">
        <f>AM592</f>
        <v>2.7E-2</v>
      </c>
      <c r="AN595" s="179">
        <f>ROUNDUP(AN592/3,0)</f>
        <v>1</v>
      </c>
      <c r="AQ595" s="182">
        <f>AM595*I595+AL595</f>
        <v>5.7031499999999999</v>
      </c>
      <c r="AR595" s="182">
        <f t="shared" si="628"/>
        <v>0.57031500000000002</v>
      </c>
      <c r="AS595" s="183">
        <f t="shared" si="629"/>
        <v>0.5</v>
      </c>
      <c r="AT595" s="183">
        <f t="shared" si="630"/>
        <v>1.69336625</v>
      </c>
      <c r="AU595" s="182">
        <f>10068.2*J595*POWER(10,-6)</f>
        <v>2.1264038399999996</v>
      </c>
      <c r="AV595" s="183">
        <f t="shared" si="631"/>
        <v>10.59323509</v>
      </c>
      <c r="AW595" s="184">
        <f t="shared" si="632"/>
        <v>0</v>
      </c>
      <c r="AX595" s="184">
        <f t="shared" si="633"/>
        <v>2.0000000000000002E-5</v>
      </c>
      <c r="AY595" s="184">
        <f t="shared" si="634"/>
        <v>1.0593235090000002E-4</v>
      </c>
    </row>
    <row r="596" spans="1:51" s="179" customFormat="1" x14ac:dyDescent="0.3">
      <c r="A596" s="169" t="s">
        <v>22</v>
      </c>
      <c r="B596" s="169" t="str">
        <f>B592</f>
        <v>Резервуар РВС (8720T0002)</v>
      </c>
      <c r="C596" s="171" t="s">
        <v>206</v>
      </c>
      <c r="D596" s="172" t="s">
        <v>84</v>
      </c>
      <c r="E596" s="185">
        <f>E595</f>
        <v>1E-4</v>
      </c>
      <c r="F596" s="186">
        <f>F592</f>
        <v>1</v>
      </c>
      <c r="G596" s="169">
        <v>4.5000000000000005E-2</v>
      </c>
      <c r="H596" s="174">
        <f t="shared" si="624"/>
        <v>4.500000000000001E-6</v>
      </c>
      <c r="I596" s="187">
        <f>0.15*I592</f>
        <v>211.2</v>
      </c>
      <c r="J596" s="187">
        <f>I595</f>
        <v>211.2</v>
      </c>
      <c r="K596" s="190" t="s">
        <v>180</v>
      </c>
      <c r="L596" s="191">
        <v>3</v>
      </c>
      <c r="M596" s="179" t="str">
        <f t="shared" si="625"/>
        <v>С5</v>
      </c>
      <c r="N596" s="179" t="str">
        <f t="shared" si="626"/>
        <v>Резервуар РВС (8720T0002)</v>
      </c>
      <c r="O596" s="179" t="str">
        <f t="shared" si="627"/>
        <v>Частичное-пожар</v>
      </c>
      <c r="P596" s="179" t="s">
        <v>83</v>
      </c>
      <c r="Q596" s="179" t="s">
        <v>83</v>
      </c>
      <c r="R596" s="179" t="s">
        <v>83</v>
      </c>
      <c r="S596" s="179" t="s">
        <v>83</v>
      </c>
      <c r="T596" s="179" t="s">
        <v>83</v>
      </c>
      <c r="U596" s="179" t="s">
        <v>83</v>
      </c>
      <c r="V596" s="179" t="s">
        <v>83</v>
      </c>
      <c r="W596" s="179" t="s">
        <v>83</v>
      </c>
      <c r="X596" s="179" t="s">
        <v>83</v>
      </c>
      <c r="Y596" s="179" t="s">
        <v>83</v>
      </c>
      <c r="Z596" s="179" t="s">
        <v>83</v>
      </c>
      <c r="AA596" s="179" t="s">
        <v>83</v>
      </c>
      <c r="AB596" s="179" t="s">
        <v>83</v>
      </c>
      <c r="AC596" s="179" t="s">
        <v>83</v>
      </c>
      <c r="AD596" s="179" t="s">
        <v>83</v>
      </c>
      <c r="AE596" s="179" t="s">
        <v>83</v>
      </c>
      <c r="AF596" s="179" t="s">
        <v>83</v>
      </c>
      <c r="AG596" s="179" t="s">
        <v>83</v>
      </c>
      <c r="AH596" s="179" t="s">
        <v>83</v>
      </c>
      <c r="AI596" s="179" t="s">
        <v>83</v>
      </c>
      <c r="AJ596" s="179">
        <v>0</v>
      </c>
      <c r="AK596" s="179">
        <v>1</v>
      </c>
      <c r="AL596" s="179">
        <f>0.1*$AL$2</f>
        <v>7.5000000000000002E-4</v>
      </c>
      <c r="AM596" s="179">
        <f>AM592</f>
        <v>2.7E-2</v>
      </c>
      <c r="AN596" s="179">
        <f>ROUNDUP(AN592/3,0)</f>
        <v>1</v>
      </c>
      <c r="AQ596" s="182">
        <f>AM596*I596+AL596</f>
        <v>5.7031499999999999</v>
      </c>
      <c r="AR596" s="182">
        <f t="shared" si="628"/>
        <v>0.57031500000000002</v>
      </c>
      <c r="AS596" s="183">
        <f t="shared" si="629"/>
        <v>0.25</v>
      </c>
      <c r="AT596" s="183">
        <f t="shared" si="630"/>
        <v>1.63086625</v>
      </c>
      <c r="AU596" s="182">
        <f>10068.2*J596*POWER(10,-6)*10</f>
        <v>21.264038399999997</v>
      </c>
      <c r="AV596" s="183">
        <f t="shared" si="631"/>
        <v>29.418369649999999</v>
      </c>
      <c r="AW596" s="184">
        <f t="shared" si="632"/>
        <v>0</v>
      </c>
      <c r="AX596" s="184">
        <f t="shared" si="633"/>
        <v>4.500000000000001E-6</v>
      </c>
      <c r="AY596" s="184">
        <f t="shared" si="634"/>
        <v>1.3238266342500003E-4</v>
      </c>
    </row>
    <row r="597" spans="1:51" s="179" customFormat="1" ht="15" thickBot="1" x14ac:dyDescent="0.35">
      <c r="A597" s="169" t="s">
        <v>23</v>
      </c>
      <c r="B597" s="169" t="str">
        <f>B592</f>
        <v>Резервуар РВС (8720T0002)</v>
      </c>
      <c r="C597" s="171" t="s">
        <v>201</v>
      </c>
      <c r="D597" s="172" t="s">
        <v>61</v>
      </c>
      <c r="E597" s="185">
        <f>E595</f>
        <v>1E-4</v>
      </c>
      <c r="F597" s="186">
        <f>F592</f>
        <v>1</v>
      </c>
      <c r="G597" s="169">
        <v>0.85499999999999998</v>
      </c>
      <c r="H597" s="174">
        <f t="shared" si="624"/>
        <v>8.5500000000000005E-5</v>
      </c>
      <c r="I597" s="187">
        <f>0.15*I592</f>
        <v>211.2</v>
      </c>
      <c r="J597" s="169">
        <v>0</v>
      </c>
      <c r="K597" s="192" t="s">
        <v>191</v>
      </c>
      <c r="L597" s="192">
        <v>11</v>
      </c>
      <c r="M597" s="179" t="str">
        <f t="shared" si="625"/>
        <v>С6</v>
      </c>
      <c r="N597" s="179" t="str">
        <f t="shared" si="626"/>
        <v>Резервуар РВС (8720T0002)</v>
      </c>
      <c r="O597" s="179" t="str">
        <f t="shared" si="627"/>
        <v>Частичное-ликвидация</v>
      </c>
      <c r="P597" s="179" t="s">
        <v>83</v>
      </c>
      <c r="Q597" s="179" t="s">
        <v>83</v>
      </c>
      <c r="R597" s="179" t="s">
        <v>83</v>
      </c>
      <c r="S597" s="179" t="s">
        <v>83</v>
      </c>
      <c r="T597" s="179" t="s">
        <v>83</v>
      </c>
      <c r="U597" s="179" t="s">
        <v>83</v>
      </c>
      <c r="V597" s="179" t="s">
        <v>83</v>
      </c>
      <c r="W597" s="179" t="s">
        <v>83</v>
      </c>
      <c r="X597" s="179" t="s">
        <v>83</v>
      </c>
      <c r="Y597" s="179" t="s">
        <v>83</v>
      </c>
      <c r="Z597" s="179" t="s">
        <v>83</v>
      </c>
      <c r="AA597" s="179" t="s">
        <v>83</v>
      </c>
      <c r="AB597" s="179" t="s">
        <v>83</v>
      </c>
      <c r="AC597" s="179" t="s">
        <v>83</v>
      </c>
      <c r="AD597" s="179" t="s">
        <v>83</v>
      </c>
      <c r="AE597" s="179" t="s">
        <v>83</v>
      </c>
      <c r="AF597" s="179" t="s">
        <v>83</v>
      </c>
      <c r="AG597" s="179" t="s">
        <v>83</v>
      </c>
      <c r="AH597" s="179" t="s">
        <v>83</v>
      </c>
      <c r="AI597" s="179" t="s">
        <v>83</v>
      </c>
      <c r="AJ597" s="179">
        <v>0</v>
      </c>
      <c r="AK597" s="179">
        <v>0</v>
      </c>
      <c r="AL597" s="179">
        <f>0.1*$AL$2</f>
        <v>7.5000000000000002E-4</v>
      </c>
      <c r="AM597" s="179">
        <f>AM592</f>
        <v>2.7E-2</v>
      </c>
      <c r="AN597" s="179">
        <f>ROUNDUP(AN592/3,0)</f>
        <v>1</v>
      </c>
      <c r="AQ597" s="182">
        <f>AM597*I597*0.1+AL597</f>
        <v>0.57099</v>
      </c>
      <c r="AR597" s="182">
        <f t="shared" si="628"/>
        <v>5.7099000000000004E-2</v>
      </c>
      <c r="AS597" s="183">
        <f t="shared" si="629"/>
        <v>0</v>
      </c>
      <c r="AT597" s="183">
        <f t="shared" si="630"/>
        <v>0.15702225</v>
      </c>
      <c r="AU597" s="182">
        <f>1333*J596*POWER(10,-6)</f>
        <v>0.28152959999999999</v>
      </c>
      <c r="AV597" s="183">
        <f t="shared" si="631"/>
        <v>1.06664085</v>
      </c>
      <c r="AW597" s="184">
        <f t="shared" si="632"/>
        <v>0</v>
      </c>
      <c r="AX597" s="184">
        <f t="shared" si="633"/>
        <v>0</v>
      </c>
      <c r="AY597" s="184">
        <f t="shared" si="634"/>
        <v>9.1197792675000008E-5</v>
      </c>
    </row>
    <row r="598" spans="1:51" s="179" customFormat="1" x14ac:dyDescent="0.3">
      <c r="A598" s="180"/>
      <c r="B598" s="180"/>
      <c r="D598" s="271"/>
      <c r="E598" s="272"/>
      <c r="F598" s="273"/>
      <c r="G598" s="180"/>
      <c r="H598" s="184"/>
      <c r="I598" s="183"/>
      <c r="J598" s="180"/>
      <c r="K598" s="180"/>
      <c r="L598" s="180"/>
      <c r="AQ598" s="182"/>
      <c r="AR598" s="182"/>
      <c r="AS598" s="183"/>
      <c r="AT598" s="183"/>
      <c r="AU598" s="182"/>
      <c r="AV598" s="183"/>
      <c r="AW598" s="184"/>
      <c r="AX598" s="184"/>
      <c r="AY598" s="184"/>
    </row>
    <row r="599" spans="1:51" s="179" customFormat="1" x14ac:dyDescent="0.3">
      <c r="A599" s="180"/>
      <c r="B599" s="180"/>
      <c r="D599" s="271"/>
      <c r="E599" s="272"/>
      <c r="F599" s="273"/>
      <c r="G599" s="180"/>
      <c r="H599" s="184"/>
      <c r="I599" s="183"/>
      <c r="J599" s="180"/>
      <c r="K599" s="180"/>
      <c r="L599" s="180"/>
      <c r="AQ599" s="182"/>
      <c r="AR599" s="182"/>
      <c r="AS599" s="183"/>
      <c r="AT599" s="183"/>
      <c r="AU599" s="182"/>
      <c r="AV599" s="183"/>
      <c r="AW599" s="184"/>
      <c r="AX599" s="184"/>
      <c r="AY599" s="184"/>
    </row>
    <row r="600" spans="1:51" s="179" customFormat="1" x14ac:dyDescent="0.3">
      <c r="A600" s="180"/>
      <c r="B600" s="180"/>
      <c r="D600" s="271"/>
      <c r="E600" s="272"/>
      <c r="F600" s="273"/>
      <c r="G600" s="180"/>
      <c r="H600" s="184"/>
      <c r="I600" s="183"/>
      <c r="J600" s="180"/>
      <c r="K600" s="180"/>
      <c r="L600" s="180"/>
      <c r="AQ600" s="182"/>
      <c r="AR600" s="182"/>
      <c r="AS600" s="183"/>
      <c r="AT600" s="183"/>
      <c r="AU600" s="182"/>
      <c r="AV600" s="183"/>
      <c r="AW600" s="184"/>
      <c r="AX600" s="184"/>
      <c r="AY600" s="184"/>
    </row>
    <row r="601" spans="1:51" ht="15" thickBot="1" x14ac:dyDescent="0.35"/>
    <row r="602" spans="1:51" ht="15" thickBot="1" x14ac:dyDescent="0.35">
      <c r="A602" s="48" t="s">
        <v>18</v>
      </c>
      <c r="B602" s="294" t="s">
        <v>651</v>
      </c>
      <c r="C602" s="166" t="s">
        <v>159</v>
      </c>
      <c r="D602" s="49" t="s">
        <v>59</v>
      </c>
      <c r="E602" s="153">
        <v>9.9999999999999995E-8</v>
      </c>
      <c r="F602" s="150">
        <v>112</v>
      </c>
      <c r="G602" s="48">
        <v>0.2</v>
      </c>
      <c r="H602" s="50">
        <f t="shared" ref="H602:H607" si="635">E602*F602*G602</f>
        <v>2.2400000000000002E-6</v>
      </c>
      <c r="I602" s="151">
        <v>1.59</v>
      </c>
      <c r="J602" s="149">
        <f>I602</f>
        <v>1.59</v>
      </c>
      <c r="K602" s="159" t="s">
        <v>175</v>
      </c>
      <c r="L602" s="164">
        <f>J602*20</f>
        <v>31.8</v>
      </c>
      <c r="M602" s="92" t="str">
        <f t="shared" ref="M602:M607" si="636">A602</f>
        <v>С1</v>
      </c>
      <c r="N602" s="92" t="str">
        <f t="shared" ref="N602:N607" si="637">B602</f>
        <v>Транспортировка Циркуляции трубопровод рег. № 1936</v>
      </c>
      <c r="O602" s="92" t="str">
        <f t="shared" ref="O602:O607" si="638">D602</f>
        <v>Полное-пожар</v>
      </c>
      <c r="P602" s="92">
        <v>17.100000000000001</v>
      </c>
      <c r="Q602" s="92">
        <v>23.5</v>
      </c>
      <c r="R602" s="92">
        <v>33.1</v>
      </c>
      <c r="S602" s="92">
        <v>61.2</v>
      </c>
      <c r="T602" s="92" t="s">
        <v>83</v>
      </c>
      <c r="U602" s="92" t="s">
        <v>83</v>
      </c>
      <c r="V602" s="92" t="s">
        <v>83</v>
      </c>
      <c r="W602" s="92" t="s">
        <v>83</v>
      </c>
      <c r="X602" s="92" t="s">
        <v>83</v>
      </c>
      <c r="Y602" s="92" t="s">
        <v>83</v>
      </c>
      <c r="Z602" s="92" t="s">
        <v>83</v>
      </c>
      <c r="AA602" s="92" t="s">
        <v>83</v>
      </c>
      <c r="AB602" s="92" t="s">
        <v>83</v>
      </c>
      <c r="AC602" s="92" t="s">
        <v>83</v>
      </c>
      <c r="AD602" s="92" t="s">
        <v>83</v>
      </c>
      <c r="AE602" s="92" t="s">
        <v>83</v>
      </c>
      <c r="AF602" s="92" t="s">
        <v>83</v>
      </c>
      <c r="AG602" s="92" t="s">
        <v>83</v>
      </c>
      <c r="AH602" s="92" t="s">
        <v>83</v>
      </c>
      <c r="AI602" s="92" t="s">
        <v>83</v>
      </c>
      <c r="AJ602" s="52">
        <v>1</v>
      </c>
      <c r="AK602" s="52">
        <v>2</v>
      </c>
      <c r="AL602" s="152">
        <v>0.75</v>
      </c>
      <c r="AM602" s="152">
        <v>2.7E-2</v>
      </c>
      <c r="AN602" s="152">
        <v>3</v>
      </c>
      <c r="AO602" s="92"/>
      <c r="AP602" s="92"/>
      <c r="AQ602" s="93">
        <f>AM602*I602+AL602</f>
        <v>0.79293000000000002</v>
      </c>
      <c r="AR602" s="93">
        <f t="shared" ref="AR602:AR607" si="639">0.1*AQ602</f>
        <v>7.9293000000000002E-2</v>
      </c>
      <c r="AS602" s="94">
        <f t="shared" ref="AS602:AS607" si="640">AJ602*3+0.25*AK602</f>
        <v>3.5</v>
      </c>
      <c r="AT602" s="94">
        <f t="shared" ref="AT602:AT607" si="641">SUM(AQ602:AS602)/4</f>
        <v>1.09305575</v>
      </c>
      <c r="AU602" s="93">
        <f>10068.2*J602*POWER(10,-6)</f>
        <v>1.6008438E-2</v>
      </c>
      <c r="AV602" s="94">
        <f t="shared" ref="AV602:AV607" si="642">AU602+AT602+AS602+AR602+AQ602</f>
        <v>5.4812871879999996</v>
      </c>
      <c r="AW602" s="95">
        <f t="shared" ref="AW602:AW607" si="643">AJ602*H602</f>
        <v>2.2400000000000002E-6</v>
      </c>
      <c r="AX602" s="95">
        <f t="shared" ref="AX602:AX607" si="644">H602*AK602</f>
        <v>4.4800000000000003E-6</v>
      </c>
      <c r="AY602" s="95">
        <f t="shared" ref="AY602:AY607" si="645">H602*AV602</f>
        <v>1.227808330112E-5</v>
      </c>
    </row>
    <row r="603" spans="1:51" ht="15" thickBot="1" x14ac:dyDescent="0.35">
      <c r="A603" s="48" t="s">
        <v>19</v>
      </c>
      <c r="B603" s="48" t="str">
        <f>B602</f>
        <v>Транспортировка Циркуляции трубопровод рег. № 1936</v>
      </c>
      <c r="C603" s="166" t="s">
        <v>174</v>
      </c>
      <c r="D603" s="49" t="s">
        <v>59</v>
      </c>
      <c r="E603" s="154">
        <f>E602</f>
        <v>9.9999999999999995E-8</v>
      </c>
      <c r="F603" s="155">
        <f>F602</f>
        <v>112</v>
      </c>
      <c r="G603" s="48">
        <v>0.04</v>
      </c>
      <c r="H603" s="50">
        <f t="shared" si="635"/>
        <v>4.4799999999999999E-7</v>
      </c>
      <c r="I603" s="149">
        <f>I602</f>
        <v>1.59</v>
      </c>
      <c r="J603" s="149">
        <f>I602</f>
        <v>1.59</v>
      </c>
      <c r="K603" s="159" t="s">
        <v>176</v>
      </c>
      <c r="L603" s="164">
        <v>0</v>
      </c>
      <c r="M603" s="92" t="str">
        <f t="shared" si="636"/>
        <v>С2</v>
      </c>
      <c r="N603" s="92" t="str">
        <f t="shared" si="637"/>
        <v>Транспортировка Циркуляции трубопровод рег. № 1936</v>
      </c>
      <c r="O603" s="92" t="str">
        <f t="shared" si="638"/>
        <v>Полное-пожар</v>
      </c>
      <c r="P603" s="92">
        <v>17.100000000000001</v>
      </c>
      <c r="Q603" s="92">
        <v>23.5</v>
      </c>
      <c r="R603" s="92">
        <v>33.1</v>
      </c>
      <c r="S603" s="92">
        <v>61.2</v>
      </c>
      <c r="T603" s="92" t="s">
        <v>83</v>
      </c>
      <c r="U603" s="92" t="s">
        <v>83</v>
      </c>
      <c r="V603" s="92" t="s">
        <v>83</v>
      </c>
      <c r="W603" s="92" t="s">
        <v>83</v>
      </c>
      <c r="X603" s="92" t="s">
        <v>83</v>
      </c>
      <c r="Y603" s="92" t="s">
        <v>83</v>
      </c>
      <c r="Z603" s="92" t="s">
        <v>83</v>
      </c>
      <c r="AA603" s="92" t="s">
        <v>83</v>
      </c>
      <c r="AB603" s="92" t="s">
        <v>83</v>
      </c>
      <c r="AC603" s="92" t="s">
        <v>83</v>
      </c>
      <c r="AD603" s="92" t="s">
        <v>83</v>
      </c>
      <c r="AE603" s="92" t="s">
        <v>83</v>
      </c>
      <c r="AF603" s="92" t="s">
        <v>83</v>
      </c>
      <c r="AG603" s="92" t="s">
        <v>83</v>
      </c>
      <c r="AH603" s="92" t="s">
        <v>83</v>
      </c>
      <c r="AI603" s="92" t="s">
        <v>83</v>
      </c>
      <c r="AJ603" s="52">
        <v>2</v>
      </c>
      <c r="AK603" s="52">
        <v>2</v>
      </c>
      <c r="AL603" s="92">
        <f>AL602</f>
        <v>0.75</v>
      </c>
      <c r="AM603" s="92">
        <f>AM602</f>
        <v>2.7E-2</v>
      </c>
      <c r="AN603" s="92">
        <f>AN602</f>
        <v>3</v>
      </c>
      <c r="AO603" s="92"/>
      <c r="AP603" s="92"/>
      <c r="AQ603" s="93">
        <f>AM603*I603+AL603</f>
        <v>0.79293000000000002</v>
      </c>
      <c r="AR603" s="93">
        <f t="shared" si="639"/>
        <v>7.9293000000000002E-2</v>
      </c>
      <c r="AS603" s="94">
        <f t="shared" si="640"/>
        <v>6.5</v>
      </c>
      <c r="AT603" s="94">
        <f t="shared" si="641"/>
        <v>1.84305575</v>
      </c>
      <c r="AU603" s="93">
        <f>10068.2*J603*POWER(10,-6)*10</f>
        <v>0.16008438</v>
      </c>
      <c r="AV603" s="94">
        <f t="shared" si="642"/>
        <v>9.3753631300000002</v>
      </c>
      <c r="AW603" s="95">
        <f t="shared" si="643"/>
        <v>8.9599999999999998E-7</v>
      </c>
      <c r="AX603" s="95">
        <f t="shared" si="644"/>
        <v>8.9599999999999998E-7</v>
      </c>
      <c r="AY603" s="95">
        <f t="shared" si="645"/>
        <v>4.20016268224E-6</v>
      </c>
    </row>
    <row r="604" spans="1:51" x14ac:dyDescent="0.3">
      <c r="A604" s="48" t="s">
        <v>20</v>
      </c>
      <c r="B604" s="48" t="str">
        <f>B602</f>
        <v>Транспортировка Циркуляции трубопровод рег. № 1936</v>
      </c>
      <c r="C604" s="166" t="s">
        <v>161</v>
      </c>
      <c r="D604" s="49" t="s">
        <v>60</v>
      </c>
      <c r="E604" s="154">
        <f>E602</f>
        <v>9.9999999999999995E-8</v>
      </c>
      <c r="F604" s="155">
        <f>F602</f>
        <v>112</v>
      </c>
      <c r="G604" s="48">
        <v>0.76</v>
      </c>
      <c r="H604" s="50">
        <f t="shared" si="635"/>
        <v>8.5119999999999991E-6</v>
      </c>
      <c r="I604" s="149">
        <f>I602</f>
        <v>1.59</v>
      </c>
      <c r="J604" s="48">
        <v>0</v>
      </c>
      <c r="K604" s="159" t="s">
        <v>177</v>
      </c>
      <c r="L604" s="164">
        <v>0</v>
      </c>
      <c r="M604" s="92" t="str">
        <f t="shared" si="636"/>
        <v>С3</v>
      </c>
      <c r="N604" s="92" t="str">
        <f t="shared" si="637"/>
        <v>Транспортировка Циркуляции трубопровод рег. № 1936</v>
      </c>
      <c r="O604" s="92" t="str">
        <f t="shared" si="638"/>
        <v>Полное-ликвидация</v>
      </c>
      <c r="P604" s="92" t="s">
        <v>83</v>
      </c>
      <c r="Q604" s="92" t="s">
        <v>83</v>
      </c>
      <c r="R604" s="92" t="s">
        <v>83</v>
      </c>
      <c r="S604" s="92" t="s">
        <v>83</v>
      </c>
      <c r="T604" s="92" t="s">
        <v>83</v>
      </c>
      <c r="U604" s="92" t="s">
        <v>83</v>
      </c>
      <c r="V604" s="92" t="s">
        <v>83</v>
      </c>
      <c r="W604" s="92" t="s">
        <v>83</v>
      </c>
      <c r="X604" s="92" t="s">
        <v>83</v>
      </c>
      <c r="Y604" s="92" t="s">
        <v>83</v>
      </c>
      <c r="Z604" s="92" t="s">
        <v>83</v>
      </c>
      <c r="AA604" s="92" t="s">
        <v>83</v>
      </c>
      <c r="AB604" s="92" t="s">
        <v>83</v>
      </c>
      <c r="AC604" s="92" t="s">
        <v>83</v>
      </c>
      <c r="AD604" s="92" t="s">
        <v>83</v>
      </c>
      <c r="AE604" s="92" t="s">
        <v>83</v>
      </c>
      <c r="AF604" s="92" t="s">
        <v>83</v>
      </c>
      <c r="AG604" s="92" t="s">
        <v>83</v>
      </c>
      <c r="AH604" s="92" t="s">
        <v>83</v>
      </c>
      <c r="AI604" s="92" t="s">
        <v>83</v>
      </c>
      <c r="AJ604" s="92">
        <v>0</v>
      </c>
      <c r="AK604" s="92">
        <v>0</v>
      </c>
      <c r="AL604" s="92">
        <f>AL602</f>
        <v>0.75</v>
      </c>
      <c r="AM604" s="92">
        <f>AM602</f>
        <v>2.7E-2</v>
      </c>
      <c r="AN604" s="92">
        <f>AN602</f>
        <v>3</v>
      </c>
      <c r="AO604" s="92"/>
      <c r="AP604" s="92"/>
      <c r="AQ604" s="93">
        <f>AM604*I604*0.1+AL604</f>
        <v>0.75429299999999999</v>
      </c>
      <c r="AR604" s="93">
        <f t="shared" si="639"/>
        <v>7.5429300000000005E-2</v>
      </c>
      <c r="AS604" s="94">
        <f t="shared" si="640"/>
        <v>0</v>
      </c>
      <c r="AT604" s="94">
        <f t="shared" si="641"/>
        <v>0.20743057500000001</v>
      </c>
      <c r="AU604" s="93">
        <f>1333*J603*POWER(10,-6)</f>
        <v>2.11947E-3</v>
      </c>
      <c r="AV604" s="94">
        <f t="shared" si="642"/>
        <v>1.0392723450000001</v>
      </c>
      <c r="AW604" s="95">
        <f t="shared" si="643"/>
        <v>0</v>
      </c>
      <c r="AX604" s="95">
        <f t="shared" si="644"/>
        <v>0</v>
      </c>
      <c r="AY604" s="95">
        <f t="shared" si="645"/>
        <v>8.8462862006399997E-6</v>
      </c>
    </row>
    <row r="605" spans="1:51" x14ac:dyDescent="0.3">
      <c r="A605" s="48" t="s">
        <v>21</v>
      </c>
      <c r="B605" s="48" t="str">
        <f>B602</f>
        <v>Транспортировка Циркуляции трубопровод рег. № 1936</v>
      </c>
      <c r="C605" s="166" t="s">
        <v>162</v>
      </c>
      <c r="D605" s="49" t="s">
        <v>84</v>
      </c>
      <c r="E605" s="153">
        <v>5.0000000000000004E-6</v>
      </c>
      <c r="F605" s="155">
        <f>F602</f>
        <v>112</v>
      </c>
      <c r="G605" s="48">
        <v>0.2</v>
      </c>
      <c r="H605" s="50">
        <f t="shared" si="635"/>
        <v>1.1200000000000001E-4</v>
      </c>
      <c r="I605" s="149">
        <f>0.15*I602</f>
        <v>0.23849999999999999</v>
      </c>
      <c r="J605" s="149">
        <f>I605</f>
        <v>0.23849999999999999</v>
      </c>
      <c r="K605" s="161" t="s">
        <v>179</v>
      </c>
      <c r="L605" s="165">
        <v>45390</v>
      </c>
      <c r="M605" s="92" t="str">
        <f t="shared" si="636"/>
        <v>С4</v>
      </c>
      <c r="N605" s="92" t="str">
        <f t="shared" si="637"/>
        <v>Транспортировка Циркуляции трубопровод рег. № 1936</v>
      </c>
      <c r="O605" s="92" t="str">
        <f t="shared" si="638"/>
        <v>Частичное-пожар</v>
      </c>
      <c r="P605" s="92">
        <v>12.8</v>
      </c>
      <c r="Q605" s="92">
        <v>16.399999999999999</v>
      </c>
      <c r="R605" s="92">
        <v>21.7</v>
      </c>
      <c r="S605" s="92">
        <v>37.299999999999997</v>
      </c>
      <c r="T605" s="92" t="s">
        <v>83</v>
      </c>
      <c r="U605" s="92" t="s">
        <v>83</v>
      </c>
      <c r="V605" s="92" t="s">
        <v>83</v>
      </c>
      <c r="W605" s="92" t="s">
        <v>83</v>
      </c>
      <c r="X605" s="92" t="s">
        <v>83</v>
      </c>
      <c r="Y605" s="92" t="s">
        <v>83</v>
      </c>
      <c r="Z605" s="92" t="s">
        <v>83</v>
      </c>
      <c r="AA605" s="92" t="s">
        <v>83</v>
      </c>
      <c r="AB605" s="92" t="s">
        <v>83</v>
      </c>
      <c r="AC605" s="92" t="s">
        <v>83</v>
      </c>
      <c r="AD605" s="92" t="s">
        <v>83</v>
      </c>
      <c r="AE605" s="92" t="s">
        <v>83</v>
      </c>
      <c r="AF605" s="92" t="s">
        <v>83</v>
      </c>
      <c r="AG605" s="92" t="s">
        <v>83</v>
      </c>
      <c r="AH605" s="92" t="s">
        <v>83</v>
      </c>
      <c r="AI605" s="92" t="s">
        <v>83</v>
      </c>
      <c r="AJ605" s="92">
        <v>0</v>
      </c>
      <c r="AK605" s="92">
        <v>2</v>
      </c>
      <c r="AL605" s="92">
        <f>0.1*$AL$2</f>
        <v>7.5000000000000002E-4</v>
      </c>
      <c r="AM605" s="92">
        <f>AM602</f>
        <v>2.7E-2</v>
      </c>
      <c r="AN605" s="92">
        <f>ROUNDUP(AN602/3,0)</f>
        <v>1</v>
      </c>
      <c r="AO605" s="92"/>
      <c r="AP605" s="92"/>
      <c r="AQ605" s="93">
        <f>AM605*I605+AL605</f>
        <v>7.1894999999999997E-3</v>
      </c>
      <c r="AR605" s="93">
        <f t="shared" si="639"/>
        <v>7.1894999999999999E-4</v>
      </c>
      <c r="AS605" s="94">
        <f t="shared" si="640"/>
        <v>0.5</v>
      </c>
      <c r="AT605" s="94">
        <f t="shared" si="641"/>
        <v>0.12697711249999999</v>
      </c>
      <c r="AU605" s="93">
        <f>10068.2*J605*POWER(10,-6)</f>
        <v>2.4012656999999999E-3</v>
      </c>
      <c r="AV605" s="94">
        <f t="shared" si="642"/>
        <v>0.63728682819999993</v>
      </c>
      <c r="AW605" s="95">
        <f t="shared" si="643"/>
        <v>0</v>
      </c>
      <c r="AX605" s="95">
        <f t="shared" si="644"/>
        <v>2.2400000000000002E-4</v>
      </c>
      <c r="AY605" s="95">
        <f t="shared" si="645"/>
        <v>7.1376124758399997E-5</v>
      </c>
    </row>
    <row r="606" spans="1:51" x14ac:dyDescent="0.3">
      <c r="A606" s="48" t="s">
        <v>22</v>
      </c>
      <c r="B606" s="48" t="str">
        <f>B602</f>
        <v>Транспортировка Циркуляции трубопровод рег. № 1936</v>
      </c>
      <c r="C606" s="166" t="s">
        <v>190</v>
      </c>
      <c r="D606" s="49" t="s">
        <v>84</v>
      </c>
      <c r="E606" s="154">
        <f>E605</f>
        <v>5.0000000000000004E-6</v>
      </c>
      <c r="F606" s="155">
        <f>F602</f>
        <v>112</v>
      </c>
      <c r="G606" s="48">
        <v>0.04</v>
      </c>
      <c r="H606" s="50">
        <f t="shared" si="635"/>
        <v>2.2400000000000002E-5</v>
      </c>
      <c r="I606" s="149">
        <f>0.15*I602</f>
        <v>0.23849999999999999</v>
      </c>
      <c r="J606" s="149">
        <f>I605</f>
        <v>0.23849999999999999</v>
      </c>
      <c r="K606" s="161" t="s">
        <v>180</v>
      </c>
      <c r="L606" s="165">
        <v>3</v>
      </c>
      <c r="M606" s="92" t="str">
        <f t="shared" si="636"/>
        <v>С5</v>
      </c>
      <c r="N606" s="92" t="str">
        <f t="shared" si="637"/>
        <v>Транспортировка Циркуляции трубопровод рег. № 1936</v>
      </c>
      <c r="O606" s="92" t="str">
        <f t="shared" si="638"/>
        <v>Частичное-пожар</v>
      </c>
      <c r="P606" s="92">
        <v>12.8</v>
      </c>
      <c r="Q606" s="92">
        <v>16.399999999999999</v>
      </c>
      <c r="R606" s="92">
        <v>21.7</v>
      </c>
      <c r="S606" s="92">
        <v>37.299999999999997</v>
      </c>
      <c r="T606" s="92" t="s">
        <v>83</v>
      </c>
      <c r="U606" s="92" t="s">
        <v>83</v>
      </c>
      <c r="V606" s="92" t="s">
        <v>83</v>
      </c>
      <c r="W606" s="92" t="s">
        <v>83</v>
      </c>
      <c r="X606" s="92" t="s">
        <v>83</v>
      </c>
      <c r="Y606" s="92" t="s">
        <v>83</v>
      </c>
      <c r="Z606" s="92" t="s">
        <v>83</v>
      </c>
      <c r="AA606" s="92" t="s">
        <v>83</v>
      </c>
      <c r="AB606" s="92" t="s">
        <v>83</v>
      </c>
      <c r="AC606" s="92" t="s">
        <v>83</v>
      </c>
      <c r="AD606" s="92" t="s">
        <v>83</v>
      </c>
      <c r="AE606" s="92" t="s">
        <v>83</v>
      </c>
      <c r="AF606" s="92" t="s">
        <v>83</v>
      </c>
      <c r="AG606" s="92" t="s">
        <v>83</v>
      </c>
      <c r="AH606" s="92" t="s">
        <v>83</v>
      </c>
      <c r="AI606" s="92" t="s">
        <v>83</v>
      </c>
      <c r="AJ606" s="92">
        <v>0</v>
      </c>
      <c r="AK606" s="92">
        <v>1</v>
      </c>
      <c r="AL606" s="92">
        <f>0.1*$AL$2</f>
        <v>7.5000000000000002E-4</v>
      </c>
      <c r="AM606" s="92">
        <f>AM602</f>
        <v>2.7E-2</v>
      </c>
      <c r="AN606" s="92">
        <f>ROUNDUP(AN602/3,0)</f>
        <v>1</v>
      </c>
      <c r="AO606" s="92"/>
      <c r="AP606" s="92"/>
      <c r="AQ606" s="93">
        <f>AM606*I606+AL606</f>
        <v>7.1894999999999997E-3</v>
      </c>
      <c r="AR606" s="93">
        <f t="shared" si="639"/>
        <v>7.1894999999999999E-4</v>
      </c>
      <c r="AS606" s="94">
        <f t="shared" si="640"/>
        <v>0.25</v>
      </c>
      <c r="AT606" s="94">
        <f t="shared" si="641"/>
        <v>6.4477112500000003E-2</v>
      </c>
      <c r="AU606" s="93">
        <f>10068.2*J606*POWER(10,-6)*10</f>
        <v>2.4012657E-2</v>
      </c>
      <c r="AV606" s="94">
        <f t="shared" si="642"/>
        <v>0.34639821949999999</v>
      </c>
      <c r="AW606" s="95">
        <f t="shared" si="643"/>
        <v>0</v>
      </c>
      <c r="AX606" s="95">
        <f t="shared" si="644"/>
        <v>2.2400000000000002E-5</v>
      </c>
      <c r="AY606" s="95">
        <f t="shared" si="645"/>
        <v>7.7593201168000007E-6</v>
      </c>
    </row>
    <row r="607" spans="1:51" ht="15" thickBot="1" x14ac:dyDescent="0.35">
      <c r="A607" s="48" t="s">
        <v>23</v>
      </c>
      <c r="B607" s="48" t="str">
        <f>B602</f>
        <v>Транспортировка Циркуляции трубопровод рег. № 1936</v>
      </c>
      <c r="C607" s="166" t="s">
        <v>164</v>
      </c>
      <c r="D607" s="49" t="s">
        <v>61</v>
      </c>
      <c r="E607" s="154">
        <f>E605</f>
        <v>5.0000000000000004E-6</v>
      </c>
      <c r="F607" s="155">
        <f>F602</f>
        <v>112</v>
      </c>
      <c r="G607" s="48">
        <v>0.76</v>
      </c>
      <c r="H607" s="50">
        <f t="shared" si="635"/>
        <v>4.2560000000000005E-4</v>
      </c>
      <c r="I607" s="149">
        <f>0.15*I602</f>
        <v>0.23849999999999999</v>
      </c>
      <c r="J607" s="48">
        <v>0</v>
      </c>
      <c r="K607" s="162" t="s">
        <v>191</v>
      </c>
      <c r="L607" s="168">
        <v>3</v>
      </c>
      <c r="M607" s="92" t="str">
        <f t="shared" si="636"/>
        <v>С6</v>
      </c>
      <c r="N607" s="92" t="str">
        <f t="shared" si="637"/>
        <v>Транспортировка Циркуляции трубопровод рег. № 1936</v>
      </c>
      <c r="O607" s="92" t="str">
        <f t="shared" si="638"/>
        <v>Частичное-ликвидация</v>
      </c>
      <c r="P607" s="92" t="s">
        <v>83</v>
      </c>
      <c r="Q607" s="92" t="s">
        <v>83</v>
      </c>
      <c r="R607" s="92" t="s">
        <v>83</v>
      </c>
      <c r="S607" s="92" t="s">
        <v>83</v>
      </c>
      <c r="T607" s="92" t="s">
        <v>83</v>
      </c>
      <c r="U607" s="92" t="s">
        <v>83</v>
      </c>
      <c r="V607" s="92" t="s">
        <v>83</v>
      </c>
      <c r="W607" s="92" t="s">
        <v>83</v>
      </c>
      <c r="X607" s="92" t="s">
        <v>83</v>
      </c>
      <c r="Y607" s="92" t="s">
        <v>83</v>
      </c>
      <c r="Z607" s="92" t="s">
        <v>83</v>
      </c>
      <c r="AA607" s="92" t="s">
        <v>83</v>
      </c>
      <c r="AB607" s="92" t="s">
        <v>83</v>
      </c>
      <c r="AC607" s="92" t="s">
        <v>83</v>
      </c>
      <c r="AD607" s="92" t="s">
        <v>83</v>
      </c>
      <c r="AE607" s="92" t="s">
        <v>83</v>
      </c>
      <c r="AF607" s="92" t="s">
        <v>83</v>
      </c>
      <c r="AG607" s="92" t="s">
        <v>83</v>
      </c>
      <c r="AH607" s="92" t="s">
        <v>83</v>
      </c>
      <c r="AI607" s="92" t="s">
        <v>83</v>
      </c>
      <c r="AJ607" s="92">
        <v>0</v>
      </c>
      <c r="AK607" s="92">
        <v>0</v>
      </c>
      <c r="AL607" s="92">
        <f>0.1*$AL$2</f>
        <v>7.5000000000000002E-4</v>
      </c>
      <c r="AM607" s="92">
        <f>AM602</f>
        <v>2.7E-2</v>
      </c>
      <c r="AN607" s="92">
        <f>ROUNDUP(AN602/3,0)</f>
        <v>1</v>
      </c>
      <c r="AO607" s="92"/>
      <c r="AP607" s="92"/>
      <c r="AQ607" s="93">
        <f>AM607*I607*0.1+AL607</f>
        <v>1.3939500000000001E-3</v>
      </c>
      <c r="AR607" s="93">
        <f t="shared" si="639"/>
        <v>1.3939500000000003E-4</v>
      </c>
      <c r="AS607" s="94">
        <f t="shared" si="640"/>
        <v>0</v>
      </c>
      <c r="AT607" s="94">
        <f t="shared" si="641"/>
        <v>3.8333625000000005E-4</v>
      </c>
      <c r="AU607" s="93">
        <f>1333*J606*POWER(10,-6)</f>
        <v>3.1792049999999997E-4</v>
      </c>
      <c r="AV607" s="94">
        <f t="shared" si="642"/>
        <v>2.2346017500000002E-3</v>
      </c>
      <c r="AW607" s="95">
        <f t="shared" si="643"/>
        <v>0</v>
      </c>
      <c r="AX607" s="95">
        <f t="shared" si="644"/>
        <v>0</v>
      </c>
      <c r="AY607" s="95">
        <f t="shared" si="645"/>
        <v>9.5104650480000018E-7</v>
      </c>
    </row>
    <row r="608" spans="1:51" x14ac:dyDescent="0.3">
      <c r="A608" s="48"/>
      <c r="B608" s="48"/>
      <c r="C608" s="166"/>
      <c r="D608" s="49"/>
      <c r="E608" s="154"/>
      <c r="F608" s="155"/>
      <c r="G608" s="48"/>
      <c r="H608" s="50"/>
      <c r="I608" s="149"/>
      <c r="J608" s="48"/>
      <c r="K608" s="278"/>
      <c r="L608" s="279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  <c r="AE608" s="92"/>
      <c r="AF608" s="92"/>
      <c r="AG608" s="92"/>
      <c r="AH608" s="92"/>
      <c r="AI608" s="92"/>
      <c r="AJ608" s="92"/>
      <c r="AK608" s="92"/>
      <c r="AL608" s="92"/>
      <c r="AM608" s="92"/>
      <c r="AN608" s="92"/>
      <c r="AO608" s="92"/>
      <c r="AP608" s="92"/>
      <c r="AQ608" s="93"/>
      <c r="AR608" s="93"/>
      <c r="AS608" s="94"/>
      <c r="AT608" s="94"/>
      <c r="AU608" s="93"/>
      <c r="AV608" s="94"/>
      <c r="AW608" s="95"/>
      <c r="AX608" s="95"/>
      <c r="AY608" s="95"/>
    </row>
    <row r="609" spans="1:51" s="267" customFormat="1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</row>
    <row r="610" spans="1:51" s="267" customFormat="1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</row>
    <row r="611" spans="1:51" ht="15" thickBot="1" x14ac:dyDescent="0.35"/>
    <row r="612" spans="1:51" s="179" customFormat="1" ht="15" thickBot="1" x14ac:dyDescent="0.35">
      <c r="A612" s="169" t="s">
        <v>18</v>
      </c>
      <c r="B612" s="312" t="s">
        <v>652</v>
      </c>
      <c r="C612" s="171" t="s">
        <v>196</v>
      </c>
      <c r="D612" s="172" t="s">
        <v>59</v>
      </c>
      <c r="E612" s="173">
        <v>1.0000000000000001E-5</v>
      </c>
      <c r="F612" s="170">
        <v>1</v>
      </c>
      <c r="G612" s="169">
        <v>0.1</v>
      </c>
      <c r="H612" s="174">
        <f t="shared" ref="H612:H617" si="646">E612*F612*G612</f>
        <v>1.0000000000000002E-6</v>
      </c>
      <c r="I612" s="175">
        <v>1398</v>
      </c>
      <c r="J612" s="187">
        <f>I612</f>
        <v>1398</v>
      </c>
      <c r="K612" s="177" t="s">
        <v>175</v>
      </c>
      <c r="L612" s="178">
        <v>2700</v>
      </c>
      <c r="M612" s="179" t="str">
        <f t="shared" ref="M612:M617" si="647">A612</f>
        <v>С1</v>
      </c>
      <c r="N612" s="179" t="str">
        <f t="shared" ref="N612:N617" si="648">B612</f>
        <v>Резервуар РВС (8212T0001)</v>
      </c>
      <c r="O612" s="179" t="str">
        <f t="shared" ref="O612:O617" si="649">D612</f>
        <v>Полное-пожар</v>
      </c>
      <c r="P612" s="179" t="s">
        <v>83</v>
      </c>
      <c r="Q612" s="179" t="s">
        <v>83</v>
      </c>
      <c r="R612" s="179" t="s">
        <v>83</v>
      </c>
      <c r="S612" s="179" t="s">
        <v>83</v>
      </c>
      <c r="T612" s="179" t="s">
        <v>83</v>
      </c>
      <c r="U612" s="179" t="s">
        <v>83</v>
      </c>
      <c r="V612" s="179" t="s">
        <v>83</v>
      </c>
      <c r="W612" s="179" t="s">
        <v>83</v>
      </c>
      <c r="X612" s="179" t="s">
        <v>83</v>
      </c>
      <c r="Y612" s="179" t="s">
        <v>83</v>
      </c>
      <c r="Z612" s="179" t="s">
        <v>83</v>
      </c>
      <c r="AA612" s="179" t="s">
        <v>83</v>
      </c>
      <c r="AB612" s="179" t="s">
        <v>83</v>
      </c>
      <c r="AC612" s="179" t="s">
        <v>83</v>
      </c>
      <c r="AD612" s="179" t="s">
        <v>83</v>
      </c>
      <c r="AE612" s="179" t="s">
        <v>83</v>
      </c>
      <c r="AF612" s="179" t="s">
        <v>83</v>
      </c>
      <c r="AG612" s="179" t="s">
        <v>83</v>
      </c>
      <c r="AH612" s="179" t="s">
        <v>83</v>
      </c>
      <c r="AI612" s="179" t="s">
        <v>83</v>
      </c>
      <c r="AJ612" s="180">
        <v>1</v>
      </c>
      <c r="AK612" s="180">
        <v>2</v>
      </c>
      <c r="AL612" s="181">
        <v>0.75</v>
      </c>
      <c r="AM612" s="181">
        <v>2.7E-2</v>
      </c>
      <c r="AN612" s="181">
        <v>3</v>
      </c>
      <c r="AQ612" s="182">
        <f>AM612*I612+AL612</f>
        <v>38.496000000000002</v>
      </c>
      <c r="AR612" s="182">
        <f t="shared" ref="AR612:AR617" si="650">0.1*AQ612</f>
        <v>3.8496000000000006</v>
      </c>
      <c r="AS612" s="183">
        <f t="shared" ref="AS612:AS617" si="651">AJ612*3+0.25*AK612</f>
        <v>3.5</v>
      </c>
      <c r="AT612" s="183">
        <f t="shared" ref="AT612:AT617" si="652">SUM(AQ612:AS612)/4</f>
        <v>11.461400000000001</v>
      </c>
      <c r="AU612" s="182">
        <f>10068.2*J612*POWER(10,-6)</f>
        <v>14.0753436</v>
      </c>
      <c r="AV612" s="183">
        <f t="shared" ref="AV612:AV617" si="653">AU612+AT612+AS612+AR612+AQ612</f>
        <v>71.382343600000013</v>
      </c>
      <c r="AW612" s="184">
        <f t="shared" ref="AW612:AW617" si="654">AJ612*H612</f>
        <v>1.0000000000000002E-6</v>
      </c>
      <c r="AX612" s="184">
        <f t="shared" ref="AX612:AX617" si="655">H612*AK612</f>
        <v>2.0000000000000003E-6</v>
      </c>
      <c r="AY612" s="184">
        <f t="shared" ref="AY612:AY617" si="656">H612*AV612</f>
        <v>7.138234360000003E-5</v>
      </c>
    </row>
    <row r="613" spans="1:51" s="179" customFormat="1" ht="15" thickBot="1" x14ac:dyDescent="0.35">
      <c r="A613" s="169" t="s">
        <v>19</v>
      </c>
      <c r="B613" s="169" t="str">
        <f>B612</f>
        <v>Резервуар РВС (8212T0001)</v>
      </c>
      <c r="C613" s="171" t="s">
        <v>205</v>
      </c>
      <c r="D613" s="172" t="s">
        <v>59</v>
      </c>
      <c r="E613" s="185">
        <f>E612</f>
        <v>1.0000000000000001E-5</v>
      </c>
      <c r="F613" s="186">
        <f>F612</f>
        <v>1</v>
      </c>
      <c r="G613" s="169">
        <v>0.18000000000000002</v>
      </c>
      <c r="H613" s="174">
        <f t="shared" si="646"/>
        <v>1.8000000000000003E-6</v>
      </c>
      <c r="I613" s="187">
        <f>I612</f>
        <v>1398</v>
      </c>
      <c r="J613" s="187">
        <f>I612</f>
        <v>1398</v>
      </c>
      <c r="K613" s="177" t="s">
        <v>176</v>
      </c>
      <c r="L613" s="178">
        <v>0</v>
      </c>
      <c r="M613" s="179" t="str">
        <f t="shared" si="647"/>
        <v>С2</v>
      </c>
      <c r="N613" s="179" t="str">
        <f t="shared" si="648"/>
        <v>Резервуар РВС (8212T0001)</v>
      </c>
      <c r="O613" s="179" t="str">
        <f t="shared" si="649"/>
        <v>Полное-пожар</v>
      </c>
      <c r="P613" s="179" t="s">
        <v>83</v>
      </c>
      <c r="Q613" s="179" t="s">
        <v>83</v>
      </c>
      <c r="R613" s="179" t="s">
        <v>83</v>
      </c>
      <c r="S613" s="179" t="s">
        <v>83</v>
      </c>
      <c r="T613" s="179" t="s">
        <v>83</v>
      </c>
      <c r="U613" s="179" t="s">
        <v>83</v>
      </c>
      <c r="V613" s="179" t="s">
        <v>83</v>
      </c>
      <c r="W613" s="179" t="s">
        <v>83</v>
      </c>
      <c r="X613" s="179" t="s">
        <v>83</v>
      </c>
      <c r="Y613" s="179" t="s">
        <v>83</v>
      </c>
      <c r="Z613" s="179" t="s">
        <v>83</v>
      </c>
      <c r="AA613" s="179" t="s">
        <v>83</v>
      </c>
      <c r="AB613" s="179" t="s">
        <v>83</v>
      </c>
      <c r="AC613" s="179" t="s">
        <v>83</v>
      </c>
      <c r="AD613" s="179" t="s">
        <v>83</v>
      </c>
      <c r="AE613" s="179" t="s">
        <v>83</v>
      </c>
      <c r="AF613" s="179" t="s">
        <v>83</v>
      </c>
      <c r="AG613" s="179" t="s">
        <v>83</v>
      </c>
      <c r="AH613" s="179" t="s">
        <v>83</v>
      </c>
      <c r="AI613" s="179" t="s">
        <v>83</v>
      </c>
      <c r="AJ613" s="180">
        <v>2</v>
      </c>
      <c r="AK613" s="180">
        <v>2</v>
      </c>
      <c r="AL613" s="179">
        <f>AL612</f>
        <v>0.75</v>
      </c>
      <c r="AM613" s="179">
        <f>AM612</f>
        <v>2.7E-2</v>
      </c>
      <c r="AN613" s="179">
        <f>AN612</f>
        <v>3</v>
      </c>
      <c r="AQ613" s="182">
        <f>AM613*I613+AL613</f>
        <v>38.496000000000002</v>
      </c>
      <c r="AR613" s="182">
        <f t="shared" si="650"/>
        <v>3.8496000000000006</v>
      </c>
      <c r="AS613" s="183">
        <f t="shared" si="651"/>
        <v>6.5</v>
      </c>
      <c r="AT613" s="183">
        <f t="shared" si="652"/>
        <v>12.211400000000001</v>
      </c>
      <c r="AU613" s="182">
        <f>10068.2*J613*POWER(10,-6)*10</f>
        <v>140.75343599999999</v>
      </c>
      <c r="AV613" s="183">
        <f t="shared" si="653"/>
        <v>201.81043600000001</v>
      </c>
      <c r="AW613" s="184">
        <f t="shared" si="654"/>
        <v>3.6000000000000007E-6</v>
      </c>
      <c r="AX613" s="184">
        <f t="shared" si="655"/>
        <v>3.6000000000000007E-6</v>
      </c>
      <c r="AY613" s="184">
        <f t="shared" si="656"/>
        <v>3.6325878480000009E-4</v>
      </c>
    </row>
    <row r="614" spans="1:51" s="179" customFormat="1" x14ac:dyDescent="0.3">
      <c r="A614" s="169" t="s">
        <v>20</v>
      </c>
      <c r="B614" s="169" t="str">
        <f>B612</f>
        <v>Резервуар РВС (8212T0001)</v>
      </c>
      <c r="C614" s="171" t="s">
        <v>198</v>
      </c>
      <c r="D614" s="172" t="s">
        <v>60</v>
      </c>
      <c r="E614" s="185">
        <f>E612</f>
        <v>1.0000000000000001E-5</v>
      </c>
      <c r="F614" s="186">
        <f>F612</f>
        <v>1</v>
      </c>
      <c r="G614" s="169">
        <v>0.72000000000000008</v>
      </c>
      <c r="H614" s="174">
        <f t="shared" si="646"/>
        <v>7.2000000000000014E-6</v>
      </c>
      <c r="I614" s="187">
        <f>I612</f>
        <v>1398</v>
      </c>
      <c r="J614" s="169">
        <v>0</v>
      </c>
      <c r="K614" s="177" t="s">
        <v>177</v>
      </c>
      <c r="L614" s="178">
        <v>0</v>
      </c>
      <c r="M614" s="179" t="str">
        <f t="shared" si="647"/>
        <v>С3</v>
      </c>
      <c r="N614" s="179" t="str">
        <f t="shared" si="648"/>
        <v>Резервуар РВС (8212T0001)</v>
      </c>
      <c r="O614" s="179" t="str">
        <f t="shared" si="649"/>
        <v>Полное-ликвидация</v>
      </c>
      <c r="P614" s="179" t="s">
        <v>83</v>
      </c>
      <c r="Q614" s="179" t="s">
        <v>83</v>
      </c>
      <c r="R614" s="179" t="s">
        <v>83</v>
      </c>
      <c r="S614" s="179" t="s">
        <v>83</v>
      </c>
      <c r="T614" s="179" t="s">
        <v>83</v>
      </c>
      <c r="U614" s="179" t="s">
        <v>83</v>
      </c>
      <c r="V614" s="179" t="s">
        <v>83</v>
      </c>
      <c r="W614" s="179" t="s">
        <v>83</v>
      </c>
      <c r="X614" s="179" t="s">
        <v>83</v>
      </c>
      <c r="Y614" s="179" t="s">
        <v>83</v>
      </c>
      <c r="Z614" s="179" t="s">
        <v>83</v>
      </c>
      <c r="AA614" s="179" t="s">
        <v>83</v>
      </c>
      <c r="AB614" s="179" t="s">
        <v>83</v>
      </c>
      <c r="AC614" s="179" t="s">
        <v>83</v>
      </c>
      <c r="AD614" s="179" t="s">
        <v>83</v>
      </c>
      <c r="AE614" s="179" t="s">
        <v>83</v>
      </c>
      <c r="AF614" s="179" t="s">
        <v>83</v>
      </c>
      <c r="AG614" s="179" t="s">
        <v>83</v>
      </c>
      <c r="AH614" s="179" t="s">
        <v>83</v>
      </c>
      <c r="AI614" s="179" t="s">
        <v>83</v>
      </c>
      <c r="AJ614" s="179">
        <v>0</v>
      </c>
      <c r="AK614" s="179">
        <v>0</v>
      </c>
      <c r="AL614" s="179">
        <f>AL612</f>
        <v>0.75</v>
      </c>
      <c r="AM614" s="179">
        <f>AM612</f>
        <v>2.7E-2</v>
      </c>
      <c r="AN614" s="179">
        <f>AN612</f>
        <v>3</v>
      </c>
      <c r="AQ614" s="182">
        <f>AM614*I614*0.1+AL614</f>
        <v>4.5246000000000004</v>
      </c>
      <c r="AR614" s="182">
        <f t="shared" si="650"/>
        <v>0.45246000000000008</v>
      </c>
      <c r="AS614" s="183">
        <f t="shared" si="651"/>
        <v>0</v>
      </c>
      <c r="AT614" s="183">
        <f t="shared" si="652"/>
        <v>1.2442650000000002</v>
      </c>
      <c r="AU614" s="182">
        <f>1333*J613*POWER(10,-6)</f>
        <v>1.863534</v>
      </c>
      <c r="AV614" s="183">
        <f t="shared" si="653"/>
        <v>8.0848590000000016</v>
      </c>
      <c r="AW614" s="184">
        <f t="shared" si="654"/>
        <v>0</v>
      </c>
      <c r="AX614" s="184">
        <f t="shared" si="655"/>
        <v>0</v>
      </c>
      <c r="AY614" s="184">
        <f t="shared" si="656"/>
        <v>5.8210984800000025E-5</v>
      </c>
    </row>
    <row r="615" spans="1:51" s="179" customFormat="1" x14ac:dyDescent="0.3">
      <c r="A615" s="169" t="s">
        <v>21</v>
      </c>
      <c r="B615" s="169" t="str">
        <f>B612</f>
        <v>Резервуар РВС (8212T0001)</v>
      </c>
      <c r="C615" s="171" t="s">
        <v>199</v>
      </c>
      <c r="D615" s="172" t="s">
        <v>84</v>
      </c>
      <c r="E615" s="173">
        <v>1E-4</v>
      </c>
      <c r="F615" s="186">
        <f>F612</f>
        <v>1</v>
      </c>
      <c r="G615" s="169">
        <v>0.1</v>
      </c>
      <c r="H615" s="174">
        <f t="shared" si="646"/>
        <v>1.0000000000000001E-5</v>
      </c>
      <c r="I615" s="187">
        <f>0.15*I612</f>
        <v>209.7</v>
      </c>
      <c r="J615" s="187">
        <f>I615</f>
        <v>209.7</v>
      </c>
      <c r="K615" s="190" t="s">
        <v>179</v>
      </c>
      <c r="L615" s="191">
        <v>45390</v>
      </c>
      <c r="M615" s="179" t="str">
        <f t="shared" si="647"/>
        <v>С4</v>
      </c>
      <c r="N615" s="179" t="str">
        <f t="shared" si="648"/>
        <v>Резервуар РВС (8212T0001)</v>
      </c>
      <c r="O615" s="179" t="str">
        <f t="shared" si="649"/>
        <v>Частичное-пожар</v>
      </c>
      <c r="P615" s="179" t="s">
        <v>83</v>
      </c>
      <c r="Q615" s="179" t="s">
        <v>83</v>
      </c>
      <c r="R615" s="179" t="s">
        <v>83</v>
      </c>
      <c r="S615" s="179" t="s">
        <v>83</v>
      </c>
      <c r="T615" s="179" t="s">
        <v>83</v>
      </c>
      <c r="U615" s="179" t="s">
        <v>83</v>
      </c>
      <c r="V615" s="179" t="s">
        <v>83</v>
      </c>
      <c r="W615" s="179" t="s">
        <v>83</v>
      </c>
      <c r="X615" s="179" t="s">
        <v>83</v>
      </c>
      <c r="Y615" s="179" t="s">
        <v>83</v>
      </c>
      <c r="Z615" s="179" t="s">
        <v>83</v>
      </c>
      <c r="AA615" s="179" t="s">
        <v>83</v>
      </c>
      <c r="AB615" s="179" t="s">
        <v>83</v>
      </c>
      <c r="AC615" s="179" t="s">
        <v>83</v>
      </c>
      <c r="AD615" s="179" t="s">
        <v>83</v>
      </c>
      <c r="AE615" s="179" t="s">
        <v>83</v>
      </c>
      <c r="AF615" s="179" t="s">
        <v>83</v>
      </c>
      <c r="AG615" s="179" t="s">
        <v>83</v>
      </c>
      <c r="AH615" s="179" t="s">
        <v>83</v>
      </c>
      <c r="AI615" s="179" t="s">
        <v>83</v>
      </c>
      <c r="AJ615" s="179">
        <v>0</v>
      </c>
      <c r="AK615" s="179">
        <v>2</v>
      </c>
      <c r="AL615" s="179">
        <f>0.1*$AL$2</f>
        <v>7.5000000000000002E-4</v>
      </c>
      <c r="AM615" s="179">
        <f>AM612</f>
        <v>2.7E-2</v>
      </c>
      <c r="AN615" s="179">
        <f>ROUNDUP(AN612/3,0)</f>
        <v>1</v>
      </c>
      <c r="AQ615" s="182">
        <f>AM615*I615+AL615</f>
        <v>5.6626499999999993</v>
      </c>
      <c r="AR615" s="182">
        <f t="shared" si="650"/>
        <v>0.56626499999999991</v>
      </c>
      <c r="AS615" s="183">
        <f t="shared" si="651"/>
        <v>0.5</v>
      </c>
      <c r="AT615" s="183">
        <f t="shared" si="652"/>
        <v>1.6822287499999997</v>
      </c>
      <c r="AU615" s="182">
        <f>10068.2*J615*POWER(10,-6)</f>
        <v>2.1113015399999999</v>
      </c>
      <c r="AV615" s="183">
        <f t="shared" si="653"/>
        <v>10.522445289999999</v>
      </c>
      <c r="AW615" s="184">
        <f t="shared" si="654"/>
        <v>0</v>
      </c>
      <c r="AX615" s="184">
        <f t="shared" si="655"/>
        <v>2.0000000000000002E-5</v>
      </c>
      <c r="AY615" s="184">
        <f t="shared" si="656"/>
        <v>1.0522445289999999E-4</v>
      </c>
    </row>
    <row r="616" spans="1:51" s="179" customFormat="1" x14ac:dyDescent="0.3">
      <c r="A616" s="169" t="s">
        <v>22</v>
      </c>
      <c r="B616" s="169" t="str">
        <f>B612</f>
        <v>Резервуар РВС (8212T0001)</v>
      </c>
      <c r="C616" s="171" t="s">
        <v>206</v>
      </c>
      <c r="D616" s="172" t="s">
        <v>84</v>
      </c>
      <c r="E616" s="185">
        <f>E615</f>
        <v>1E-4</v>
      </c>
      <c r="F616" s="186">
        <f>F612</f>
        <v>1</v>
      </c>
      <c r="G616" s="169">
        <v>4.5000000000000005E-2</v>
      </c>
      <c r="H616" s="174">
        <f t="shared" si="646"/>
        <v>4.500000000000001E-6</v>
      </c>
      <c r="I616" s="187">
        <f>0.15*I612</f>
        <v>209.7</v>
      </c>
      <c r="J616" s="187">
        <f>I615</f>
        <v>209.7</v>
      </c>
      <c r="K616" s="190" t="s">
        <v>180</v>
      </c>
      <c r="L616" s="191">
        <v>3</v>
      </c>
      <c r="M616" s="179" t="str">
        <f t="shared" si="647"/>
        <v>С5</v>
      </c>
      <c r="N616" s="179" t="str">
        <f t="shared" si="648"/>
        <v>Резервуар РВС (8212T0001)</v>
      </c>
      <c r="O616" s="179" t="str">
        <f t="shared" si="649"/>
        <v>Частичное-пожар</v>
      </c>
      <c r="P616" s="179" t="s">
        <v>83</v>
      </c>
      <c r="Q616" s="179" t="s">
        <v>83</v>
      </c>
      <c r="R616" s="179" t="s">
        <v>83</v>
      </c>
      <c r="S616" s="179" t="s">
        <v>83</v>
      </c>
      <c r="T616" s="179" t="s">
        <v>83</v>
      </c>
      <c r="U616" s="179" t="s">
        <v>83</v>
      </c>
      <c r="V616" s="179" t="s">
        <v>83</v>
      </c>
      <c r="W616" s="179" t="s">
        <v>83</v>
      </c>
      <c r="X616" s="179" t="s">
        <v>83</v>
      </c>
      <c r="Y616" s="179" t="s">
        <v>83</v>
      </c>
      <c r="Z616" s="179" t="s">
        <v>83</v>
      </c>
      <c r="AA616" s="179" t="s">
        <v>83</v>
      </c>
      <c r="AB616" s="179" t="s">
        <v>83</v>
      </c>
      <c r="AC616" s="179" t="s">
        <v>83</v>
      </c>
      <c r="AD616" s="179" t="s">
        <v>83</v>
      </c>
      <c r="AE616" s="179" t="s">
        <v>83</v>
      </c>
      <c r="AF616" s="179" t="s">
        <v>83</v>
      </c>
      <c r="AG616" s="179" t="s">
        <v>83</v>
      </c>
      <c r="AH616" s="179" t="s">
        <v>83</v>
      </c>
      <c r="AI616" s="179" t="s">
        <v>83</v>
      </c>
      <c r="AJ616" s="179">
        <v>0</v>
      </c>
      <c r="AK616" s="179">
        <v>1</v>
      </c>
      <c r="AL616" s="179">
        <f>0.1*$AL$2</f>
        <v>7.5000000000000002E-4</v>
      </c>
      <c r="AM616" s="179">
        <f>AM612</f>
        <v>2.7E-2</v>
      </c>
      <c r="AN616" s="179">
        <f>ROUNDUP(AN612/3,0)</f>
        <v>1</v>
      </c>
      <c r="AQ616" s="182">
        <f>AM616*I616+AL616</f>
        <v>5.6626499999999993</v>
      </c>
      <c r="AR616" s="182">
        <f t="shared" si="650"/>
        <v>0.56626499999999991</v>
      </c>
      <c r="AS616" s="183">
        <f t="shared" si="651"/>
        <v>0.25</v>
      </c>
      <c r="AT616" s="183">
        <f t="shared" si="652"/>
        <v>1.6197287499999997</v>
      </c>
      <c r="AU616" s="182">
        <f>10068.2*J616*POWER(10,-6)*10</f>
        <v>21.113015399999998</v>
      </c>
      <c r="AV616" s="183">
        <f t="shared" si="653"/>
        <v>29.211659149999999</v>
      </c>
      <c r="AW616" s="184">
        <f t="shared" si="654"/>
        <v>0</v>
      </c>
      <c r="AX616" s="184">
        <f t="shared" si="655"/>
        <v>4.500000000000001E-6</v>
      </c>
      <c r="AY616" s="184">
        <f t="shared" si="656"/>
        <v>1.3145246617500002E-4</v>
      </c>
    </row>
    <row r="617" spans="1:51" s="179" customFormat="1" ht="15" thickBot="1" x14ac:dyDescent="0.35">
      <c r="A617" s="169" t="s">
        <v>23</v>
      </c>
      <c r="B617" s="169" t="str">
        <f>B612</f>
        <v>Резервуар РВС (8212T0001)</v>
      </c>
      <c r="C617" s="171" t="s">
        <v>201</v>
      </c>
      <c r="D617" s="172" t="s">
        <v>61</v>
      </c>
      <c r="E617" s="185">
        <f>E615</f>
        <v>1E-4</v>
      </c>
      <c r="F617" s="186">
        <f>F612</f>
        <v>1</v>
      </c>
      <c r="G617" s="169">
        <v>0.85499999999999998</v>
      </c>
      <c r="H617" s="174">
        <f t="shared" si="646"/>
        <v>8.5500000000000005E-5</v>
      </c>
      <c r="I617" s="187">
        <f>0.15*I612</f>
        <v>209.7</v>
      </c>
      <c r="J617" s="169">
        <v>0</v>
      </c>
      <c r="K617" s="192" t="s">
        <v>191</v>
      </c>
      <c r="L617" s="192">
        <v>11</v>
      </c>
      <c r="M617" s="179" t="str">
        <f t="shared" si="647"/>
        <v>С6</v>
      </c>
      <c r="N617" s="179" t="str">
        <f t="shared" si="648"/>
        <v>Резервуар РВС (8212T0001)</v>
      </c>
      <c r="O617" s="179" t="str">
        <f t="shared" si="649"/>
        <v>Частичное-ликвидация</v>
      </c>
      <c r="P617" s="179" t="s">
        <v>83</v>
      </c>
      <c r="Q617" s="179" t="s">
        <v>83</v>
      </c>
      <c r="R617" s="179" t="s">
        <v>83</v>
      </c>
      <c r="S617" s="179" t="s">
        <v>83</v>
      </c>
      <c r="T617" s="179" t="s">
        <v>83</v>
      </c>
      <c r="U617" s="179" t="s">
        <v>83</v>
      </c>
      <c r="V617" s="179" t="s">
        <v>83</v>
      </c>
      <c r="W617" s="179" t="s">
        <v>83</v>
      </c>
      <c r="X617" s="179" t="s">
        <v>83</v>
      </c>
      <c r="Y617" s="179" t="s">
        <v>83</v>
      </c>
      <c r="Z617" s="179" t="s">
        <v>83</v>
      </c>
      <c r="AA617" s="179" t="s">
        <v>83</v>
      </c>
      <c r="AB617" s="179" t="s">
        <v>83</v>
      </c>
      <c r="AC617" s="179" t="s">
        <v>83</v>
      </c>
      <c r="AD617" s="179" t="s">
        <v>83</v>
      </c>
      <c r="AE617" s="179" t="s">
        <v>83</v>
      </c>
      <c r="AF617" s="179" t="s">
        <v>83</v>
      </c>
      <c r="AG617" s="179" t="s">
        <v>83</v>
      </c>
      <c r="AH617" s="179" t="s">
        <v>83</v>
      </c>
      <c r="AI617" s="179" t="s">
        <v>83</v>
      </c>
      <c r="AJ617" s="179">
        <v>0</v>
      </c>
      <c r="AK617" s="179">
        <v>0</v>
      </c>
      <c r="AL617" s="179">
        <f>0.1*$AL$2</f>
        <v>7.5000000000000002E-4</v>
      </c>
      <c r="AM617" s="179">
        <f>AM612</f>
        <v>2.7E-2</v>
      </c>
      <c r="AN617" s="179">
        <f>ROUNDUP(AN612/3,0)</f>
        <v>1</v>
      </c>
      <c r="AQ617" s="182">
        <f>AM617*I617*0.1+AL617</f>
        <v>0.56694</v>
      </c>
      <c r="AR617" s="182">
        <f t="shared" si="650"/>
        <v>5.6694000000000001E-2</v>
      </c>
      <c r="AS617" s="183">
        <f t="shared" si="651"/>
        <v>0</v>
      </c>
      <c r="AT617" s="183">
        <f t="shared" si="652"/>
        <v>0.15590850000000001</v>
      </c>
      <c r="AU617" s="182">
        <f>1333*J616*POWER(10,-6)</f>
        <v>0.27953009999999995</v>
      </c>
      <c r="AV617" s="183">
        <f t="shared" si="653"/>
        <v>1.0590725999999999</v>
      </c>
      <c r="AW617" s="184">
        <f t="shared" si="654"/>
        <v>0</v>
      </c>
      <c r="AX617" s="184">
        <f t="shared" si="655"/>
        <v>0</v>
      </c>
      <c r="AY617" s="184">
        <f t="shared" si="656"/>
        <v>9.0550707300000001E-5</v>
      </c>
    </row>
    <row r="618" spans="1:51" s="179" customFormat="1" x14ac:dyDescent="0.3">
      <c r="A618" s="180"/>
      <c r="B618" s="180"/>
      <c r="D618" s="271"/>
      <c r="E618" s="272"/>
      <c r="F618" s="273"/>
      <c r="G618" s="180"/>
      <c r="H618" s="184"/>
      <c r="I618" s="183"/>
      <c r="J618" s="180"/>
      <c r="K618" s="180"/>
      <c r="L618" s="180"/>
      <c r="AQ618" s="182"/>
      <c r="AR618" s="182"/>
      <c r="AS618" s="183"/>
      <c r="AT618" s="183"/>
      <c r="AU618" s="182"/>
      <c r="AV618" s="183"/>
      <c r="AW618" s="184"/>
      <c r="AX618" s="184"/>
      <c r="AY618" s="184"/>
    </row>
    <row r="619" spans="1:51" s="179" customFormat="1" x14ac:dyDescent="0.3">
      <c r="A619" s="180"/>
      <c r="B619" s="180"/>
      <c r="D619" s="271"/>
      <c r="E619" s="272"/>
      <c r="F619" s="273"/>
      <c r="G619" s="180"/>
      <c r="H619" s="184"/>
      <c r="I619" s="183"/>
      <c r="J619" s="180"/>
      <c r="K619" s="180"/>
      <c r="L619" s="180"/>
      <c r="AQ619" s="182"/>
      <c r="AR619" s="182"/>
      <c r="AS619" s="183"/>
      <c r="AT619" s="183"/>
      <c r="AU619" s="182"/>
      <c r="AV619" s="183"/>
      <c r="AW619" s="184"/>
      <c r="AX619" s="184"/>
      <c r="AY619" s="184"/>
    </row>
    <row r="620" spans="1:51" s="179" customFormat="1" x14ac:dyDescent="0.3">
      <c r="A620" s="180"/>
      <c r="B620" s="180"/>
      <c r="D620" s="271"/>
      <c r="E620" s="272"/>
      <c r="F620" s="273"/>
      <c r="G620" s="180"/>
      <c r="H620" s="184"/>
      <c r="I620" s="183"/>
      <c r="J620" s="180"/>
      <c r="K620" s="180"/>
      <c r="L620" s="180"/>
      <c r="AQ620" s="182"/>
      <c r="AR620" s="182"/>
      <c r="AS620" s="183"/>
      <c r="AT620" s="183"/>
      <c r="AU620" s="182"/>
      <c r="AV620" s="183"/>
      <c r="AW620" s="184"/>
      <c r="AX620" s="184"/>
      <c r="AY620" s="184"/>
    </row>
    <row r="621" spans="1:51" ht="15" thickBot="1" x14ac:dyDescent="0.35"/>
    <row r="622" spans="1:51" ht="28.8" thickBot="1" x14ac:dyDescent="0.35">
      <c r="A622" s="48" t="s">
        <v>18</v>
      </c>
      <c r="B622" s="294" t="s">
        <v>653</v>
      </c>
      <c r="C622" s="166" t="s">
        <v>159</v>
      </c>
      <c r="D622" s="49" t="s">
        <v>59</v>
      </c>
      <c r="E622" s="153">
        <v>9.9999999999999995E-8</v>
      </c>
      <c r="F622" s="150">
        <v>345</v>
      </c>
      <c r="G622" s="48">
        <v>0.2</v>
      </c>
      <c r="H622" s="50">
        <f t="shared" ref="H622:H627" si="657">E622*F622*G622</f>
        <v>6.9E-6</v>
      </c>
      <c r="I622" s="151">
        <v>2.56</v>
      </c>
      <c r="J622" s="149">
        <f>I622</f>
        <v>2.56</v>
      </c>
      <c r="K622" s="159" t="s">
        <v>175</v>
      </c>
      <c r="L622" s="164">
        <f>J622*20</f>
        <v>51.2</v>
      </c>
      <c r="M622" s="92" t="str">
        <f t="shared" ref="M622:M627" si="658">A622</f>
        <v>С1</v>
      </c>
      <c r="N622" s="92" t="str">
        <f t="shared" ref="N622:N627" si="659">B622</f>
        <v>Транспортировка Тяжелого газойля коксования на уст.4200
трубопровод рег. № 1938</v>
      </c>
      <c r="O622" s="92" t="str">
        <f t="shared" ref="O622:O627" si="660">D622</f>
        <v>Полное-пожар</v>
      </c>
      <c r="P622" s="92">
        <v>17.100000000000001</v>
      </c>
      <c r="Q622" s="92">
        <v>23.5</v>
      </c>
      <c r="R622" s="92">
        <v>33.1</v>
      </c>
      <c r="S622" s="92">
        <v>61.2</v>
      </c>
      <c r="T622" s="92" t="s">
        <v>83</v>
      </c>
      <c r="U622" s="92" t="s">
        <v>83</v>
      </c>
      <c r="V622" s="92" t="s">
        <v>83</v>
      </c>
      <c r="W622" s="92" t="s">
        <v>83</v>
      </c>
      <c r="X622" s="92" t="s">
        <v>83</v>
      </c>
      <c r="Y622" s="92" t="s">
        <v>83</v>
      </c>
      <c r="Z622" s="92" t="s">
        <v>83</v>
      </c>
      <c r="AA622" s="92" t="s">
        <v>83</v>
      </c>
      <c r="AB622" s="92" t="s">
        <v>83</v>
      </c>
      <c r="AC622" s="92" t="s">
        <v>83</v>
      </c>
      <c r="AD622" s="92" t="s">
        <v>83</v>
      </c>
      <c r="AE622" s="92" t="s">
        <v>83</v>
      </c>
      <c r="AF622" s="92" t="s">
        <v>83</v>
      </c>
      <c r="AG622" s="92" t="s">
        <v>83</v>
      </c>
      <c r="AH622" s="92" t="s">
        <v>83</v>
      </c>
      <c r="AI622" s="92" t="s">
        <v>83</v>
      </c>
      <c r="AJ622" s="52">
        <v>1</v>
      </c>
      <c r="AK622" s="52">
        <v>2</v>
      </c>
      <c r="AL622" s="152">
        <v>0.75</v>
      </c>
      <c r="AM622" s="152">
        <v>2.7E-2</v>
      </c>
      <c r="AN622" s="152">
        <v>3</v>
      </c>
      <c r="AO622" s="92"/>
      <c r="AP622" s="92"/>
      <c r="AQ622" s="93">
        <f>AM622*I622+AL622</f>
        <v>0.81911999999999996</v>
      </c>
      <c r="AR622" s="93">
        <f t="shared" ref="AR622:AR627" si="661">0.1*AQ622</f>
        <v>8.1911999999999999E-2</v>
      </c>
      <c r="AS622" s="94">
        <f t="shared" ref="AS622:AS627" si="662">AJ622*3+0.25*AK622</f>
        <v>3.5</v>
      </c>
      <c r="AT622" s="94">
        <f t="shared" ref="AT622:AT627" si="663">SUM(AQ622:AS622)/4</f>
        <v>1.100258</v>
      </c>
      <c r="AU622" s="93">
        <f>10068.2*J622*POWER(10,-6)</f>
        <v>2.5774592000000002E-2</v>
      </c>
      <c r="AV622" s="94">
        <f t="shared" ref="AV622:AV627" si="664">AU622+AT622+AS622+AR622+AQ622</f>
        <v>5.5270645919999994</v>
      </c>
      <c r="AW622" s="95">
        <f t="shared" ref="AW622:AW627" si="665">AJ622*H622</f>
        <v>6.9E-6</v>
      </c>
      <c r="AX622" s="95">
        <f t="shared" ref="AX622:AX627" si="666">H622*AK622</f>
        <v>1.38E-5</v>
      </c>
      <c r="AY622" s="95">
        <f t="shared" ref="AY622:AY627" si="667">H622*AV622</f>
        <v>3.8136745684799995E-5</v>
      </c>
    </row>
    <row r="623" spans="1:51" ht="15" thickBot="1" x14ac:dyDescent="0.35">
      <c r="A623" s="48" t="s">
        <v>19</v>
      </c>
      <c r="B623" s="48" t="str">
        <f>B622</f>
        <v>Транспортировка Тяжелого газойля коксования на уст.4200
трубопровод рег. № 1938</v>
      </c>
      <c r="C623" s="166" t="s">
        <v>174</v>
      </c>
      <c r="D623" s="49" t="s">
        <v>59</v>
      </c>
      <c r="E623" s="154">
        <f>E622</f>
        <v>9.9999999999999995E-8</v>
      </c>
      <c r="F623" s="155">
        <f>F622</f>
        <v>345</v>
      </c>
      <c r="G623" s="48">
        <v>0.04</v>
      </c>
      <c r="H623" s="50">
        <f t="shared" si="657"/>
        <v>1.3799999999999999E-6</v>
      </c>
      <c r="I623" s="149">
        <f>I622</f>
        <v>2.56</v>
      </c>
      <c r="J623" s="149">
        <f>I622</f>
        <v>2.56</v>
      </c>
      <c r="K623" s="159" t="s">
        <v>176</v>
      </c>
      <c r="L623" s="164">
        <v>0</v>
      </c>
      <c r="M623" s="92" t="str">
        <f t="shared" si="658"/>
        <v>С2</v>
      </c>
      <c r="N623" s="92" t="str">
        <f t="shared" si="659"/>
        <v>Транспортировка Тяжелого газойля коксования на уст.4200
трубопровод рег. № 1938</v>
      </c>
      <c r="O623" s="92" t="str">
        <f t="shared" si="660"/>
        <v>Полное-пожар</v>
      </c>
      <c r="P623" s="92">
        <v>17.100000000000001</v>
      </c>
      <c r="Q623" s="92">
        <v>23.5</v>
      </c>
      <c r="R623" s="92">
        <v>33.1</v>
      </c>
      <c r="S623" s="92">
        <v>61.2</v>
      </c>
      <c r="T623" s="92" t="s">
        <v>83</v>
      </c>
      <c r="U623" s="92" t="s">
        <v>83</v>
      </c>
      <c r="V623" s="92" t="s">
        <v>83</v>
      </c>
      <c r="W623" s="92" t="s">
        <v>83</v>
      </c>
      <c r="X623" s="92" t="s">
        <v>83</v>
      </c>
      <c r="Y623" s="92" t="s">
        <v>83</v>
      </c>
      <c r="Z623" s="92" t="s">
        <v>83</v>
      </c>
      <c r="AA623" s="92" t="s">
        <v>83</v>
      </c>
      <c r="AB623" s="92" t="s">
        <v>83</v>
      </c>
      <c r="AC623" s="92" t="s">
        <v>83</v>
      </c>
      <c r="AD623" s="92" t="s">
        <v>83</v>
      </c>
      <c r="AE623" s="92" t="s">
        <v>83</v>
      </c>
      <c r="AF623" s="92" t="s">
        <v>83</v>
      </c>
      <c r="AG623" s="92" t="s">
        <v>83</v>
      </c>
      <c r="AH623" s="92" t="s">
        <v>83</v>
      </c>
      <c r="AI623" s="92" t="s">
        <v>83</v>
      </c>
      <c r="AJ623" s="52">
        <v>2</v>
      </c>
      <c r="AK623" s="52">
        <v>2</v>
      </c>
      <c r="AL623" s="92">
        <f>AL622</f>
        <v>0.75</v>
      </c>
      <c r="AM623" s="92">
        <f>AM622</f>
        <v>2.7E-2</v>
      </c>
      <c r="AN623" s="92">
        <f>AN622</f>
        <v>3</v>
      </c>
      <c r="AO623" s="92"/>
      <c r="AP623" s="92"/>
      <c r="AQ623" s="93">
        <f>AM623*I623+AL623</f>
        <v>0.81911999999999996</v>
      </c>
      <c r="AR623" s="93">
        <f t="shared" si="661"/>
        <v>8.1911999999999999E-2</v>
      </c>
      <c r="AS623" s="94">
        <f t="shared" si="662"/>
        <v>6.5</v>
      </c>
      <c r="AT623" s="94">
        <f t="shared" si="663"/>
        <v>1.850258</v>
      </c>
      <c r="AU623" s="93">
        <f>10068.2*J623*POWER(10,-6)*10</f>
        <v>0.25774592000000002</v>
      </c>
      <c r="AV623" s="94">
        <f t="shared" si="664"/>
        <v>9.5090359200000005</v>
      </c>
      <c r="AW623" s="95">
        <f t="shared" si="665"/>
        <v>2.7599999999999998E-6</v>
      </c>
      <c r="AX623" s="95">
        <f t="shared" si="666"/>
        <v>2.7599999999999998E-6</v>
      </c>
      <c r="AY623" s="95">
        <f t="shared" si="667"/>
        <v>1.3122469569599999E-5</v>
      </c>
    </row>
    <row r="624" spans="1:51" x14ac:dyDescent="0.3">
      <c r="A624" s="48" t="s">
        <v>20</v>
      </c>
      <c r="B624" s="48" t="str">
        <f>B622</f>
        <v>Транспортировка Тяжелого газойля коксования на уст.4200
трубопровод рег. № 1938</v>
      </c>
      <c r="C624" s="166" t="s">
        <v>161</v>
      </c>
      <c r="D624" s="49" t="s">
        <v>60</v>
      </c>
      <c r="E624" s="154">
        <f>E622</f>
        <v>9.9999999999999995E-8</v>
      </c>
      <c r="F624" s="155">
        <f>F622</f>
        <v>345</v>
      </c>
      <c r="G624" s="48">
        <v>0.76</v>
      </c>
      <c r="H624" s="50">
        <f t="shared" si="657"/>
        <v>2.622E-5</v>
      </c>
      <c r="I624" s="149">
        <f>I622</f>
        <v>2.56</v>
      </c>
      <c r="J624" s="48">
        <v>0</v>
      </c>
      <c r="K624" s="159" t="s">
        <v>177</v>
      </c>
      <c r="L624" s="164">
        <v>0</v>
      </c>
      <c r="M624" s="92" t="str">
        <f t="shared" si="658"/>
        <v>С3</v>
      </c>
      <c r="N624" s="92" t="str">
        <f t="shared" si="659"/>
        <v>Транспортировка Тяжелого газойля коксования на уст.4200
трубопровод рег. № 1938</v>
      </c>
      <c r="O624" s="92" t="str">
        <f t="shared" si="660"/>
        <v>Полное-ликвидация</v>
      </c>
      <c r="P624" s="92" t="s">
        <v>83</v>
      </c>
      <c r="Q624" s="92" t="s">
        <v>83</v>
      </c>
      <c r="R624" s="92" t="s">
        <v>83</v>
      </c>
      <c r="S624" s="92" t="s">
        <v>83</v>
      </c>
      <c r="T624" s="92" t="s">
        <v>83</v>
      </c>
      <c r="U624" s="92" t="s">
        <v>83</v>
      </c>
      <c r="V624" s="92" t="s">
        <v>83</v>
      </c>
      <c r="W624" s="92" t="s">
        <v>83</v>
      </c>
      <c r="X624" s="92" t="s">
        <v>83</v>
      </c>
      <c r="Y624" s="92" t="s">
        <v>83</v>
      </c>
      <c r="Z624" s="92" t="s">
        <v>83</v>
      </c>
      <c r="AA624" s="92" t="s">
        <v>83</v>
      </c>
      <c r="AB624" s="92" t="s">
        <v>83</v>
      </c>
      <c r="AC624" s="92" t="s">
        <v>83</v>
      </c>
      <c r="AD624" s="92" t="s">
        <v>83</v>
      </c>
      <c r="AE624" s="92" t="s">
        <v>83</v>
      </c>
      <c r="AF624" s="92" t="s">
        <v>83</v>
      </c>
      <c r="AG624" s="92" t="s">
        <v>83</v>
      </c>
      <c r="AH624" s="92" t="s">
        <v>83</v>
      </c>
      <c r="AI624" s="92" t="s">
        <v>83</v>
      </c>
      <c r="AJ624" s="92">
        <v>0</v>
      </c>
      <c r="AK624" s="92">
        <v>0</v>
      </c>
      <c r="AL624" s="92">
        <f>AL622</f>
        <v>0.75</v>
      </c>
      <c r="AM624" s="92">
        <f>AM622</f>
        <v>2.7E-2</v>
      </c>
      <c r="AN624" s="92">
        <f>AN622</f>
        <v>3</v>
      </c>
      <c r="AO624" s="92"/>
      <c r="AP624" s="92"/>
      <c r="AQ624" s="93">
        <f>AM624*I624*0.1+AL624</f>
        <v>0.75691200000000003</v>
      </c>
      <c r="AR624" s="93">
        <f t="shared" si="661"/>
        <v>7.5691200000000014E-2</v>
      </c>
      <c r="AS624" s="94">
        <f t="shared" si="662"/>
        <v>0</v>
      </c>
      <c r="AT624" s="94">
        <f t="shared" si="663"/>
        <v>0.20815080000000002</v>
      </c>
      <c r="AU624" s="93">
        <f>1333*J623*POWER(10,-6)</f>
        <v>3.4124799999999999E-3</v>
      </c>
      <c r="AV624" s="94">
        <f t="shared" si="664"/>
        <v>1.0441664800000001</v>
      </c>
      <c r="AW624" s="95">
        <f t="shared" si="665"/>
        <v>0</v>
      </c>
      <c r="AX624" s="95">
        <f t="shared" si="666"/>
        <v>0</v>
      </c>
      <c r="AY624" s="95">
        <f t="shared" si="667"/>
        <v>2.7378045105600002E-5</v>
      </c>
    </row>
    <row r="625" spans="1:51" x14ac:dyDescent="0.3">
      <c r="A625" s="48" t="s">
        <v>21</v>
      </c>
      <c r="B625" s="48" t="str">
        <f>B622</f>
        <v>Транспортировка Тяжелого газойля коксования на уст.4200
трубопровод рег. № 1938</v>
      </c>
      <c r="C625" s="166" t="s">
        <v>162</v>
      </c>
      <c r="D625" s="49" t="s">
        <v>84</v>
      </c>
      <c r="E625" s="153">
        <v>5.0000000000000004E-6</v>
      </c>
      <c r="F625" s="155">
        <f>F622</f>
        <v>345</v>
      </c>
      <c r="G625" s="48">
        <v>0.2</v>
      </c>
      <c r="H625" s="50">
        <f t="shared" si="657"/>
        <v>3.4500000000000004E-4</v>
      </c>
      <c r="I625" s="149">
        <f>0.15*I622</f>
        <v>0.38400000000000001</v>
      </c>
      <c r="J625" s="149">
        <f>I625</f>
        <v>0.38400000000000001</v>
      </c>
      <c r="K625" s="161" t="s">
        <v>179</v>
      </c>
      <c r="L625" s="165">
        <v>45390</v>
      </c>
      <c r="M625" s="92" t="str">
        <f t="shared" si="658"/>
        <v>С4</v>
      </c>
      <c r="N625" s="92" t="str">
        <f t="shared" si="659"/>
        <v>Транспортировка Тяжелого газойля коксования на уст.4200
трубопровод рег. № 1938</v>
      </c>
      <c r="O625" s="92" t="str">
        <f t="shared" si="660"/>
        <v>Частичное-пожар</v>
      </c>
      <c r="P625" s="92">
        <v>12.8</v>
      </c>
      <c r="Q625" s="92">
        <v>16.399999999999999</v>
      </c>
      <c r="R625" s="92">
        <v>21.7</v>
      </c>
      <c r="S625" s="92">
        <v>37.299999999999997</v>
      </c>
      <c r="T625" s="92" t="s">
        <v>83</v>
      </c>
      <c r="U625" s="92" t="s">
        <v>83</v>
      </c>
      <c r="V625" s="92" t="s">
        <v>83</v>
      </c>
      <c r="W625" s="92" t="s">
        <v>83</v>
      </c>
      <c r="X625" s="92" t="s">
        <v>83</v>
      </c>
      <c r="Y625" s="92" t="s">
        <v>83</v>
      </c>
      <c r="Z625" s="92" t="s">
        <v>83</v>
      </c>
      <c r="AA625" s="92" t="s">
        <v>83</v>
      </c>
      <c r="AB625" s="92" t="s">
        <v>83</v>
      </c>
      <c r="AC625" s="92" t="s">
        <v>83</v>
      </c>
      <c r="AD625" s="92" t="s">
        <v>83</v>
      </c>
      <c r="AE625" s="92" t="s">
        <v>83</v>
      </c>
      <c r="AF625" s="92" t="s">
        <v>83</v>
      </c>
      <c r="AG625" s="92" t="s">
        <v>83</v>
      </c>
      <c r="AH625" s="92" t="s">
        <v>83</v>
      </c>
      <c r="AI625" s="92" t="s">
        <v>83</v>
      </c>
      <c r="AJ625" s="92">
        <v>0</v>
      </c>
      <c r="AK625" s="92">
        <v>2</v>
      </c>
      <c r="AL625" s="92">
        <f>0.1*$AL$2</f>
        <v>7.5000000000000002E-4</v>
      </c>
      <c r="AM625" s="92">
        <f>AM622</f>
        <v>2.7E-2</v>
      </c>
      <c r="AN625" s="92">
        <f>ROUNDUP(AN622/3,0)</f>
        <v>1</v>
      </c>
      <c r="AO625" s="92"/>
      <c r="AP625" s="92"/>
      <c r="AQ625" s="93">
        <f>AM625*I625+AL625</f>
        <v>1.1118000000000001E-2</v>
      </c>
      <c r="AR625" s="93">
        <f t="shared" si="661"/>
        <v>1.1118000000000002E-3</v>
      </c>
      <c r="AS625" s="94">
        <f t="shared" si="662"/>
        <v>0.5</v>
      </c>
      <c r="AT625" s="94">
        <f t="shared" si="663"/>
        <v>0.12805744999999999</v>
      </c>
      <c r="AU625" s="93">
        <f>10068.2*J625*POWER(10,-6)</f>
        <v>3.8661888000000003E-3</v>
      </c>
      <c r="AV625" s="94">
        <f t="shared" si="664"/>
        <v>0.64415343879999998</v>
      </c>
      <c r="AW625" s="95">
        <f t="shared" si="665"/>
        <v>0</v>
      </c>
      <c r="AX625" s="95">
        <f t="shared" si="666"/>
        <v>6.9000000000000008E-4</v>
      </c>
      <c r="AY625" s="95">
        <f t="shared" si="667"/>
        <v>2.2223293638600001E-4</v>
      </c>
    </row>
    <row r="626" spans="1:51" x14ac:dyDescent="0.3">
      <c r="A626" s="48" t="s">
        <v>22</v>
      </c>
      <c r="B626" s="48" t="str">
        <f>B622</f>
        <v>Транспортировка Тяжелого газойля коксования на уст.4200
трубопровод рег. № 1938</v>
      </c>
      <c r="C626" s="166" t="s">
        <v>190</v>
      </c>
      <c r="D626" s="49" t="s">
        <v>84</v>
      </c>
      <c r="E626" s="154">
        <f>E625</f>
        <v>5.0000000000000004E-6</v>
      </c>
      <c r="F626" s="155">
        <f>F622</f>
        <v>345</v>
      </c>
      <c r="G626" s="48">
        <v>0.04</v>
      </c>
      <c r="H626" s="50">
        <f t="shared" si="657"/>
        <v>6.900000000000001E-5</v>
      </c>
      <c r="I626" s="149">
        <f>0.15*I622</f>
        <v>0.38400000000000001</v>
      </c>
      <c r="J626" s="149">
        <f>I625</f>
        <v>0.38400000000000001</v>
      </c>
      <c r="K626" s="161" t="s">
        <v>180</v>
      </c>
      <c r="L626" s="165">
        <v>3</v>
      </c>
      <c r="M626" s="92" t="str">
        <f t="shared" si="658"/>
        <v>С5</v>
      </c>
      <c r="N626" s="92" t="str">
        <f t="shared" si="659"/>
        <v>Транспортировка Тяжелого газойля коксования на уст.4200
трубопровод рег. № 1938</v>
      </c>
      <c r="O626" s="92" t="str">
        <f t="shared" si="660"/>
        <v>Частичное-пожар</v>
      </c>
      <c r="P626" s="92">
        <v>12.8</v>
      </c>
      <c r="Q626" s="92">
        <v>16.399999999999999</v>
      </c>
      <c r="R626" s="92">
        <v>21.7</v>
      </c>
      <c r="S626" s="92">
        <v>37.299999999999997</v>
      </c>
      <c r="T626" s="92" t="s">
        <v>83</v>
      </c>
      <c r="U626" s="92" t="s">
        <v>83</v>
      </c>
      <c r="V626" s="92" t="s">
        <v>83</v>
      </c>
      <c r="W626" s="92" t="s">
        <v>83</v>
      </c>
      <c r="X626" s="92" t="s">
        <v>83</v>
      </c>
      <c r="Y626" s="92" t="s">
        <v>83</v>
      </c>
      <c r="Z626" s="92" t="s">
        <v>83</v>
      </c>
      <c r="AA626" s="92" t="s">
        <v>83</v>
      </c>
      <c r="AB626" s="92" t="s">
        <v>83</v>
      </c>
      <c r="AC626" s="92" t="s">
        <v>83</v>
      </c>
      <c r="AD626" s="92" t="s">
        <v>83</v>
      </c>
      <c r="AE626" s="92" t="s">
        <v>83</v>
      </c>
      <c r="AF626" s="92" t="s">
        <v>83</v>
      </c>
      <c r="AG626" s="92" t="s">
        <v>83</v>
      </c>
      <c r="AH626" s="92" t="s">
        <v>83</v>
      </c>
      <c r="AI626" s="92" t="s">
        <v>83</v>
      </c>
      <c r="AJ626" s="92">
        <v>0</v>
      </c>
      <c r="AK626" s="92">
        <v>1</v>
      </c>
      <c r="AL626" s="92">
        <f>0.1*$AL$2</f>
        <v>7.5000000000000002E-4</v>
      </c>
      <c r="AM626" s="92">
        <f>AM622</f>
        <v>2.7E-2</v>
      </c>
      <c r="AN626" s="92">
        <f>ROUNDUP(AN622/3,0)</f>
        <v>1</v>
      </c>
      <c r="AO626" s="92"/>
      <c r="AP626" s="92"/>
      <c r="AQ626" s="93">
        <f>AM626*I626+AL626</f>
        <v>1.1118000000000001E-2</v>
      </c>
      <c r="AR626" s="93">
        <f t="shared" si="661"/>
        <v>1.1118000000000002E-3</v>
      </c>
      <c r="AS626" s="94">
        <f t="shared" si="662"/>
        <v>0.25</v>
      </c>
      <c r="AT626" s="94">
        <f t="shared" si="663"/>
        <v>6.5557450000000003E-2</v>
      </c>
      <c r="AU626" s="93">
        <f>10068.2*J626*POWER(10,-6)*10</f>
        <v>3.8661888000000005E-2</v>
      </c>
      <c r="AV626" s="94">
        <f t="shared" si="664"/>
        <v>0.36644913800000001</v>
      </c>
      <c r="AW626" s="95">
        <f t="shared" si="665"/>
        <v>0</v>
      </c>
      <c r="AX626" s="95">
        <f t="shared" si="666"/>
        <v>6.900000000000001E-5</v>
      </c>
      <c r="AY626" s="95">
        <f t="shared" si="667"/>
        <v>2.5284990522000004E-5</v>
      </c>
    </row>
    <row r="627" spans="1:51" ht="15" thickBot="1" x14ac:dyDescent="0.35">
      <c r="A627" s="48" t="s">
        <v>23</v>
      </c>
      <c r="B627" s="48" t="str">
        <f>B622</f>
        <v>Транспортировка Тяжелого газойля коксования на уст.4200
трубопровод рег. № 1938</v>
      </c>
      <c r="C627" s="166" t="s">
        <v>164</v>
      </c>
      <c r="D627" s="49" t="s">
        <v>61</v>
      </c>
      <c r="E627" s="154">
        <f>E625</f>
        <v>5.0000000000000004E-6</v>
      </c>
      <c r="F627" s="155">
        <f>F622</f>
        <v>345</v>
      </c>
      <c r="G627" s="48">
        <v>0.76</v>
      </c>
      <c r="H627" s="50">
        <f t="shared" si="657"/>
        <v>1.3110000000000001E-3</v>
      </c>
      <c r="I627" s="149">
        <f>0.15*I622</f>
        <v>0.38400000000000001</v>
      </c>
      <c r="J627" s="48">
        <v>0</v>
      </c>
      <c r="K627" s="162" t="s">
        <v>191</v>
      </c>
      <c r="L627" s="168">
        <v>3</v>
      </c>
      <c r="M627" s="92" t="str">
        <f t="shared" si="658"/>
        <v>С6</v>
      </c>
      <c r="N627" s="92" t="str">
        <f t="shared" si="659"/>
        <v>Транспортировка Тяжелого газойля коксования на уст.4200
трубопровод рег. № 1938</v>
      </c>
      <c r="O627" s="92" t="str">
        <f t="shared" si="660"/>
        <v>Частичное-ликвидация</v>
      </c>
      <c r="P627" s="92" t="s">
        <v>83</v>
      </c>
      <c r="Q627" s="92" t="s">
        <v>83</v>
      </c>
      <c r="R627" s="92" t="s">
        <v>83</v>
      </c>
      <c r="S627" s="92" t="s">
        <v>83</v>
      </c>
      <c r="T627" s="92" t="s">
        <v>83</v>
      </c>
      <c r="U627" s="92" t="s">
        <v>83</v>
      </c>
      <c r="V627" s="92" t="s">
        <v>83</v>
      </c>
      <c r="W627" s="92" t="s">
        <v>83</v>
      </c>
      <c r="X627" s="92" t="s">
        <v>83</v>
      </c>
      <c r="Y627" s="92" t="s">
        <v>83</v>
      </c>
      <c r="Z627" s="92" t="s">
        <v>83</v>
      </c>
      <c r="AA627" s="92" t="s">
        <v>83</v>
      </c>
      <c r="AB627" s="92" t="s">
        <v>83</v>
      </c>
      <c r="AC627" s="92" t="s">
        <v>83</v>
      </c>
      <c r="AD627" s="92" t="s">
        <v>83</v>
      </c>
      <c r="AE627" s="92" t="s">
        <v>83</v>
      </c>
      <c r="AF627" s="92" t="s">
        <v>83</v>
      </c>
      <c r="AG627" s="92" t="s">
        <v>83</v>
      </c>
      <c r="AH627" s="92" t="s">
        <v>83</v>
      </c>
      <c r="AI627" s="92" t="s">
        <v>83</v>
      </c>
      <c r="AJ627" s="92">
        <v>0</v>
      </c>
      <c r="AK627" s="92">
        <v>0</v>
      </c>
      <c r="AL627" s="92">
        <f>0.1*$AL$2</f>
        <v>7.5000000000000002E-4</v>
      </c>
      <c r="AM627" s="92">
        <f>AM622</f>
        <v>2.7E-2</v>
      </c>
      <c r="AN627" s="92">
        <f>ROUNDUP(AN622/3,0)</f>
        <v>1</v>
      </c>
      <c r="AO627" s="92"/>
      <c r="AP627" s="92"/>
      <c r="AQ627" s="93">
        <f>AM627*I627*0.1+AL627</f>
        <v>1.7868000000000001E-3</v>
      </c>
      <c r="AR627" s="93">
        <f t="shared" si="661"/>
        <v>1.7868000000000002E-4</v>
      </c>
      <c r="AS627" s="94">
        <f t="shared" si="662"/>
        <v>0</v>
      </c>
      <c r="AT627" s="94">
        <f t="shared" si="663"/>
        <v>4.9136999999999998E-4</v>
      </c>
      <c r="AU627" s="93">
        <f>1333*J626*POWER(10,-6)</f>
        <v>5.1187200000000002E-4</v>
      </c>
      <c r="AV627" s="94">
        <f t="shared" si="664"/>
        <v>2.968722E-3</v>
      </c>
      <c r="AW627" s="95">
        <f t="shared" si="665"/>
        <v>0</v>
      </c>
      <c r="AX627" s="95">
        <f t="shared" si="666"/>
        <v>0</v>
      </c>
      <c r="AY627" s="95">
        <f t="shared" si="667"/>
        <v>3.8919945420000001E-6</v>
      </c>
    </row>
    <row r="628" spans="1:51" x14ac:dyDescent="0.3">
      <c r="A628" s="48"/>
      <c r="B628" s="48"/>
      <c r="C628" s="166"/>
      <c r="D628" s="49"/>
      <c r="E628" s="154"/>
      <c r="F628" s="155"/>
      <c r="G628" s="48"/>
      <c r="H628" s="50"/>
      <c r="I628" s="149"/>
      <c r="J628" s="48"/>
      <c r="K628" s="278"/>
      <c r="L628" s="279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  <c r="AD628" s="92"/>
      <c r="AE628" s="92"/>
      <c r="AF628" s="92"/>
      <c r="AG628" s="92"/>
      <c r="AH628" s="92"/>
      <c r="AI628" s="92"/>
      <c r="AJ628" s="92"/>
      <c r="AK628" s="92"/>
      <c r="AL628" s="92"/>
      <c r="AM628" s="92"/>
      <c r="AN628" s="92"/>
      <c r="AO628" s="92"/>
      <c r="AP628" s="92"/>
      <c r="AQ628" s="93"/>
      <c r="AR628" s="93"/>
      <c r="AS628" s="94"/>
      <c r="AT628" s="94"/>
      <c r="AU628" s="93"/>
      <c r="AV628" s="94"/>
      <c r="AW628" s="95"/>
      <c r="AX628" s="95"/>
      <c r="AY628" s="95"/>
    </row>
    <row r="629" spans="1:51" s="267" customFormat="1" x14ac:dyDescent="0.3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</row>
    <row r="630" spans="1:51" s="267" customFormat="1" x14ac:dyDescent="0.3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</row>
    <row r="631" spans="1:51" ht="15" thickBot="1" x14ac:dyDescent="0.35"/>
    <row r="632" spans="1:51" s="179" customFormat="1" ht="15" thickBot="1" x14ac:dyDescent="0.35">
      <c r="A632" s="169" t="s">
        <v>18</v>
      </c>
      <c r="B632" s="312" t="s">
        <v>654</v>
      </c>
      <c r="C632" s="171" t="s">
        <v>196</v>
      </c>
      <c r="D632" s="172" t="s">
        <v>59</v>
      </c>
      <c r="E632" s="173">
        <v>1.0000000000000001E-5</v>
      </c>
      <c r="F632" s="170">
        <v>1</v>
      </c>
      <c r="G632" s="169">
        <v>0.1</v>
      </c>
      <c r="H632" s="174">
        <f t="shared" ref="H632:H637" si="668">E632*F632*G632</f>
        <v>1.0000000000000002E-6</v>
      </c>
      <c r="I632" s="175">
        <v>720</v>
      </c>
      <c r="J632" s="187">
        <f>I632</f>
        <v>720</v>
      </c>
      <c r="K632" s="177" t="s">
        <v>175</v>
      </c>
      <c r="L632" s="178">
        <v>630</v>
      </c>
      <c r="M632" s="179" t="str">
        <f t="shared" ref="M632:M637" si="669">A632</f>
        <v>С1</v>
      </c>
      <c r="N632" s="179" t="str">
        <f t="shared" ref="N632:N637" si="670">B632</f>
        <v>Резервуар РВС V=1000м3</v>
      </c>
      <c r="O632" s="179" t="str">
        <f t="shared" ref="O632:O637" si="671">D632</f>
        <v>Полное-пожар</v>
      </c>
      <c r="P632" s="179" t="s">
        <v>83</v>
      </c>
      <c r="Q632" s="179" t="s">
        <v>83</v>
      </c>
      <c r="R632" s="179" t="s">
        <v>83</v>
      </c>
      <c r="S632" s="179" t="s">
        <v>83</v>
      </c>
      <c r="T632" s="179" t="s">
        <v>83</v>
      </c>
      <c r="U632" s="179" t="s">
        <v>83</v>
      </c>
      <c r="V632" s="179" t="s">
        <v>83</v>
      </c>
      <c r="W632" s="179" t="s">
        <v>83</v>
      </c>
      <c r="X632" s="179" t="s">
        <v>83</v>
      </c>
      <c r="Y632" s="179" t="s">
        <v>83</v>
      </c>
      <c r="Z632" s="179" t="s">
        <v>83</v>
      </c>
      <c r="AA632" s="179" t="s">
        <v>83</v>
      </c>
      <c r="AB632" s="179" t="s">
        <v>83</v>
      </c>
      <c r="AC632" s="179" t="s">
        <v>83</v>
      </c>
      <c r="AD632" s="179" t="s">
        <v>83</v>
      </c>
      <c r="AE632" s="179" t="s">
        <v>83</v>
      </c>
      <c r="AF632" s="179" t="s">
        <v>83</v>
      </c>
      <c r="AG632" s="179" t="s">
        <v>83</v>
      </c>
      <c r="AH632" s="179" t="s">
        <v>83</v>
      </c>
      <c r="AI632" s="179" t="s">
        <v>83</v>
      </c>
      <c r="AJ632" s="180">
        <v>1</v>
      </c>
      <c r="AK632" s="180">
        <v>2</v>
      </c>
      <c r="AL632" s="181">
        <v>0.75</v>
      </c>
      <c r="AM632" s="181">
        <v>2.7E-2</v>
      </c>
      <c r="AN632" s="181">
        <v>3</v>
      </c>
      <c r="AQ632" s="182">
        <f>AM632*I632+AL632</f>
        <v>20.190000000000001</v>
      </c>
      <c r="AR632" s="182">
        <f t="shared" ref="AR632:AR637" si="672">0.1*AQ632</f>
        <v>2.0190000000000001</v>
      </c>
      <c r="AS632" s="183">
        <f t="shared" ref="AS632:AS637" si="673">AJ632*3+0.25*AK632</f>
        <v>3.5</v>
      </c>
      <c r="AT632" s="183">
        <f t="shared" ref="AT632:AT637" si="674">SUM(AQ632:AS632)/4</f>
        <v>6.4272500000000008</v>
      </c>
      <c r="AU632" s="182">
        <f>10068.2*J632*POWER(10,-6)</f>
        <v>7.2491040000000009</v>
      </c>
      <c r="AV632" s="183">
        <f t="shared" ref="AV632:AV637" si="675">AU632+AT632+AS632+AR632+AQ632</f>
        <v>39.385354000000007</v>
      </c>
      <c r="AW632" s="184">
        <f t="shared" ref="AW632:AW637" si="676">AJ632*H632</f>
        <v>1.0000000000000002E-6</v>
      </c>
      <c r="AX632" s="184">
        <f t="shared" ref="AX632:AX637" si="677">H632*AK632</f>
        <v>2.0000000000000003E-6</v>
      </c>
      <c r="AY632" s="184">
        <f t="shared" ref="AY632:AY637" si="678">H632*AV632</f>
        <v>3.9385354000000012E-5</v>
      </c>
    </row>
    <row r="633" spans="1:51" s="179" customFormat="1" ht="15" thickBot="1" x14ac:dyDescent="0.35">
      <c r="A633" s="169" t="s">
        <v>19</v>
      </c>
      <c r="B633" s="169" t="str">
        <f>B632</f>
        <v>Резервуар РВС V=1000м3</v>
      </c>
      <c r="C633" s="171" t="s">
        <v>205</v>
      </c>
      <c r="D633" s="172" t="s">
        <v>59</v>
      </c>
      <c r="E633" s="185">
        <f>E632</f>
        <v>1.0000000000000001E-5</v>
      </c>
      <c r="F633" s="186">
        <f>F632</f>
        <v>1</v>
      </c>
      <c r="G633" s="169">
        <v>0.18000000000000002</v>
      </c>
      <c r="H633" s="174">
        <f t="shared" si="668"/>
        <v>1.8000000000000003E-6</v>
      </c>
      <c r="I633" s="187">
        <f>I632</f>
        <v>720</v>
      </c>
      <c r="J633" s="187">
        <f>I632</f>
        <v>720</v>
      </c>
      <c r="K633" s="177" t="s">
        <v>176</v>
      </c>
      <c r="L633" s="178">
        <v>0</v>
      </c>
      <c r="M633" s="179" t="str">
        <f t="shared" si="669"/>
        <v>С2</v>
      </c>
      <c r="N633" s="179" t="str">
        <f t="shared" si="670"/>
        <v>Резервуар РВС V=1000м3</v>
      </c>
      <c r="O633" s="179" t="str">
        <f t="shared" si="671"/>
        <v>Полное-пожар</v>
      </c>
      <c r="P633" s="179" t="s">
        <v>83</v>
      </c>
      <c r="Q633" s="179" t="s">
        <v>83</v>
      </c>
      <c r="R633" s="179" t="s">
        <v>83</v>
      </c>
      <c r="S633" s="179" t="s">
        <v>83</v>
      </c>
      <c r="T633" s="179" t="s">
        <v>83</v>
      </c>
      <c r="U633" s="179" t="s">
        <v>83</v>
      </c>
      <c r="V633" s="179" t="s">
        <v>83</v>
      </c>
      <c r="W633" s="179" t="s">
        <v>83</v>
      </c>
      <c r="X633" s="179" t="s">
        <v>83</v>
      </c>
      <c r="Y633" s="179" t="s">
        <v>83</v>
      </c>
      <c r="Z633" s="179" t="s">
        <v>83</v>
      </c>
      <c r="AA633" s="179" t="s">
        <v>83</v>
      </c>
      <c r="AB633" s="179" t="s">
        <v>83</v>
      </c>
      <c r="AC633" s="179" t="s">
        <v>83</v>
      </c>
      <c r="AD633" s="179" t="s">
        <v>83</v>
      </c>
      <c r="AE633" s="179" t="s">
        <v>83</v>
      </c>
      <c r="AF633" s="179" t="s">
        <v>83</v>
      </c>
      <c r="AG633" s="179" t="s">
        <v>83</v>
      </c>
      <c r="AH633" s="179" t="s">
        <v>83</v>
      </c>
      <c r="AI633" s="179" t="s">
        <v>83</v>
      </c>
      <c r="AJ633" s="180">
        <v>2</v>
      </c>
      <c r="AK633" s="180">
        <v>2</v>
      </c>
      <c r="AL633" s="179">
        <f>AL632</f>
        <v>0.75</v>
      </c>
      <c r="AM633" s="179">
        <f>AM632</f>
        <v>2.7E-2</v>
      </c>
      <c r="AN633" s="179">
        <f>AN632</f>
        <v>3</v>
      </c>
      <c r="AQ633" s="182">
        <f>AM633*I633+AL633</f>
        <v>20.190000000000001</v>
      </c>
      <c r="AR633" s="182">
        <f t="shared" si="672"/>
        <v>2.0190000000000001</v>
      </c>
      <c r="AS633" s="183">
        <f t="shared" si="673"/>
        <v>6.5</v>
      </c>
      <c r="AT633" s="183">
        <f t="shared" si="674"/>
        <v>7.1772500000000008</v>
      </c>
      <c r="AU633" s="182">
        <f>10068.2*J633*POWER(10,-6)*10</f>
        <v>72.491040000000012</v>
      </c>
      <c r="AV633" s="183">
        <f t="shared" si="675"/>
        <v>108.37729000000002</v>
      </c>
      <c r="AW633" s="184">
        <f t="shared" si="676"/>
        <v>3.6000000000000007E-6</v>
      </c>
      <c r="AX633" s="184">
        <f t="shared" si="677"/>
        <v>3.6000000000000007E-6</v>
      </c>
      <c r="AY633" s="184">
        <f t="shared" si="678"/>
        <v>1.9507912200000008E-4</v>
      </c>
    </row>
    <row r="634" spans="1:51" s="179" customFormat="1" x14ac:dyDescent="0.3">
      <c r="A634" s="169" t="s">
        <v>20</v>
      </c>
      <c r="B634" s="169" t="str">
        <f>B632</f>
        <v>Резервуар РВС V=1000м3</v>
      </c>
      <c r="C634" s="171" t="s">
        <v>198</v>
      </c>
      <c r="D634" s="172" t="s">
        <v>60</v>
      </c>
      <c r="E634" s="185">
        <f>E632</f>
        <v>1.0000000000000001E-5</v>
      </c>
      <c r="F634" s="186">
        <f>F632</f>
        <v>1</v>
      </c>
      <c r="G634" s="169">
        <v>0.72000000000000008</v>
      </c>
      <c r="H634" s="174">
        <f t="shared" si="668"/>
        <v>7.2000000000000014E-6</v>
      </c>
      <c r="I634" s="187">
        <f>I632</f>
        <v>720</v>
      </c>
      <c r="J634" s="169">
        <v>0</v>
      </c>
      <c r="K634" s="177" t="s">
        <v>177</v>
      </c>
      <c r="L634" s="178">
        <v>0</v>
      </c>
      <c r="M634" s="179" t="str">
        <f t="shared" si="669"/>
        <v>С3</v>
      </c>
      <c r="N634" s="179" t="str">
        <f t="shared" si="670"/>
        <v>Резервуар РВС V=1000м3</v>
      </c>
      <c r="O634" s="179" t="str">
        <f t="shared" si="671"/>
        <v>Полное-ликвидация</v>
      </c>
      <c r="P634" s="179" t="s">
        <v>83</v>
      </c>
      <c r="Q634" s="179" t="s">
        <v>83</v>
      </c>
      <c r="R634" s="179" t="s">
        <v>83</v>
      </c>
      <c r="S634" s="179" t="s">
        <v>83</v>
      </c>
      <c r="T634" s="179" t="s">
        <v>83</v>
      </c>
      <c r="U634" s="179" t="s">
        <v>83</v>
      </c>
      <c r="V634" s="179" t="s">
        <v>83</v>
      </c>
      <c r="W634" s="179" t="s">
        <v>83</v>
      </c>
      <c r="X634" s="179" t="s">
        <v>83</v>
      </c>
      <c r="Y634" s="179" t="s">
        <v>83</v>
      </c>
      <c r="Z634" s="179" t="s">
        <v>83</v>
      </c>
      <c r="AA634" s="179" t="s">
        <v>83</v>
      </c>
      <c r="AB634" s="179" t="s">
        <v>83</v>
      </c>
      <c r="AC634" s="179" t="s">
        <v>83</v>
      </c>
      <c r="AD634" s="179" t="s">
        <v>83</v>
      </c>
      <c r="AE634" s="179" t="s">
        <v>83</v>
      </c>
      <c r="AF634" s="179" t="s">
        <v>83</v>
      </c>
      <c r="AG634" s="179" t="s">
        <v>83</v>
      </c>
      <c r="AH634" s="179" t="s">
        <v>83</v>
      </c>
      <c r="AI634" s="179" t="s">
        <v>83</v>
      </c>
      <c r="AJ634" s="179">
        <v>0</v>
      </c>
      <c r="AK634" s="179">
        <v>0</v>
      </c>
      <c r="AL634" s="179">
        <f>AL632</f>
        <v>0.75</v>
      </c>
      <c r="AM634" s="179">
        <f>AM632</f>
        <v>2.7E-2</v>
      </c>
      <c r="AN634" s="179">
        <f>AN632</f>
        <v>3</v>
      </c>
      <c r="AQ634" s="182">
        <f>AM634*I634*0.1+AL634</f>
        <v>2.694</v>
      </c>
      <c r="AR634" s="182">
        <f t="shared" si="672"/>
        <v>0.26940000000000003</v>
      </c>
      <c r="AS634" s="183">
        <f t="shared" si="673"/>
        <v>0</v>
      </c>
      <c r="AT634" s="183">
        <f t="shared" si="674"/>
        <v>0.74085000000000001</v>
      </c>
      <c r="AU634" s="182">
        <f>1333*J633*POWER(10,-6)</f>
        <v>0.95975999999999995</v>
      </c>
      <c r="AV634" s="183">
        <f t="shared" si="675"/>
        <v>4.6640100000000002</v>
      </c>
      <c r="AW634" s="184">
        <f t="shared" si="676"/>
        <v>0</v>
      </c>
      <c r="AX634" s="184">
        <f t="shared" si="677"/>
        <v>0</v>
      </c>
      <c r="AY634" s="184">
        <f t="shared" si="678"/>
        <v>3.3580872000000006E-5</v>
      </c>
    </row>
    <row r="635" spans="1:51" s="179" customFormat="1" x14ac:dyDescent="0.3">
      <c r="A635" s="169" t="s">
        <v>21</v>
      </c>
      <c r="B635" s="169" t="str">
        <f>B632</f>
        <v>Резервуар РВС V=1000м3</v>
      </c>
      <c r="C635" s="171" t="s">
        <v>199</v>
      </c>
      <c r="D635" s="172" t="s">
        <v>84</v>
      </c>
      <c r="E635" s="173">
        <v>1E-4</v>
      </c>
      <c r="F635" s="186">
        <f>F632</f>
        <v>1</v>
      </c>
      <c r="G635" s="169">
        <v>0.1</v>
      </c>
      <c r="H635" s="174">
        <f t="shared" si="668"/>
        <v>1.0000000000000001E-5</v>
      </c>
      <c r="I635" s="187">
        <f>0.15*I632</f>
        <v>108</v>
      </c>
      <c r="J635" s="187">
        <f>I635</f>
        <v>108</v>
      </c>
      <c r="K635" s="190" t="s">
        <v>179</v>
      </c>
      <c r="L635" s="191">
        <v>45390</v>
      </c>
      <c r="M635" s="179" t="str">
        <f t="shared" si="669"/>
        <v>С4</v>
      </c>
      <c r="N635" s="179" t="str">
        <f t="shared" si="670"/>
        <v>Резервуар РВС V=1000м3</v>
      </c>
      <c r="O635" s="179" t="str">
        <f t="shared" si="671"/>
        <v>Частичное-пожар</v>
      </c>
      <c r="P635" s="179" t="s">
        <v>83</v>
      </c>
      <c r="Q635" s="179" t="s">
        <v>83</v>
      </c>
      <c r="R635" s="179" t="s">
        <v>83</v>
      </c>
      <c r="S635" s="179" t="s">
        <v>83</v>
      </c>
      <c r="T635" s="179" t="s">
        <v>83</v>
      </c>
      <c r="U635" s="179" t="s">
        <v>83</v>
      </c>
      <c r="V635" s="179" t="s">
        <v>83</v>
      </c>
      <c r="W635" s="179" t="s">
        <v>83</v>
      </c>
      <c r="X635" s="179" t="s">
        <v>83</v>
      </c>
      <c r="Y635" s="179" t="s">
        <v>83</v>
      </c>
      <c r="Z635" s="179" t="s">
        <v>83</v>
      </c>
      <c r="AA635" s="179" t="s">
        <v>83</v>
      </c>
      <c r="AB635" s="179" t="s">
        <v>83</v>
      </c>
      <c r="AC635" s="179" t="s">
        <v>83</v>
      </c>
      <c r="AD635" s="179" t="s">
        <v>83</v>
      </c>
      <c r="AE635" s="179" t="s">
        <v>83</v>
      </c>
      <c r="AF635" s="179" t="s">
        <v>83</v>
      </c>
      <c r="AG635" s="179" t="s">
        <v>83</v>
      </c>
      <c r="AH635" s="179" t="s">
        <v>83</v>
      </c>
      <c r="AI635" s="179" t="s">
        <v>83</v>
      </c>
      <c r="AJ635" s="179">
        <v>0</v>
      </c>
      <c r="AK635" s="179">
        <v>2</v>
      </c>
      <c r="AL635" s="179">
        <f>0.1*$AL$2</f>
        <v>7.5000000000000002E-4</v>
      </c>
      <c r="AM635" s="179">
        <f>AM632</f>
        <v>2.7E-2</v>
      </c>
      <c r="AN635" s="179">
        <f>ROUNDUP(AN632/3,0)</f>
        <v>1</v>
      </c>
      <c r="AQ635" s="182">
        <f>AM635*I635+AL635</f>
        <v>2.91675</v>
      </c>
      <c r="AR635" s="182">
        <f t="shared" si="672"/>
        <v>0.29167500000000002</v>
      </c>
      <c r="AS635" s="183">
        <f t="shared" si="673"/>
        <v>0.5</v>
      </c>
      <c r="AT635" s="183">
        <f t="shared" si="674"/>
        <v>0.92710625000000002</v>
      </c>
      <c r="AU635" s="182">
        <f>10068.2*J635*POWER(10,-6)</f>
        <v>1.0873656</v>
      </c>
      <c r="AV635" s="183">
        <f t="shared" si="675"/>
        <v>5.7228968499999997</v>
      </c>
      <c r="AW635" s="184">
        <f t="shared" si="676"/>
        <v>0</v>
      </c>
      <c r="AX635" s="184">
        <f t="shared" si="677"/>
        <v>2.0000000000000002E-5</v>
      </c>
      <c r="AY635" s="184">
        <f t="shared" si="678"/>
        <v>5.7228968500000001E-5</v>
      </c>
    </row>
    <row r="636" spans="1:51" s="179" customFormat="1" x14ac:dyDescent="0.3">
      <c r="A636" s="169" t="s">
        <v>22</v>
      </c>
      <c r="B636" s="169" t="str">
        <f>B632</f>
        <v>Резервуар РВС V=1000м3</v>
      </c>
      <c r="C636" s="171" t="s">
        <v>206</v>
      </c>
      <c r="D636" s="172" t="s">
        <v>84</v>
      </c>
      <c r="E636" s="185">
        <f>E635</f>
        <v>1E-4</v>
      </c>
      <c r="F636" s="186">
        <f>F632</f>
        <v>1</v>
      </c>
      <c r="G636" s="169">
        <v>4.5000000000000005E-2</v>
      </c>
      <c r="H636" s="174">
        <f t="shared" si="668"/>
        <v>4.500000000000001E-6</v>
      </c>
      <c r="I636" s="187">
        <f>0.15*I632</f>
        <v>108</v>
      </c>
      <c r="J636" s="187">
        <f>I635</f>
        <v>108</v>
      </c>
      <c r="K636" s="190" t="s">
        <v>180</v>
      </c>
      <c r="L636" s="191">
        <v>3</v>
      </c>
      <c r="M636" s="179" t="str">
        <f t="shared" si="669"/>
        <v>С5</v>
      </c>
      <c r="N636" s="179" t="str">
        <f t="shared" si="670"/>
        <v>Резервуар РВС V=1000м3</v>
      </c>
      <c r="O636" s="179" t="str">
        <f t="shared" si="671"/>
        <v>Частичное-пожар</v>
      </c>
      <c r="P636" s="179" t="s">
        <v>83</v>
      </c>
      <c r="Q636" s="179" t="s">
        <v>83</v>
      </c>
      <c r="R636" s="179" t="s">
        <v>83</v>
      </c>
      <c r="S636" s="179" t="s">
        <v>83</v>
      </c>
      <c r="T636" s="179" t="s">
        <v>83</v>
      </c>
      <c r="U636" s="179" t="s">
        <v>83</v>
      </c>
      <c r="V636" s="179" t="s">
        <v>83</v>
      </c>
      <c r="W636" s="179" t="s">
        <v>83</v>
      </c>
      <c r="X636" s="179" t="s">
        <v>83</v>
      </c>
      <c r="Y636" s="179" t="s">
        <v>83</v>
      </c>
      <c r="Z636" s="179" t="s">
        <v>83</v>
      </c>
      <c r="AA636" s="179" t="s">
        <v>83</v>
      </c>
      <c r="AB636" s="179" t="s">
        <v>83</v>
      </c>
      <c r="AC636" s="179" t="s">
        <v>83</v>
      </c>
      <c r="AD636" s="179" t="s">
        <v>83</v>
      </c>
      <c r="AE636" s="179" t="s">
        <v>83</v>
      </c>
      <c r="AF636" s="179" t="s">
        <v>83</v>
      </c>
      <c r="AG636" s="179" t="s">
        <v>83</v>
      </c>
      <c r="AH636" s="179" t="s">
        <v>83</v>
      </c>
      <c r="AI636" s="179" t="s">
        <v>83</v>
      </c>
      <c r="AJ636" s="179">
        <v>0</v>
      </c>
      <c r="AK636" s="179">
        <v>1</v>
      </c>
      <c r="AL636" s="179">
        <f>0.1*$AL$2</f>
        <v>7.5000000000000002E-4</v>
      </c>
      <c r="AM636" s="179">
        <f>AM632</f>
        <v>2.7E-2</v>
      </c>
      <c r="AN636" s="179">
        <f>ROUNDUP(AN632/3,0)</f>
        <v>1</v>
      </c>
      <c r="AQ636" s="182">
        <f>AM636*I636+AL636</f>
        <v>2.91675</v>
      </c>
      <c r="AR636" s="182">
        <f t="shared" si="672"/>
        <v>0.29167500000000002</v>
      </c>
      <c r="AS636" s="183">
        <f t="shared" si="673"/>
        <v>0.25</v>
      </c>
      <c r="AT636" s="183">
        <f t="shared" si="674"/>
        <v>0.86460625000000002</v>
      </c>
      <c r="AU636" s="182">
        <f>10068.2*J636*POWER(10,-6)*10</f>
        <v>10.873656</v>
      </c>
      <c r="AV636" s="183">
        <f t="shared" si="675"/>
        <v>15.19668725</v>
      </c>
      <c r="AW636" s="184">
        <f t="shared" si="676"/>
        <v>0</v>
      </c>
      <c r="AX636" s="184">
        <f t="shared" si="677"/>
        <v>4.500000000000001E-6</v>
      </c>
      <c r="AY636" s="184">
        <f t="shared" si="678"/>
        <v>6.8385092625000013E-5</v>
      </c>
    </row>
    <row r="637" spans="1:51" s="179" customFormat="1" ht="15" thickBot="1" x14ac:dyDescent="0.35">
      <c r="A637" s="169" t="s">
        <v>23</v>
      </c>
      <c r="B637" s="169" t="str">
        <f>B632</f>
        <v>Резервуар РВС V=1000м3</v>
      </c>
      <c r="C637" s="171" t="s">
        <v>201</v>
      </c>
      <c r="D637" s="172" t="s">
        <v>61</v>
      </c>
      <c r="E637" s="185">
        <f>E635</f>
        <v>1E-4</v>
      </c>
      <c r="F637" s="186">
        <f>F632</f>
        <v>1</v>
      </c>
      <c r="G637" s="169">
        <v>0.85499999999999998</v>
      </c>
      <c r="H637" s="174">
        <f t="shared" si="668"/>
        <v>8.5500000000000005E-5</v>
      </c>
      <c r="I637" s="187">
        <f>0.15*I632</f>
        <v>108</v>
      </c>
      <c r="J637" s="169">
        <v>0</v>
      </c>
      <c r="K637" s="192" t="s">
        <v>191</v>
      </c>
      <c r="L637" s="192">
        <v>11</v>
      </c>
      <c r="M637" s="179" t="str">
        <f t="shared" si="669"/>
        <v>С6</v>
      </c>
      <c r="N637" s="179" t="str">
        <f t="shared" si="670"/>
        <v>Резервуар РВС V=1000м3</v>
      </c>
      <c r="O637" s="179" t="str">
        <f t="shared" si="671"/>
        <v>Частичное-ликвидация</v>
      </c>
      <c r="P637" s="179" t="s">
        <v>83</v>
      </c>
      <c r="Q637" s="179" t="s">
        <v>83</v>
      </c>
      <c r="R637" s="179" t="s">
        <v>83</v>
      </c>
      <c r="S637" s="179" t="s">
        <v>83</v>
      </c>
      <c r="T637" s="179" t="s">
        <v>83</v>
      </c>
      <c r="U637" s="179" t="s">
        <v>83</v>
      </c>
      <c r="V637" s="179" t="s">
        <v>83</v>
      </c>
      <c r="W637" s="179" t="s">
        <v>83</v>
      </c>
      <c r="X637" s="179" t="s">
        <v>83</v>
      </c>
      <c r="Y637" s="179" t="s">
        <v>83</v>
      </c>
      <c r="Z637" s="179" t="s">
        <v>83</v>
      </c>
      <c r="AA637" s="179" t="s">
        <v>83</v>
      </c>
      <c r="AB637" s="179" t="s">
        <v>83</v>
      </c>
      <c r="AC637" s="179" t="s">
        <v>83</v>
      </c>
      <c r="AD637" s="179" t="s">
        <v>83</v>
      </c>
      <c r="AE637" s="179" t="s">
        <v>83</v>
      </c>
      <c r="AF637" s="179" t="s">
        <v>83</v>
      </c>
      <c r="AG637" s="179" t="s">
        <v>83</v>
      </c>
      <c r="AH637" s="179" t="s">
        <v>83</v>
      </c>
      <c r="AI637" s="179" t="s">
        <v>83</v>
      </c>
      <c r="AJ637" s="179">
        <v>0</v>
      </c>
      <c r="AK637" s="179">
        <v>0</v>
      </c>
      <c r="AL637" s="179">
        <f>0.1*$AL$2</f>
        <v>7.5000000000000002E-4</v>
      </c>
      <c r="AM637" s="179">
        <f>AM632</f>
        <v>2.7E-2</v>
      </c>
      <c r="AN637" s="179">
        <f>ROUNDUP(AN632/3,0)</f>
        <v>1</v>
      </c>
      <c r="AQ637" s="182">
        <f>AM637*I637*0.1+AL637</f>
        <v>0.29235</v>
      </c>
      <c r="AR637" s="182">
        <f t="shared" si="672"/>
        <v>2.9235000000000001E-2</v>
      </c>
      <c r="AS637" s="183">
        <f t="shared" si="673"/>
        <v>0</v>
      </c>
      <c r="AT637" s="183">
        <f t="shared" si="674"/>
        <v>8.0396250000000002E-2</v>
      </c>
      <c r="AU637" s="182">
        <f>1333*J636*POWER(10,-6)</f>
        <v>0.14396399999999998</v>
      </c>
      <c r="AV637" s="183">
        <f t="shared" si="675"/>
        <v>0.54594524999999994</v>
      </c>
      <c r="AW637" s="184">
        <f t="shared" si="676"/>
        <v>0</v>
      </c>
      <c r="AX637" s="184">
        <f t="shared" si="677"/>
        <v>0</v>
      </c>
      <c r="AY637" s="184">
        <f t="shared" si="678"/>
        <v>4.6678318874999996E-5</v>
      </c>
    </row>
    <row r="638" spans="1:51" s="179" customFormat="1" x14ac:dyDescent="0.3">
      <c r="A638" s="180"/>
      <c r="B638" s="180"/>
      <c r="D638" s="271"/>
      <c r="E638" s="272"/>
      <c r="F638" s="273"/>
      <c r="G638" s="180"/>
      <c r="H638" s="184"/>
      <c r="I638" s="183"/>
      <c r="J638" s="180"/>
      <c r="K638" s="180"/>
      <c r="L638" s="180"/>
      <c r="AQ638" s="182"/>
      <c r="AR638" s="182"/>
      <c r="AS638" s="183"/>
      <c r="AT638" s="183"/>
      <c r="AU638" s="182"/>
      <c r="AV638" s="183"/>
      <c r="AW638" s="184"/>
      <c r="AX638" s="184"/>
      <c r="AY638" s="184"/>
    </row>
    <row r="639" spans="1:51" s="179" customFormat="1" x14ac:dyDescent="0.3">
      <c r="A639" s="180"/>
      <c r="B639" s="180"/>
      <c r="D639" s="271"/>
      <c r="E639" s="272"/>
      <c r="F639" s="273"/>
      <c r="G639" s="180"/>
      <c r="H639" s="184"/>
      <c r="I639" s="183"/>
      <c r="J639" s="180"/>
      <c r="K639" s="180"/>
      <c r="L639" s="180"/>
      <c r="AQ639" s="182"/>
      <c r="AR639" s="182"/>
      <c r="AS639" s="183"/>
      <c r="AT639" s="183"/>
      <c r="AU639" s="182"/>
      <c r="AV639" s="183"/>
      <c r="AW639" s="184"/>
      <c r="AX639" s="184"/>
      <c r="AY639" s="184"/>
    </row>
    <row r="640" spans="1:51" s="179" customFormat="1" x14ac:dyDescent="0.3">
      <c r="A640" s="180"/>
      <c r="B640" s="180"/>
      <c r="D640" s="271"/>
      <c r="E640" s="272"/>
      <c r="F640" s="273"/>
      <c r="G640" s="180"/>
      <c r="H640" s="184"/>
      <c r="I640" s="183"/>
      <c r="J640" s="180"/>
      <c r="K640" s="180"/>
      <c r="L640" s="180"/>
      <c r="AQ640" s="182"/>
      <c r="AR640" s="182"/>
      <c r="AS640" s="183"/>
      <c r="AT640" s="183"/>
      <c r="AU640" s="182"/>
      <c r="AV640" s="183"/>
      <c r="AW640" s="184"/>
      <c r="AX640" s="184"/>
      <c r="AY640" s="184"/>
    </row>
    <row r="641" spans="1:51" ht="15" thickBot="1" x14ac:dyDescent="0.35"/>
    <row r="642" spans="1:51" s="179" customFormat="1" ht="15" thickBot="1" x14ac:dyDescent="0.35">
      <c r="A642" s="169" t="s">
        <v>18</v>
      </c>
      <c r="B642" s="170" t="s">
        <v>655</v>
      </c>
      <c r="C642" s="171" t="s">
        <v>227</v>
      </c>
      <c r="D642" s="172" t="s">
        <v>183</v>
      </c>
      <c r="E642" s="173">
        <v>1.0000000000000001E-5</v>
      </c>
      <c r="F642" s="170">
        <v>1</v>
      </c>
      <c r="G642" s="169">
        <v>1.4999999999999999E-2</v>
      </c>
      <c r="H642" s="174">
        <f t="shared" ref="H642:H647" si="679">E642*F642*G642</f>
        <v>1.5000000000000002E-7</v>
      </c>
      <c r="I642" s="175">
        <f>(660/3600)*12</f>
        <v>2.1999999999999997</v>
      </c>
      <c r="J642" s="187">
        <f>I642</f>
        <v>2.1999999999999997</v>
      </c>
      <c r="K642" s="177" t="s">
        <v>175</v>
      </c>
      <c r="L642" s="422">
        <f>J642*20</f>
        <v>43.999999999999993</v>
      </c>
      <c r="M642" s="179" t="str">
        <f t="shared" ref="M642:M647" si="680">A642</f>
        <v>С1</v>
      </c>
      <c r="N642" s="179" t="str">
        <f t="shared" ref="N642:N647" si="681">B642</f>
        <v>Насос центробежный (8758Р1001А)</v>
      </c>
      <c r="O642" s="179" t="str">
        <f t="shared" ref="O642:O647" si="682">D642</f>
        <v>Полное-факел</v>
      </c>
      <c r="P642" s="179" t="s">
        <v>83</v>
      </c>
      <c r="Q642" s="179" t="s">
        <v>83</v>
      </c>
      <c r="R642" s="179" t="s">
        <v>83</v>
      </c>
      <c r="S642" s="179" t="s">
        <v>83</v>
      </c>
      <c r="T642" s="179" t="s">
        <v>83</v>
      </c>
      <c r="U642" s="179" t="s">
        <v>83</v>
      </c>
      <c r="V642" s="179" t="s">
        <v>83</v>
      </c>
      <c r="W642" s="179" t="s">
        <v>83</v>
      </c>
      <c r="X642" s="179" t="s">
        <v>83</v>
      </c>
      <c r="Y642" s="179" t="s">
        <v>83</v>
      </c>
      <c r="Z642" s="179" t="s">
        <v>83</v>
      </c>
      <c r="AA642" s="179" t="s">
        <v>83</v>
      </c>
      <c r="AB642" s="179" t="s">
        <v>83</v>
      </c>
      <c r="AC642" s="179" t="s">
        <v>83</v>
      </c>
      <c r="AD642" s="179" t="s">
        <v>83</v>
      </c>
      <c r="AE642" s="179" t="s">
        <v>83</v>
      </c>
      <c r="AF642" s="179" t="s">
        <v>83</v>
      </c>
      <c r="AG642" s="179" t="s">
        <v>83</v>
      </c>
      <c r="AH642" s="179" t="s">
        <v>83</v>
      </c>
      <c r="AI642" s="179" t="s">
        <v>83</v>
      </c>
      <c r="AJ642" s="180">
        <v>1</v>
      </c>
      <c r="AK642" s="180">
        <v>2</v>
      </c>
      <c r="AL642" s="181">
        <v>0.75</v>
      </c>
      <c r="AM642" s="181">
        <v>2.7E-2</v>
      </c>
      <c r="AN642" s="181">
        <v>3</v>
      </c>
      <c r="AQ642" s="182">
        <f>AM642*I642+AL642</f>
        <v>0.80940000000000001</v>
      </c>
      <c r="AR642" s="182">
        <f t="shared" ref="AR642:AR647" si="683">0.1*AQ642</f>
        <v>8.0940000000000012E-2</v>
      </c>
      <c r="AS642" s="183">
        <f t="shared" ref="AS642:AS647" si="684">AJ642*3+0.25*AK642</f>
        <v>3.5</v>
      </c>
      <c r="AT642" s="183">
        <f t="shared" ref="AT642:AT647" si="685">SUM(AQ642:AS642)/4</f>
        <v>1.097585</v>
      </c>
      <c r="AU642" s="182">
        <f>10068.2*J642*POWER(10,-6)</f>
        <v>2.2150039999999996E-2</v>
      </c>
      <c r="AV642" s="183">
        <f t="shared" ref="AV642:AV647" si="686">AU642+AT642+AS642+AR642+AQ642</f>
        <v>5.5100750400000003</v>
      </c>
      <c r="AW642" s="184">
        <f t="shared" ref="AW642:AW647" si="687">AJ642*H642</f>
        <v>1.5000000000000002E-7</v>
      </c>
      <c r="AX642" s="184">
        <f t="shared" ref="AX642:AX647" si="688">H642*AK642</f>
        <v>3.0000000000000004E-7</v>
      </c>
      <c r="AY642" s="184">
        <f t="shared" ref="AY642:AY647" si="689">H642*AV642</f>
        <v>8.2651125600000012E-7</v>
      </c>
    </row>
    <row r="643" spans="1:51" s="179" customFormat="1" ht="15" thickBot="1" x14ac:dyDescent="0.35">
      <c r="A643" s="169" t="s">
        <v>19</v>
      </c>
      <c r="B643" s="169" t="str">
        <f>B642</f>
        <v>Насос центробежный (8758Р1001А)</v>
      </c>
      <c r="C643" s="171" t="s">
        <v>238</v>
      </c>
      <c r="D643" s="172" t="s">
        <v>59</v>
      </c>
      <c r="E643" s="185">
        <f>E642</f>
        <v>1.0000000000000001E-5</v>
      </c>
      <c r="F643" s="186">
        <f>F642</f>
        <v>1</v>
      </c>
      <c r="G643" s="169">
        <v>1.4249999999999999E-2</v>
      </c>
      <c r="H643" s="174">
        <f t="shared" si="679"/>
        <v>1.4250000000000001E-7</v>
      </c>
      <c r="I643" s="187">
        <f>I642</f>
        <v>2.1999999999999997</v>
      </c>
      <c r="J643" s="175">
        <f>I642</f>
        <v>2.1999999999999997</v>
      </c>
      <c r="K643" s="177" t="s">
        <v>176</v>
      </c>
      <c r="L643" s="178">
        <v>0</v>
      </c>
      <c r="M643" s="179" t="str">
        <f t="shared" si="680"/>
        <v>С2</v>
      </c>
      <c r="N643" s="179" t="str">
        <f t="shared" si="681"/>
        <v>Насос центробежный (8758Р1001А)</v>
      </c>
      <c r="O643" s="179" t="str">
        <f t="shared" si="682"/>
        <v>Полное-пожар</v>
      </c>
      <c r="P643" s="179" t="s">
        <v>83</v>
      </c>
      <c r="Q643" s="179" t="s">
        <v>83</v>
      </c>
      <c r="R643" s="179" t="s">
        <v>83</v>
      </c>
      <c r="S643" s="179" t="s">
        <v>83</v>
      </c>
      <c r="T643" s="179" t="s">
        <v>83</v>
      </c>
      <c r="U643" s="179" t="s">
        <v>83</v>
      </c>
      <c r="V643" s="179" t="s">
        <v>83</v>
      </c>
      <c r="W643" s="179" t="s">
        <v>83</v>
      </c>
      <c r="X643" s="179" t="s">
        <v>83</v>
      </c>
      <c r="Y643" s="179" t="s">
        <v>83</v>
      </c>
      <c r="Z643" s="179" t="s">
        <v>83</v>
      </c>
      <c r="AA643" s="179" t="s">
        <v>83</v>
      </c>
      <c r="AB643" s="179" t="s">
        <v>83</v>
      </c>
      <c r="AC643" s="179" t="s">
        <v>83</v>
      </c>
      <c r="AD643" s="179" t="s">
        <v>83</v>
      </c>
      <c r="AE643" s="179" t="s">
        <v>83</v>
      </c>
      <c r="AF643" s="179" t="s">
        <v>83</v>
      </c>
      <c r="AG643" s="179" t="s">
        <v>83</v>
      </c>
      <c r="AH643" s="179" t="s">
        <v>83</v>
      </c>
      <c r="AI643" s="179" t="s">
        <v>83</v>
      </c>
      <c r="AJ643" s="180">
        <v>2</v>
      </c>
      <c r="AK643" s="180">
        <v>2</v>
      </c>
      <c r="AL643" s="179">
        <f>AL642</f>
        <v>0.75</v>
      </c>
      <c r="AM643" s="179">
        <f>AM642</f>
        <v>2.7E-2</v>
      </c>
      <c r="AN643" s="179">
        <f>AN642</f>
        <v>3</v>
      </c>
      <c r="AQ643" s="182">
        <f>AM643*I643+AL643</f>
        <v>0.80940000000000001</v>
      </c>
      <c r="AR643" s="182">
        <f t="shared" si="683"/>
        <v>8.0940000000000012E-2</v>
      </c>
      <c r="AS643" s="183">
        <f t="shared" si="684"/>
        <v>6.5</v>
      </c>
      <c r="AT643" s="183">
        <f t="shared" si="685"/>
        <v>1.847585</v>
      </c>
      <c r="AU643" s="182">
        <f>10068.2*J643*POWER(10,-6)*10</f>
        <v>0.22150039999999996</v>
      </c>
      <c r="AV643" s="183">
        <f t="shared" si="686"/>
        <v>9.4594254000000006</v>
      </c>
      <c r="AW643" s="184">
        <f t="shared" si="687"/>
        <v>2.8500000000000002E-7</v>
      </c>
      <c r="AX643" s="184">
        <f t="shared" si="688"/>
        <v>2.8500000000000002E-7</v>
      </c>
      <c r="AY643" s="184">
        <f t="shared" si="689"/>
        <v>1.3479681195000003E-6</v>
      </c>
    </row>
    <row r="644" spans="1:51" s="179" customFormat="1" x14ac:dyDescent="0.3">
      <c r="A644" s="169" t="s">
        <v>20</v>
      </c>
      <c r="B644" s="169" t="str">
        <f>B642</f>
        <v>Насос центробежный (8758Р1001А)</v>
      </c>
      <c r="C644" s="171" t="s">
        <v>239</v>
      </c>
      <c r="D644" s="172" t="s">
        <v>60</v>
      </c>
      <c r="E644" s="185">
        <f>E642</f>
        <v>1.0000000000000001E-5</v>
      </c>
      <c r="F644" s="186">
        <f>F642</f>
        <v>1</v>
      </c>
      <c r="G644" s="169">
        <v>0.27074999999999999</v>
      </c>
      <c r="H644" s="174">
        <f t="shared" si="679"/>
        <v>2.7075000000000003E-6</v>
      </c>
      <c r="I644" s="187">
        <f>I642</f>
        <v>2.1999999999999997</v>
      </c>
      <c r="J644" s="169">
        <v>0</v>
      </c>
      <c r="K644" s="177" t="s">
        <v>177</v>
      </c>
      <c r="L644" s="178">
        <v>1</v>
      </c>
      <c r="M644" s="179" t="str">
        <f t="shared" si="680"/>
        <v>С3</v>
      </c>
      <c r="N644" s="179" t="str">
        <f t="shared" si="681"/>
        <v>Насос центробежный (8758Р1001А)</v>
      </c>
      <c r="O644" s="179" t="str">
        <f t="shared" si="682"/>
        <v>Полное-ликвидация</v>
      </c>
      <c r="P644" s="179" t="s">
        <v>83</v>
      </c>
      <c r="Q644" s="179" t="s">
        <v>83</v>
      </c>
      <c r="R644" s="179" t="s">
        <v>83</v>
      </c>
      <c r="S644" s="179" t="s">
        <v>83</v>
      </c>
      <c r="T644" s="179" t="s">
        <v>83</v>
      </c>
      <c r="U644" s="179" t="s">
        <v>83</v>
      </c>
      <c r="V644" s="179" t="s">
        <v>83</v>
      </c>
      <c r="W644" s="179" t="s">
        <v>83</v>
      </c>
      <c r="X644" s="179" t="s">
        <v>83</v>
      </c>
      <c r="Y644" s="179" t="s">
        <v>83</v>
      </c>
      <c r="Z644" s="179" t="s">
        <v>83</v>
      </c>
      <c r="AA644" s="179" t="s">
        <v>83</v>
      </c>
      <c r="AB644" s="179" t="s">
        <v>83</v>
      </c>
      <c r="AC644" s="179" t="s">
        <v>83</v>
      </c>
      <c r="AD644" s="179" t="s">
        <v>83</v>
      </c>
      <c r="AE644" s="179" t="s">
        <v>83</v>
      </c>
      <c r="AF644" s="179" t="s">
        <v>83</v>
      </c>
      <c r="AG644" s="179" t="s">
        <v>83</v>
      </c>
      <c r="AH644" s="179" t="s">
        <v>83</v>
      </c>
      <c r="AI644" s="179" t="s">
        <v>83</v>
      </c>
      <c r="AJ644" s="179">
        <v>0</v>
      </c>
      <c r="AK644" s="179">
        <v>0</v>
      </c>
      <c r="AL644" s="179">
        <f>AL642</f>
        <v>0.75</v>
      </c>
      <c r="AM644" s="179">
        <f>AM642</f>
        <v>2.7E-2</v>
      </c>
      <c r="AN644" s="179">
        <f>AN642</f>
        <v>3</v>
      </c>
      <c r="AQ644" s="182">
        <f>AM644*I644*0.1+AL644</f>
        <v>0.75593999999999995</v>
      </c>
      <c r="AR644" s="182">
        <f t="shared" si="683"/>
        <v>7.5593999999999995E-2</v>
      </c>
      <c r="AS644" s="183">
        <f t="shared" si="684"/>
        <v>0</v>
      </c>
      <c r="AT644" s="183">
        <f t="shared" si="685"/>
        <v>0.2078835</v>
      </c>
      <c r="AU644" s="182">
        <f>1333*J643*POWER(10,-6)</f>
        <v>2.9325999999999992E-3</v>
      </c>
      <c r="AV644" s="183">
        <f t="shared" si="686"/>
        <v>1.0423500999999999</v>
      </c>
      <c r="AW644" s="184">
        <f t="shared" si="687"/>
        <v>0</v>
      </c>
      <c r="AX644" s="184">
        <f t="shared" si="688"/>
        <v>0</v>
      </c>
      <c r="AY644" s="184">
        <f t="shared" si="689"/>
        <v>2.8221628957500003E-6</v>
      </c>
    </row>
    <row r="645" spans="1:51" s="179" customFormat="1" x14ac:dyDescent="0.3">
      <c r="A645" s="169" t="s">
        <v>21</v>
      </c>
      <c r="B645" s="169" t="str">
        <f>B642</f>
        <v>Насос центробежный (8758Р1001А)</v>
      </c>
      <c r="C645" s="171" t="s">
        <v>230</v>
      </c>
      <c r="D645" s="172" t="s">
        <v>84</v>
      </c>
      <c r="E645" s="185">
        <f>E643</f>
        <v>1.0000000000000001E-5</v>
      </c>
      <c r="F645" s="186">
        <f>F642</f>
        <v>1</v>
      </c>
      <c r="G645" s="169">
        <v>3.4999999999999996E-2</v>
      </c>
      <c r="H645" s="174">
        <f t="shared" si="679"/>
        <v>3.4999999999999998E-7</v>
      </c>
      <c r="I645" s="187">
        <f>0.15*I642</f>
        <v>0.32999999999999996</v>
      </c>
      <c r="J645" s="187">
        <f>I645</f>
        <v>0.32999999999999996</v>
      </c>
      <c r="K645" s="190" t="s">
        <v>179</v>
      </c>
      <c r="L645" s="191">
        <v>45390</v>
      </c>
      <c r="M645" s="179" t="str">
        <f t="shared" si="680"/>
        <v>С4</v>
      </c>
      <c r="N645" s="179" t="str">
        <f t="shared" si="681"/>
        <v>Насос центробежный (8758Р1001А)</v>
      </c>
      <c r="O645" s="179" t="str">
        <f t="shared" si="682"/>
        <v>Частичное-пожар</v>
      </c>
      <c r="P645" s="179" t="s">
        <v>83</v>
      </c>
      <c r="Q645" s="179" t="s">
        <v>83</v>
      </c>
      <c r="R645" s="179" t="s">
        <v>83</v>
      </c>
      <c r="S645" s="179" t="s">
        <v>83</v>
      </c>
      <c r="T645" s="179" t="s">
        <v>83</v>
      </c>
      <c r="U645" s="179" t="s">
        <v>83</v>
      </c>
      <c r="V645" s="179" t="s">
        <v>83</v>
      </c>
      <c r="W645" s="179" t="s">
        <v>83</v>
      </c>
      <c r="X645" s="179" t="s">
        <v>83</v>
      </c>
      <c r="Y645" s="179" t="s">
        <v>83</v>
      </c>
      <c r="Z645" s="179" t="s">
        <v>83</v>
      </c>
      <c r="AA645" s="179" t="s">
        <v>83</v>
      </c>
      <c r="AB645" s="179" t="s">
        <v>83</v>
      </c>
      <c r="AC645" s="179" t="s">
        <v>83</v>
      </c>
      <c r="AD645" s="179" t="s">
        <v>83</v>
      </c>
      <c r="AE645" s="179" t="s">
        <v>83</v>
      </c>
      <c r="AF645" s="179" t="s">
        <v>83</v>
      </c>
      <c r="AG645" s="179" t="s">
        <v>83</v>
      </c>
      <c r="AH645" s="179" t="s">
        <v>83</v>
      </c>
      <c r="AI645" s="179" t="s">
        <v>83</v>
      </c>
      <c r="AJ645" s="179">
        <v>0</v>
      </c>
      <c r="AK645" s="179">
        <v>2</v>
      </c>
      <c r="AL645" s="179">
        <f>0.1*$AL$2</f>
        <v>7.5000000000000002E-4</v>
      </c>
      <c r="AM645" s="179">
        <f>AM642</f>
        <v>2.7E-2</v>
      </c>
      <c r="AN645" s="179">
        <f>ROUNDUP(AN642/3,0)</f>
        <v>1</v>
      </c>
      <c r="AQ645" s="182">
        <f>AM645*I645+AL645</f>
        <v>9.6600000000000002E-3</v>
      </c>
      <c r="AR645" s="182">
        <f t="shared" si="683"/>
        <v>9.6600000000000006E-4</v>
      </c>
      <c r="AS645" s="183">
        <f t="shared" si="684"/>
        <v>0.5</v>
      </c>
      <c r="AT645" s="183">
        <f t="shared" si="685"/>
        <v>0.12765650000000001</v>
      </c>
      <c r="AU645" s="182">
        <f>10068.2*J645*POWER(10,-6)</f>
        <v>3.3225059999999998E-3</v>
      </c>
      <c r="AV645" s="183">
        <f t="shared" si="686"/>
        <v>0.64160500600000003</v>
      </c>
      <c r="AW645" s="184">
        <f t="shared" si="687"/>
        <v>0</v>
      </c>
      <c r="AX645" s="184">
        <f t="shared" si="688"/>
        <v>6.9999999999999997E-7</v>
      </c>
      <c r="AY645" s="184">
        <f t="shared" si="689"/>
        <v>2.2456175209999999E-7</v>
      </c>
    </row>
    <row r="646" spans="1:51" s="179" customFormat="1" x14ac:dyDescent="0.3">
      <c r="A646" s="169" t="s">
        <v>22</v>
      </c>
      <c r="B646" s="169" t="str">
        <f>B642</f>
        <v>Насос центробежный (8758Р1001А)</v>
      </c>
      <c r="C646" s="171" t="s">
        <v>232</v>
      </c>
      <c r="D646" s="172" t="s">
        <v>84</v>
      </c>
      <c r="E646" s="185">
        <f>E644</f>
        <v>1.0000000000000001E-5</v>
      </c>
      <c r="F646" s="186">
        <f>F642</f>
        <v>1</v>
      </c>
      <c r="G646" s="169">
        <v>3.3249999999999995E-2</v>
      </c>
      <c r="H646" s="174">
        <f t="shared" si="679"/>
        <v>3.3249999999999999E-7</v>
      </c>
      <c r="I646" s="187">
        <f>0.15*I642</f>
        <v>0.32999999999999996</v>
      </c>
      <c r="J646" s="187">
        <f>I645</f>
        <v>0.32999999999999996</v>
      </c>
      <c r="K646" s="190" t="s">
        <v>180</v>
      </c>
      <c r="L646" s="191">
        <v>3</v>
      </c>
      <c r="M646" s="179" t="str">
        <f t="shared" si="680"/>
        <v>С5</v>
      </c>
      <c r="N646" s="179" t="str">
        <f t="shared" si="681"/>
        <v>Насос центробежный (8758Р1001А)</v>
      </c>
      <c r="O646" s="179" t="str">
        <f t="shared" si="682"/>
        <v>Частичное-пожар</v>
      </c>
      <c r="P646" s="179" t="s">
        <v>83</v>
      </c>
      <c r="Q646" s="179" t="s">
        <v>83</v>
      </c>
      <c r="R646" s="179" t="s">
        <v>83</v>
      </c>
      <c r="S646" s="179" t="s">
        <v>83</v>
      </c>
      <c r="T646" s="179" t="s">
        <v>83</v>
      </c>
      <c r="U646" s="179" t="s">
        <v>83</v>
      </c>
      <c r="V646" s="179" t="s">
        <v>83</v>
      </c>
      <c r="W646" s="179" t="s">
        <v>83</v>
      </c>
      <c r="X646" s="179" t="s">
        <v>83</v>
      </c>
      <c r="Y646" s="179" t="s">
        <v>83</v>
      </c>
      <c r="Z646" s="179" t="s">
        <v>83</v>
      </c>
      <c r="AA646" s="179" t="s">
        <v>83</v>
      </c>
      <c r="AB646" s="179" t="s">
        <v>83</v>
      </c>
      <c r="AC646" s="179" t="s">
        <v>83</v>
      </c>
      <c r="AD646" s="179" t="s">
        <v>83</v>
      </c>
      <c r="AE646" s="179" t="s">
        <v>83</v>
      </c>
      <c r="AF646" s="179" t="s">
        <v>83</v>
      </c>
      <c r="AG646" s="179" t="s">
        <v>83</v>
      </c>
      <c r="AH646" s="179" t="s">
        <v>83</v>
      </c>
      <c r="AI646" s="179" t="s">
        <v>83</v>
      </c>
      <c r="AJ646" s="179">
        <v>0</v>
      </c>
      <c r="AK646" s="179">
        <v>1</v>
      </c>
      <c r="AL646" s="179">
        <f>0.1*$AL$2</f>
        <v>7.5000000000000002E-4</v>
      </c>
      <c r="AM646" s="179">
        <f>AM642</f>
        <v>2.7E-2</v>
      </c>
      <c r="AN646" s="179">
        <f>ROUNDUP(AN642/3,0)</f>
        <v>1</v>
      </c>
      <c r="AQ646" s="182">
        <f>AM646*I646+AL646</f>
        <v>9.6600000000000002E-3</v>
      </c>
      <c r="AR646" s="182">
        <f t="shared" si="683"/>
        <v>9.6600000000000006E-4</v>
      </c>
      <c r="AS646" s="183">
        <f t="shared" si="684"/>
        <v>0.25</v>
      </c>
      <c r="AT646" s="183">
        <f t="shared" si="685"/>
        <v>6.5156500000000006E-2</v>
      </c>
      <c r="AU646" s="182">
        <f>10068.2*J646*POWER(10,-6)*10</f>
        <v>3.3225060000000001E-2</v>
      </c>
      <c r="AV646" s="183">
        <f t="shared" si="686"/>
        <v>0.35900756</v>
      </c>
      <c r="AW646" s="184">
        <f t="shared" si="687"/>
        <v>0</v>
      </c>
      <c r="AX646" s="184">
        <f t="shared" si="688"/>
        <v>3.3249999999999999E-7</v>
      </c>
      <c r="AY646" s="184">
        <f t="shared" si="689"/>
        <v>1.193700137E-7</v>
      </c>
    </row>
    <row r="647" spans="1:51" s="179" customFormat="1" ht="15" thickBot="1" x14ac:dyDescent="0.35">
      <c r="A647" s="169" t="s">
        <v>23</v>
      </c>
      <c r="B647" s="169" t="str">
        <f>B642</f>
        <v>Насос центробежный (8758Р1001А)</v>
      </c>
      <c r="C647" s="171" t="s">
        <v>231</v>
      </c>
      <c r="D647" s="172" t="s">
        <v>617</v>
      </c>
      <c r="E647" s="185">
        <f>E645</f>
        <v>1.0000000000000001E-5</v>
      </c>
      <c r="F647" s="186">
        <f>F642</f>
        <v>1</v>
      </c>
      <c r="G647" s="169">
        <v>0.63174999999999992</v>
      </c>
      <c r="H647" s="174">
        <f t="shared" si="679"/>
        <v>6.3175000000000001E-6</v>
      </c>
      <c r="I647" s="187">
        <f>0.15*I642</f>
        <v>0.32999999999999996</v>
      </c>
      <c r="J647" s="169">
        <v>0</v>
      </c>
      <c r="K647" s="192" t="s">
        <v>191</v>
      </c>
      <c r="L647" s="192">
        <v>18</v>
      </c>
      <c r="M647" s="179" t="str">
        <f t="shared" si="680"/>
        <v>С6</v>
      </c>
      <c r="N647" s="179" t="str">
        <f t="shared" si="681"/>
        <v>Насос центробежный (8758Р1001А)</v>
      </c>
      <c r="O647" s="179" t="str">
        <f t="shared" si="682"/>
        <v>Частичное-ликв</v>
      </c>
      <c r="P647" s="179" t="s">
        <v>83</v>
      </c>
      <c r="Q647" s="179" t="s">
        <v>83</v>
      </c>
      <c r="R647" s="179" t="s">
        <v>83</v>
      </c>
      <c r="S647" s="179" t="s">
        <v>83</v>
      </c>
      <c r="T647" s="179" t="s">
        <v>83</v>
      </c>
      <c r="U647" s="179" t="s">
        <v>83</v>
      </c>
      <c r="V647" s="179" t="s">
        <v>83</v>
      </c>
      <c r="W647" s="179" t="s">
        <v>83</v>
      </c>
      <c r="X647" s="179" t="s">
        <v>83</v>
      </c>
      <c r="Y647" s="179" t="s">
        <v>83</v>
      </c>
      <c r="Z647" s="179" t="s">
        <v>83</v>
      </c>
      <c r="AA647" s="179" t="s">
        <v>83</v>
      </c>
      <c r="AB647" s="179" t="s">
        <v>83</v>
      </c>
      <c r="AC647" s="179" t="s">
        <v>83</v>
      </c>
      <c r="AD647" s="179" t="s">
        <v>83</v>
      </c>
      <c r="AE647" s="179" t="s">
        <v>83</v>
      </c>
      <c r="AF647" s="179" t="s">
        <v>83</v>
      </c>
      <c r="AG647" s="179" t="s">
        <v>83</v>
      </c>
      <c r="AH647" s="179" t="s">
        <v>83</v>
      </c>
      <c r="AI647" s="179" t="s">
        <v>83</v>
      </c>
      <c r="AJ647" s="179">
        <v>0</v>
      </c>
      <c r="AK647" s="179">
        <v>0</v>
      </c>
      <c r="AL647" s="179">
        <f>0.1*$AL$2</f>
        <v>7.5000000000000002E-4</v>
      </c>
      <c r="AM647" s="179">
        <f>AM642</f>
        <v>2.7E-2</v>
      </c>
      <c r="AN647" s="179">
        <f>ROUNDUP(AN642/3,0)</f>
        <v>1</v>
      </c>
      <c r="AQ647" s="182">
        <f>AM647*I647*0.1+AL647</f>
        <v>1.6410000000000001E-3</v>
      </c>
      <c r="AR647" s="182">
        <f t="shared" si="683"/>
        <v>1.6410000000000003E-4</v>
      </c>
      <c r="AS647" s="183">
        <f t="shared" si="684"/>
        <v>0</v>
      </c>
      <c r="AT647" s="183">
        <f t="shared" si="685"/>
        <v>4.5127500000000001E-4</v>
      </c>
      <c r="AU647" s="182">
        <f>1333*J646*POWER(10,-6)</f>
        <v>4.3988999999999991E-4</v>
      </c>
      <c r="AV647" s="183">
        <f t="shared" si="686"/>
        <v>2.6962650000000002E-3</v>
      </c>
      <c r="AW647" s="184">
        <f t="shared" si="687"/>
        <v>0</v>
      </c>
      <c r="AX647" s="184">
        <f t="shared" si="688"/>
        <v>0</v>
      </c>
      <c r="AY647" s="184">
        <f t="shared" si="689"/>
        <v>1.7033654137500001E-8</v>
      </c>
    </row>
    <row r="648" spans="1:51" s="179" customFormat="1" x14ac:dyDescent="0.3">
      <c r="A648" s="180"/>
      <c r="B648" s="180"/>
      <c r="D648" s="271"/>
      <c r="E648" s="272"/>
      <c r="F648" s="273"/>
      <c r="G648" s="180"/>
      <c r="H648" s="184"/>
      <c r="I648" s="183"/>
      <c r="J648" s="180"/>
      <c r="K648" s="180"/>
      <c r="L648" s="180"/>
      <c r="AQ648" s="182"/>
      <c r="AR648" s="182"/>
      <c r="AS648" s="183"/>
      <c r="AT648" s="183"/>
      <c r="AU648" s="182"/>
      <c r="AV648" s="183"/>
      <c r="AW648" s="184"/>
      <c r="AX648" s="184"/>
      <c r="AY648" s="184"/>
    </row>
    <row r="649" spans="1:51" s="179" customFormat="1" x14ac:dyDescent="0.3">
      <c r="A649" s="180"/>
      <c r="B649" s="180"/>
      <c r="D649" s="271"/>
      <c r="E649" s="272"/>
      <c r="F649" s="273"/>
      <c r="G649" s="180"/>
      <c r="H649" s="184"/>
      <c r="I649" s="183"/>
      <c r="J649" s="180"/>
      <c r="K649" s="180"/>
      <c r="L649" s="180"/>
      <c r="AQ649" s="182"/>
      <c r="AR649" s="182"/>
      <c r="AS649" s="183"/>
      <c r="AT649" s="183"/>
      <c r="AU649" s="182"/>
      <c r="AV649" s="183"/>
      <c r="AW649" s="184"/>
      <c r="AX649" s="184"/>
      <c r="AY649" s="184"/>
    </row>
    <row r="650" spans="1:51" s="179" customFormat="1" x14ac:dyDescent="0.3">
      <c r="A650" s="180"/>
      <c r="B650" s="180"/>
      <c r="D650" s="271"/>
      <c r="E650" s="272"/>
      <c r="F650" s="273"/>
      <c r="G650" s="180"/>
      <c r="H650" s="184"/>
      <c r="I650" s="183"/>
      <c r="J650" s="180"/>
      <c r="K650" s="180"/>
      <c r="L650" s="180"/>
      <c r="AQ650" s="182"/>
      <c r="AR650" s="182"/>
      <c r="AS650" s="183"/>
      <c r="AT650" s="183"/>
      <c r="AU650" s="182"/>
      <c r="AV650" s="183"/>
      <c r="AW650" s="184"/>
      <c r="AX650" s="184"/>
      <c r="AY650" s="184"/>
    </row>
    <row r="651" spans="1:51" ht="15" thickBot="1" x14ac:dyDescent="0.35"/>
    <row r="652" spans="1:51" s="179" customFormat="1" ht="15" thickBot="1" x14ac:dyDescent="0.35">
      <c r="A652" s="169" t="s">
        <v>18</v>
      </c>
      <c r="B652" s="170" t="s">
        <v>656</v>
      </c>
      <c r="C652" s="171" t="s">
        <v>227</v>
      </c>
      <c r="D652" s="172" t="s">
        <v>183</v>
      </c>
      <c r="E652" s="173">
        <v>1.0000000000000001E-5</v>
      </c>
      <c r="F652" s="170">
        <v>1</v>
      </c>
      <c r="G652" s="169">
        <v>1.4999999999999999E-2</v>
      </c>
      <c r="H652" s="174">
        <f t="shared" ref="H652:H657" si="690">E652*F652*G652</f>
        <v>1.5000000000000002E-7</v>
      </c>
      <c r="I652" s="175">
        <f>(120/3600)*12</f>
        <v>0.4</v>
      </c>
      <c r="J652" s="187">
        <f>I652</f>
        <v>0.4</v>
      </c>
      <c r="K652" s="177" t="s">
        <v>175</v>
      </c>
      <c r="L652" s="422">
        <f>J652*20</f>
        <v>8</v>
      </c>
      <c r="M652" s="179" t="str">
        <f t="shared" ref="M652:M657" si="691">A652</f>
        <v>С1</v>
      </c>
      <c r="N652" s="179" t="str">
        <f t="shared" ref="N652:N657" si="692">B652</f>
        <v>Насос центробежный (8221P0001A)</v>
      </c>
      <c r="O652" s="179" t="str">
        <f t="shared" ref="O652:O657" si="693">D652</f>
        <v>Полное-факел</v>
      </c>
      <c r="P652" s="179" t="s">
        <v>83</v>
      </c>
      <c r="Q652" s="179" t="s">
        <v>83</v>
      </c>
      <c r="R652" s="179" t="s">
        <v>83</v>
      </c>
      <c r="S652" s="179" t="s">
        <v>83</v>
      </c>
      <c r="T652" s="179" t="s">
        <v>83</v>
      </c>
      <c r="U652" s="179" t="s">
        <v>83</v>
      </c>
      <c r="V652" s="179" t="s">
        <v>83</v>
      </c>
      <c r="W652" s="179" t="s">
        <v>83</v>
      </c>
      <c r="X652" s="179" t="s">
        <v>83</v>
      </c>
      <c r="Y652" s="179" t="s">
        <v>83</v>
      </c>
      <c r="Z652" s="179" t="s">
        <v>83</v>
      </c>
      <c r="AA652" s="179" t="s">
        <v>83</v>
      </c>
      <c r="AB652" s="179" t="s">
        <v>83</v>
      </c>
      <c r="AC652" s="179" t="s">
        <v>83</v>
      </c>
      <c r="AD652" s="179" t="s">
        <v>83</v>
      </c>
      <c r="AE652" s="179" t="s">
        <v>83</v>
      </c>
      <c r="AF652" s="179" t="s">
        <v>83</v>
      </c>
      <c r="AG652" s="179" t="s">
        <v>83</v>
      </c>
      <c r="AH652" s="179" t="s">
        <v>83</v>
      </c>
      <c r="AI652" s="179" t="s">
        <v>83</v>
      </c>
      <c r="AJ652" s="180">
        <v>1</v>
      </c>
      <c r="AK652" s="180">
        <v>2</v>
      </c>
      <c r="AL652" s="181">
        <v>0.75</v>
      </c>
      <c r="AM652" s="181">
        <v>2.7E-2</v>
      </c>
      <c r="AN652" s="181">
        <v>3</v>
      </c>
      <c r="AQ652" s="182">
        <f>AM652*I652+AL652</f>
        <v>0.76080000000000003</v>
      </c>
      <c r="AR652" s="182">
        <f t="shared" ref="AR652:AR657" si="694">0.1*AQ652</f>
        <v>7.6080000000000009E-2</v>
      </c>
      <c r="AS652" s="183">
        <f t="shared" ref="AS652:AS657" si="695">AJ652*3+0.25*AK652</f>
        <v>3.5</v>
      </c>
      <c r="AT652" s="183">
        <f t="shared" ref="AT652:AT657" si="696">SUM(AQ652:AS652)/4</f>
        <v>1.08422</v>
      </c>
      <c r="AU652" s="182">
        <f>10068.2*J652*POWER(10,-6)</f>
        <v>4.0272800000000003E-3</v>
      </c>
      <c r="AV652" s="183">
        <f t="shared" ref="AV652:AV657" si="697">AU652+AT652+AS652+AR652+AQ652</f>
        <v>5.4251272799999999</v>
      </c>
      <c r="AW652" s="184">
        <f t="shared" ref="AW652:AW657" si="698">AJ652*H652</f>
        <v>1.5000000000000002E-7</v>
      </c>
      <c r="AX652" s="184">
        <f t="shared" ref="AX652:AX657" si="699">H652*AK652</f>
        <v>3.0000000000000004E-7</v>
      </c>
      <c r="AY652" s="184">
        <f t="shared" ref="AY652:AY657" si="700">H652*AV652</f>
        <v>8.1376909200000006E-7</v>
      </c>
    </row>
    <row r="653" spans="1:51" s="179" customFormat="1" ht="15" thickBot="1" x14ac:dyDescent="0.35">
      <c r="A653" s="169" t="s">
        <v>19</v>
      </c>
      <c r="B653" s="169" t="str">
        <f>B652</f>
        <v>Насос центробежный (8221P0001A)</v>
      </c>
      <c r="C653" s="171" t="s">
        <v>238</v>
      </c>
      <c r="D653" s="172" t="s">
        <v>59</v>
      </c>
      <c r="E653" s="185">
        <f>E652</f>
        <v>1.0000000000000001E-5</v>
      </c>
      <c r="F653" s="186">
        <f>F652</f>
        <v>1</v>
      </c>
      <c r="G653" s="169">
        <v>1.4249999999999999E-2</v>
      </c>
      <c r="H653" s="174">
        <f t="shared" si="690"/>
        <v>1.4250000000000001E-7</v>
      </c>
      <c r="I653" s="187">
        <f>I652</f>
        <v>0.4</v>
      </c>
      <c r="J653" s="175">
        <f>I652</f>
        <v>0.4</v>
      </c>
      <c r="K653" s="177" t="s">
        <v>176</v>
      </c>
      <c r="L653" s="178">
        <v>0</v>
      </c>
      <c r="M653" s="179" t="str">
        <f t="shared" si="691"/>
        <v>С2</v>
      </c>
      <c r="N653" s="179" t="str">
        <f t="shared" si="692"/>
        <v>Насос центробежный (8221P0001A)</v>
      </c>
      <c r="O653" s="179" t="str">
        <f t="shared" si="693"/>
        <v>Полное-пожар</v>
      </c>
      <c r="P653" s="179" t="s">
        <v>83</v>
      </c>
      <c r="Q653" s="179" t="s">
        <v>83</v>
      </c>
      <c r="R653" s="179" t="s">
        <v>83</v>
      </c>
      <c r="S653" s="179" t="s">
        <v>83</v>
      </c>
      <c r="T653" s="179" t="s">
        <v>83</v>
      </c>
      <c r="U653" s="179" t="s">
        <v>83</v>
      </c>
      <c r="V653" s="179" t="s">
        <v>83</v>
      </c>
      <c r="W653" s="179" t="s">
        <v>83</v>
      </c>
      <c r="X653" s="179" t="s">
        <v>83</v>
      </c>
      <c r="Y653" s="179" t="s">
        <v>83</v>
      </c>
      <c r="Z653" s="179" t="s">
        <v>83</v>
      </c>
      <c r="AA653" s="179" t="s">
        <v>83</v>
      </c>
      <c r="AB653" s="179" t="s">
        <v>83</v>
      </c>
      <c r="AC653" s="179" t="s">
        <v>83</v>
      </c>
      <c r="AD653" s="179" t="s">
        <v>83</v>
      </c>
      <c r="AE653" s="179" t="s">
        <v>83</v>
      </c>
      <c r="AF653" s="179" t="s">
        <v>83</v>
      </c>
      <c r="AG653" s="179" t="s">
        <v>83</v>
      </c>
      <c r="AH653" s="179" t="s">
        <v>83</v>
      </c>
      <c r="AI653" s="179" t="s">
        <v>83</v>
      </c>
      <c r="AJ653" s="180">
        <v>2</v>
      </c>
      <c r="AK653" s="180">
        <v>2</v>
      </c>
      <c r="AL653" s="179">
        <f>AL652</f>
        <v>0.75</v>
      </c>
      <c r="AM653" s="179">
        <f>AM652</f>
        <v>2.7E-2</v>
      </c>
      <c r="AN653" s="179">
        <f>AN652</f>
        <v>3</v>
      </c>
      <c r="AQ653" s="182">
        <f>AM653*I653+AL653</f>
        <v>0.76080000000000003</v>
      </c>
      <c r="AR653" s="182">
        <f t="shared" si="694"/>
        <v>7.6080000000000009E-2</v>
      </c>
      <c r="AS653" s="183">
        <f t="shared" si="695"/>
        <v>6.5</v>
      </c>
      <c r="AT653" s="183">
        <f t="shared" si="696"/>
        <v>1.83422</v>
      </c>
      <c r="AU653" s="182">
        <f>10068.2*J653*POWER(10,-6)*10</f>
        <v>4.0272800000000004E-2</v>
      </c>
      <c r="AV653" s="183">
        <f t="shared" si="697"/>
        <v>9.2113727999999995</v>
      </c>
      <c r="AW653" s="184">
        <f t="shared" si="698"/>
        <v>2.8500000000000002E-7</v>
      </c>
      <c r="AX653" s="184">
        <f t="shared" si="699"/>
        <v>2.8500000000000002E-7</v>
      </c>
      <c r="AY653" s="184">
        <f t="shared" si="700"/>
        <v>1.312620624E-6</v>
      </c>
    </row>
    <row r="654" spans="1:51" s="179" customFormat="1" x14ac:dyDescent="0.3">
      <c r="A654" s="169" t="s">
        <v>20</v>
      </c>
      <c r="B654" s="169" t="str">
        <f>B652</f>
        <v>Насос центробежный (8221P0001A)</v>
      </c>
      <c r="C654" s="171" t="s">
        <v>239</v>
      </c>
      <c r="D654" s="172" t="s">
        <v>60</v>
      </c>
      <c r="E654" s="185">
        <f>E652</f>
        <v>1.0000000000000001E-5</v>
      </c>
      <c r="F654" s="186">
        <f>F652</f>
        <v>1</v>
      </c>
      <c r="G654" s="169">
        <v>0.27074999999999999</v>
      </c>
      <c r="H654" s="174">
        <f t="shared" si="690"/>
        <v>2.7075000000000003E-6</v>
      </c>
      <c r="I654" s="187">
        <f>I652</f>
        <v>0.4</v>
      </c>
      <c r="J654" s="169">
        <v>0</v>
      </c>
      <c r="K654" s="177" t="s">
        <v>177</v>
      </c>
      <c r="L654" s="178">
        <v>1</v>
      </c>
      <c r="M654" s="179" t="str">
        <f t="shared" si="691"/>
        <v>С3</v>
      </c>
      <c r="N654" s="179" t="str">
        <f t="shared" si="692"/>
        <v>Насос центробежный (8221P0001A)</v>
      </c>
      <c r="O654" s="179" t="str">
        <f t="shared" si="693"/>
        <v>Полное-ликвидация</v>
      </c>
      <c r="P654" s="179" t="s">
        <v>83</v>
      </c>
      <c r="Q654" s="179" t="s">
        <v>83</v>
      </c>
      <c r="R654" s="179" t="s">
        <v>83</v>
      </c>
      <c r="S654" s="179" t="s">
        <v>83</v>
      </c>
      <c r="T654" s="179" t="s">
        <v>83</v>
      </c>
      <c r="U654" s="179" t="s">
        <v>83</v>
      </c>
      <c r="V654" s="179" t="s">
        <v>83</v>
      </c>
      <c r="W654" s="179" t="s">
        <v>83</v>
      </c>
      <c r="X654" s="179" t="s">
        <v>83</v>
      </c>
      <c r="Y654" s="179" t="s">
        <v>83</v>
      </c>
      <c r="Z654" s="179" t="s">
        <v>83</v>
      </c>
      <c r="AA654" s="179" t="s">
        <v>83</v>
      </c>
      <c r="AB654" s="179" t="s">
        <v>83</v>
      </c>
      <c r="AC654" s="179" t="s">
        <v>83</v>
      </c>
      <c r="AD654" s="179" t="s">
        <v>83</v>
      </c>
      <c r="AE654" s="179" t="s">
        <v>83</v>
      </c>
      <c r="AF654" s="179" t="s">
        <v>83</v>
      </c>
      <c r="AG654" s="179" t="s">
        <v>83</v>
      </c>
      <c r="AH654" s="179" t="s">
        <v>83</v>
      </c>
      <c r="AI654" s="179" t="s">
        <v>83</v>
      </c>
      <c r="AJ654" s="179">
        <v>0</v>
      </c>
      <c r="AK654" s="179">
        <v>0</v>
      </c>
      <c r="AL654" s="179">
        <f>AL652</f>
        <v>0.75</v>
      </c>
      <c r="AM654" s="179">
        <f>AM652</f>
        <v>2.7E-2</v>
      </c>
      <c r="AN654" s="179">
        <f>AN652</f>
        <v>3</v>
      </c>
      <c r="AQ654" s="182">
        <f>AM654*I654*0.1+AL654</f>
        <v>0.75107999999999997</v>
      </c>
      <c r="AR654" s="182">
        <f t="shared" si="694"/>
        <v>7.5108000000000008E-2</v>
      </c>
      <c r="AS654" s="183">
        <f t="shared" si="695"/>
        <v>0</v>
      </c>
      <c r="AT654" s="183">
        <f t="shared" si="696"/>
        <v>0.20654699999999998</v>
      </c>
      <c r="AU654" s="182">
        <f>1333*J653*POWER(10,-6)</f>
        <v>5.3320000000000006E-4</v>
      </c>
      <c r="AV654" s="183">
        <f t="shared" si="697"/>
        <v>1.0332682</v>
      </c>
      <c r="AW654" s="184">
        <f t="shared" si="698"/>
        <v>0</v>
      </c>
      <c r="AX654" s="184">
        <f t="shared" si="699"/>
        <v>0</v>
      </c>
      <c r="AY654" s="184">
        <f t="shared" si="700"/>
        <v>2.7975736515000001E-6</v>
      </c>
    </row>
    <row r="655" spans="1:51" s="179" customFormat="1" x14ac:dyDescent="0.3">
      <c r="A655" s="169" t="s">
        <v>21</v>
      </c>
      <c r="B655" s="169" t="str">
        <f>B652</f>
        <v>Насос центробежный (8221P0001A)</v>
      </c>
      <c r="C655" s="171" t="s">
        <v>230</v>
      </c>
      <c r="D655" s="172" t="s">
        <v>84</v>
      </c>
      <c r="E655" s="185">
        <f>E653</f>
        <v>1.0000000000000001E-5</v>
      </c>
      <c r="F655" s="186">
        <f>F652</f>
        <v>1</v>
      </c>
      <c r="G655" s="169">
        <v>3.4999999999999996E-2</v>
      </c>
      <c r="H655" s="174">
        <f t="shared" si="690"/>
        <v>3.4999999999999998E-7</v>
      </c>
      <c r="I655" s="187">
        <f>0.15*I652</f>
        <v>0.06</v>
      </c>
      <c r="J655" s="187">
        <f>I655</f>
        <v>0.06</v>
      </c>
      <c r="K655" s="190" t="s">
        <v>179</v>
      </c>
      <c r="L655" s="191">
        <v>45390</v>
      </c>
      <c r="M655" s="179" t="str">
        <f t="shared" si="691"/>
        <v>С4</v>
      </c>
      <c r="N655" s="179" t="str">
        <f t="shared" si="692"/>
        <v>Насос центробежный (8221P0001A)</v>
      </c>
      <c r="O655" s="179" t="str">
        <f t="shared" si="693"/>
        <v>Частичное-пожар</v>
      </c>
      <c r="P655" s="179" t="s">
        <v>83</v>
      </c>
      <c r="Q655" s="179" t="s">
        <v>83</v>
      </c>
      <c r="R655" s="179" t="s">
        <v>83</v>
      </c>
      <c r="S655" s="179" t="s">
        <v>83</v>
      </c>
      <c r="T655" s="179" t="s">
        <v>83</v>
      </c>
      <c r="U655" s="179" t="s">
        <v>83</v>
      </c>
      <c r="V655" s="179" t="s">
        <v>83</v>
      </c>
      <c r="W655" s="179" t="s">
        <v>83</v>
      </c>
      <c r="X655" s="179" t="s">
        <v>83</v>
      </c>
      <c r="Y655" s="179" t="s">
        <v>83</v>
      </c>
      <c r="Z655" s="179" t="s">
        <v>83</v>
      </c>
      <c r="AA655" s="179" t="s">
        <v>83</v>
      </c>
      <c r="AB655" s="179" t="s">
        <v>83</v>
      </c>
      <c r="AC655" s="179" t="s">
        <v>83</v>
      </c>
      <c r="AD655" s="179" t="s">
        <v>83</v>
      </c>
      <c r="AE655" s="179" t="s">
        <v>83</v>
      </c>
      <c r="AF655" s="179" t="s">
        <v>83</v>
      </c>
      <c r="AG655" s="179" t="s">
        <v>83</v>
      </c>
      <c r="AH655" s="179" t="s">
        <v>83</v>
      </c>
      <c r="AI655" s="179" t="s">
        <v>83</v>
      </c>
      <c r="AJ655" s="179">
        <v>0</v>
      </c>
      <c r="AK655" s="179">
        <v>2</v>
      </c>
      <c r="AL655" s="179">
        <f>0.1*$AL$2</f>
        <v>7.5000000000000002E-4</v>
      </c>
      <c r="AM655" s="179">
        <f>AM652</f>
        <v>2.7E-2</v>
      </c>
      <c r="AN655" s="179">
        <f>ROUNDUP(AN652/3,0)</f>
        <v>1</v>
      </c>
      <c r="AQ655" s="182">
        <f>AM655*I655+AL655</f>
        <v>2.3699999999999997E-3</v>
      </c>
      <c r="AR655" s="182">
        <f t="shared" si="694"/>
        <v>2.3699999999999999E-4</v>
      </c>
      <c r="AS655" s="183">
        <f t="shared" si="695"/>
        <v>0.5</v>
      </c>
      <c r="AT655" s="183">
        <f t="shared" si="696"/>
        <v>0.12565175000000001</v>
      </c>
      <c r="AU655" s="182">
        <f>10068.2*J655*POWER(10,-6)</f>
        <v>6.0409199999999998E-4</v>
      </c>
      <c r="AV655" s="183">
        <f t="shared" si="697"/>
        <v>0.62886284199999998</v>
      </c>
      <c r="AW655" s="184">
        <f t="shared" si="698"/>
        <v>0</v>
      </c>
      <c r="AX655" s="184">
        <f t="shared" si="699"/>
        <v>6.9999999999999997E-7</v>
      </c>
      <c r="AY655" s="184">
        <f t="shared" si="700"/>
        <v>2.2010199469999999E-7</v>
      </c>
    </row>
    <row r="656" spans="1:51" s="179" customFormat="1" x14ac:dyDescent="0.3">
      <c r="A656" s="169" t="s">
        <v>22</v>
      </c>
      <c r="B656" s="169" t="str">
        <f>B652</f>
        <v>Насос центробежный (8221P0001A)</v>
      </c>
      <c r="C656" s="171" t="s">
        <v>232</v>
      </c>
      <c r="D656" s="172" t="s">
        <v>84</v>
      </c>
      <c r="E656" s="185">
        <f>E654</f>
        <v>1.0000000000000001E-5</v>
      </c>
      <c r="F656" s="186">
        <f>F652</f>
        <v>1</v>
      </c>
      <c r="G656" s="169">
        <v>3.3249999999999995E-2</v>
      </c>
      <c r="H656" s="174">
        <f t="shared" si="690"/>
        <v>3.3249999999999999E-7</v>
      </c>
      <c r="I656" s="187">
        <f>0.15*I652</f>
        <v>0.06</v>
      </c>
      <c r="J656" s="187">
        <f>I655</f>
        <v>0.06</v>
      </c>
      <c r="K656" s="190" t="s">
        <v>180</v>
      </c>
      <c r="L656" s="191">
        <v>3</v>
      </c>
      <c r="M656" s="179" t="str">
        <f t="shared" si="691"/>
        <v>С5</v>
      </c>
      <c r="N656" s="179" t="str">
        <f t="shared" si="692"/>
        <v>Насос центробежный (8221P0001A)</v>
      </c>
      <c r="O656" s="179" t="str">
        <f t="shared" si="693"/>
        <v>Частичное-пожар</v>
      </c>
      <c r="P656" s="179" t="s">
        <v>83</v>
      </c>
      <c r="Q656" s="179" t="s">
        <v>83</v>
      </c>
      <c r="R656" s="179" t="s">
        <v>83</v>
      </c>
      <c r="S656" s="179" t="s">
        <v>83</v>
      </c>
      <c r="T656" s="179" t="s">
        <v>83</v>
      </c>
      <c r="U656" s="179" t="s">
        <v>83</v>
      </c>
      <c r="V656" s="179" t="s">
        <v>83</v>
      </c>
      <c r="W656" s="179" t="s">
        <v>83</v>
      </c>
      <c r="X656" s="179" t="s">
        <v>83</v>
      </c>
      <c r="Y656" s="179" t="s">
        <v>83</v>
      </c>
      <c r="Z656" s="179" t="s">
        <v>83</v>
      </c>
      <c r="AA656" s="179" t="s">
        <v>83</v>
      </c>
      <c r="AB656" s="179" t="s">
        <v>83</v>
      </c>
      <c r="AC656" s="179" t="s">
        <v>83</v>
      </c>
      <c r="AD656" s="179" t="s">
        <v>83</v>
      </c>
      <c r="AE656" s="179" t="s">
        <v>83</v>
      </c>
      <c r="AF656" s="179" t="s">
        <v>83</v>
      </c>
      <c r="AG656" s="179" t="s">
        <v>83</v>
      </c>
      <c r="AH656" s="179" t="s">
        <v>83</v>
      </c>
      <c r="AI656" s="179" t="s">
        <v>83</v>
      </c>
      <c r="AJ656" s="179">
        <v>0</v>
      </c>
      <c r="AK656" s="179">
        <v>1</v>
      </c>
      <c r="AL656" s="179">
        <f>0.1*$AL$2</f>
        <v>7.5000000000000002E-4</v>
      </c>
      <c r="AM656" s="179">
        <f>AM652</f>
        <v>2.7E-2</v>
      </c>
      <c r="AN656" s="179">
        <f>ROUNDUP(AN652/3,0)</f>
        <v>1</v>
      </c>
      <c r="AQ656" s="182">
        <f>AM656*I656+AL656</f>
        <v>2.3699999999999997E-3</v>
      </c>
      <c r="AR656" s="182">
        <f t="shared" si="694"/>
        <v>2.3699999999999999E-4</v>
      </c>
      <c r="AS656" s="183">
        <f t="shared" si="695"/>
        <v>0.25</v>
      </c>
      <c r="AT656" s="183">
        <f t="shared" si="696"/>
        <v>6.3151750000000006E-2</v>
      </c>
      <c r="AU656" s="182">
        <f>10068.2*J656*POWER(10,-6)*10</f>
        <v>6.04092E-3</v>
      </c>
      <c r="AV656" s="183">
        <f t="shared" si="697"/>
        <v>0.32179966999999998</v>
      </c>
      <c r="AW656" s="184">
        <f t="shared" si="698"/>
        <v>0</v>
      </c>
      <c r="AX656" s="184">
        <f t="shared" si="699"/>
        <v>3.3249999999999999E-7</v>
      </c>
      <c r="AY656" s="184">
        <f t="shared" si="700"/>
        <v>1.0699839027499999E-7</v>
      </c>
    </row>
    <row r="657" spans="1:51" s="179" customFormat="1" ht="15" thickBot="1" x14ac:dyDescent="0.35">
      <c r="A657" s="169" t="s">
        <v>23</v>
      </c>
      <c r="B657" s="169" t="str">
        <f>B652</f>
        <v>Насос центробежный (8221P0001A)</v>
      </c>
      <c r="C657" s="171" t="s">
        <v>231</v>
      </c>
      <c r="D657" s="172" t="s">
        <v>617</v>
      </c>
      <c r="E657" s="185">
        <f>E655</f>
        <v>1.0000000000000001E-5</v>
      </c>
      <c r="F657" s="186">
        <f>F652</f>
        <v>1</v>
      </c>
      <c r="G657" s="169">
        <v>0.63174999999999992</v>
      </c>
      <c r="H657" s="174">
        <f t="shared" si="690"/>
        <v>6.3175000000000001E-6</v>
      </c>
      <c r="I657" s="187">
        <f>0.15*I652</f>
        <v>0.06</v>
      </c>
      <c r="J657" s="169">
        <v>0</v>
      </c>
      <c r="K657" s="192" t="s">
        <v>191</v>
      </c>
      <c r="L657" s="192">
        <v>18</v>
      </c>
      <c r="M657" s="179" t="str">
        <f t="shared" si="691"/>
        <v>С6</v>
      </c>
      <c r="N657" s="179" t="str">
        <f t="shared" si="692"/>
        <v>Насос центробежный (8221P0001A)</v>
      </c>
      <c r="O657" s="179" t="str">
        <f t="shared" si="693"/>
        <v>Частичное-ликв</v>
      </c>
      <c r="P657" s="179" t="s">
        <v>83</v>
      </c>
      <c r="Q657" s="179" t="s">
        <v>83</v>
      </c>
      <c r="R657" s="179" t="s">
        <v>83</v>
      </c>
      <c r="S657" s="179" t="s">
        <v>83</v>
      </c>
      <c r="T657" s="179" t="s">
        <v>83</v>
      </c>
      <c r="U657" s="179" t="s">
        <v>83</v>
      </c>
      <c r="V657" s="179" t="s">
        <v>83</v>
      </c>
      <c r="W657" s="179" t="s">
        <v>83</v>
      </c>
      <c r="X657" s="179" t="s">
        <v>83</v>
      </c>
      <c r="Y657" s="179" t="s">
        <v>83</v>
      </c>
      <c r="Z657" s="179" t="s">
        <v>83</v>
      </c>
      <c r="AA657" s="179" t="s">
        <v>83</v>
      </c>
      <c r="AB657" s="179" t="s">
        <v>83</v>
      </c>
      <c r="AC657" s="179" t="s">
        <v>83</v>
      </c>
      <c r="AD657" s="179" t="s">
        <v>83</v>
      </c>
      <c r="AE657" s="179" t="s">
        <v>83</v>
      </c>
      <c r="AF657" s="179" t="s">
        <v>83</v>
      </c>
      <c r="AG657" s="179" t="s">
        <v>83</v>
      </c>
      <c r="AH657" s="179" t="s">
        <v>83</v>
      </c>
      <c r="AI657" s="179" t="s">
        <v>83</v>
      </c>
      <c r="AJ657" s="179">
        <v>0</v>
      </c>
      <c r="AK657" s="179">
        <v>0</v>
      </c>
      <c r="AL657" s="179">
        <f>0.1*$AL$2</f>
        <v>7.5000000000000002E-4</v>
      </c>
      <c r="AM657" s="179">
        <f>AM652</f>
        <v>2.7E-2</v>
      </c>
      <c r="AN657" s="179">
        <f>ROUNDUP(AN652/3,0)</f>
        <v>1</v>
      </c>
      <c r="AQ657" s="182">
        <f>AM657*I657*0.1+AL657</f>
        <v>9.1200000000000005E-4</v>
      </c>
      <c r="AR657" s="182">
        <f t="shared" si="694"/>
        <v>9.1200000000000008E-5</v>
      </c>
      <c r="AS657" s="183">
        <f t="shared" si="695"/>
        <v>0</v>
      </c>
      <c r="AT657" s="183">
        <f t="shared" si="696"/>
        <v>2.5080000000000002E-4</v>
      </c>
      <c r="AU657" s="182">
        <f>1333*J656*POWER(10,-6)</f>
        <v>7.9980000000000003E-5</v>
      </c>
      <c r="AV657" s="183">
        <f t="shared" si="697"/>
        <v>1.33398E-3</v>
      </c>
      <c r="AW657" s="184">
        <f t="shared" si="698"/>
        <v>0</v>
      </c>
      <c r="AX657" s="184">
        <f t="shared" si="699"/>
        <v>0</v>
      </c>
      <c r="AY657" s="184">
        <f t="shared" si="700"/>
        <v>8.4274186500000002E-9</v>
      </c>
    </row>
    <row r="658" spans="1:51" s="179" customFormat="1" x14ac:dyDescent="0.3">
      <c r="A658" s="180"/>
      <c r="B658" s="180"/>
      <c r="D658" s="271"/>
      <c r="E658" s="272"/>
      <c r="F658" s="273"/>
      <c r="G658" s="180"/>
      <c r="H658" s="184"/>
      <c r="I658" s="183"/>
      <c r="J658" s="180"/>
      <c r="K658" s="180"/>
      <c r="L658" s="180"/>
      <c r="AQ658" s="182"/>
      <c r="AR658" s="182"/>
      <c r="AS658" s="183"/>
      <c r="AT658" s="183"/>
      <c r="AU658" s="182"/>
      <c r="AV658" s="183"/>
      <c r="AW658" s="184"/>
      <c r="AX658" s="184"/>
      <c r="AY658" s="184"/>
    </row>
    <row r="659" spans="1:51" s="179" customFormat="1" x14ac:dyDescent="0.3">
      <c r="A659" s="180"/>
      <c r="B659" s="180"/>
      <c r="D659" s="271"/>
      <c r="E659" s="272"/>
      <c r="F659" s="273"/>
      <c r="G659" s="180"/>
      <c r="H659" s="184"/>
      <c r="I659" s="183"/>
      <c r="J659" s="180"/>
      <c r="K659" s="180"/>
      <c r="L659" s="180"/>
      <c r="AQ659" s="182"/>
      <c r="AR659" s="182"/>
      <c r="AS659" s="183"/>
      <c r="AT659" s="183"/>
      <c r="AU659" s="182"/>
      <c r="AV659" s="183"/>
      <c r="AW659" s="184"/>
      <c r="AX659" s="184"/>
      <c r="AY659" s="184"/>
    </row>
    <row r="660" spans="1:51" s="179" customFormat="1" x14ac:dyDescent="0.3">
      <c r="A660" s="180"/>
      <c r="B660" s="180"/>
      <c r="D660" s="271"/>
      <c r="E660" s="272"/>
      <c r="F660" s="273"/>
      <c r="G660" s="180"/>
      <c r="H660" s="184"/>
      <c r="I660" s="183"/>
      <c r="J660" s="180"/>
      <c r="K660" s="180"/>
      <c r="L660" s="180"/>
      <c r="AQ660" s="182"/>
      <c r="AR660" s="182"/>
      <c r="AS660" s="183"/>
      <c r="AT660" s="183"/>
      <c r="AU660" s="182"/>
      <c r="AV660" s="183"/>
      <c r="AW660" s="184"/>
      <c r="AX660" s="184"/>
      <c r="AY660" s="184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4" name="Скрыть"/>
      </mc:Fallback>
    </mc:AlternateContent>
    <mc:AlternateContent xmlns:mc="http://schemas.openxmlformats.org/markup-compatibility/2006">
      <mc:Choice Requires="x14">
        <control shapeId="38914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8914" r:id="rId6" name="Показать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0"/>
  <sheetViews>
    <sheetView zoomScale="85" zoomScaleNormal="85" workbookViewId="0">
      <pane ySplit="1" topLeftCell="A200" activePane="bottomLeft" state="frozen"/>
      <selection pane="bottomLeft" activeCell="A232" sqref="A232:XFD24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316</v>
      </c>
      <c r="U1" s="68" t="s">
        <v>315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3" ht="15" thickBot="1" x14ac:dyDescent="0.35">
      <c r="A2" s="48" t="s">
        <v>18</v>
      </c>
      <c r="B2" s="150" t="s">
        <v>158</v>
      </c>
      <c r="C2" s="166" t="s">
        <v>159</v>
      </c>
      <c r="D2" s="49" t="s">
        <v>59</v>
      </c>
      <c r="E2" s="153">
        <v>1.0000000000000001E-5</v>
      </c>
      <c r="F2" s="150">
        <v>1</v>
      </c>
      <c r="G2" s="48">
        <v>0.2</v>
      </c>
      <c r="H2" s="50">
        <f t="shared" ref="H2:H7" si="2">E2*F2*G2</f>
        <v>2.0000000000000003E-6</v>
      </c>
      <c r="I2" s="151">
        <v>8.75</v>
      </c>
      <c r="J2" s="156">
        <f>I2</f>
        <v>8.75</v>
      </c>
      <c r="K2" s="159" t="s">
        <v>175</v>
      </c>
      <c r="L2" s="164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>
        <v>17.100000000000001</v>
      </c>
      <c r="Q2" s="92">
        <v>23.5</v>
      </c>
      <c r="R2" s="92">
        <v>33.1</v>
      </c>
      <c r="S2" s="92">
        <v>61.2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2</v>
      </c>
      <c r="AL2" s="152">
        <v>0.75</v>
      </c>
      <c r="AM2" s="152">
        <v>2.7E-2</v>
      </c>
      <c r="AN2" s="152">
        <v>3</v>
      </c>
      <c r="AO2" s="92"/>
      <c r="AP2" s="92"/>
      <c r="AQ2" s="93">
        <f>AM2*I2+AL2</f>
        <v>0.98624999999999996</v>
      </c>
      <c r="AR2" s="93">
        <f t="shared" ref="AR2:AR7" si="3">0.1*AQ2</f>
        <v>9.8625000000000004E-2</v>
      </c>
      <c r="AS2" s="94">
        <f t="shared" ref="AS2:AS7" si="4">AJ2*3+0.25*AK2</f>
        <v>3.5</v>
      </c>
      <c r="AT2" s="94">
        <f t="shared" ref="AT2:AT7" si="5">SUM(AQ2:AS2)/4</f>
        <v>1.1462187500000001</v>
      </c>
      <c r="AU2" s="93">
        <f>10068.2*J2*POWER(10,-6)</f>
        <v>8.8096750000000001E-2</v>
      </c>
      <c r="AV2" s="94">
        <f t="shared" ref="AV2:AV7" si="6">AU2+AT2+AS2+AR2+AQ2</f>
        <v>5.8191905000000004</v>
      </c>
      <c r="AW2" s="95">
        <f t="shared" ref="AW2:AW7" si="7">AJ2*H2</f>
        <v>2.0000000000000003E-6</v>
      </c>
      <c r="AX2" s="95">
        <f t="shared" ref="AX2:AX7" si="8">H2*AK2</f>
        <v>4.0000000000000007E-6</v>
      </c>
      <c r="AY2" s="95">
        <f t="shared" ref="AY2:AY7" si="9">H2*AV2</f>
        <v>1.1638381000000003E-5</v>
      </c>
    </row>
    <row r="3" spans="1:53" ht="15" thickBot="1" x14ac:dyDescent="0.35">
      <c r="A3" s="48" t="s">
        <v>19</v>
      </c>
      <c r="B3" s="48" t="str">
        <f>B2</f>
        <v>Трубопровод ЛВЖ</v>
      </c>
      <c r="C3" s="166" t="s">
        <v>160</v>
      </c>
      <c r="D3" s="49" t="s">
        <v>62</v>
      </c>
      <c r="E3" s="154">
        <f>E2</f>
        <v>1.0000000000000001E-5</v>
      </c>
      <c r="F3" s="155">
        <f>F2</f>
        <v>1</v>
      </c>
      <c r="G3" s="48">
        <v>0.04</v>
      </c>
      <c r="H3" s="50">
        <f t="shared" si="2"/>
        <v>4.0000000000000003E-7</v>
      </c>
      <c r="I3" s="149">
        <f>I2</f>
        <v>8.75</v>
      </c>
      <c r="J3" s="157">
        <v>0.625</v>
      </c>
      <c r="K3" s="159" t="s">
        <v>176</v>
      </c>
      <c r="L3" s="164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83</v>
      </c>
      <c r="Q3" s="92" t="s">
        <v>83</v>
      </c>
      <c r="R3" s="92" t="s">
        <v>83</v>
      </c>
      <c r="S3" s="92" t="s">
        <v>83</v>
      </c>
      <c r="T3" s="92">
        <v>0</v>
      </c>
      <c r="U3" s="92">
        <v>0</v>
      </c>
      <c r="V3" s="92">
        <v>64.599999999999994</v>
      </c>
      <c r="W3" s="92">
        <v>216.1</v>
      </c>
      <c r="X3" s="92">
        <v>562.6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s="92" t="s">
        <v>83</v>
      </c>
      <c r="AJ3" s="52">
        <v>2</v>
      </c>
      <c r="AK3" s="52">
        <v>2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0.98624999999999996</v>
      </c>
      <c r="AR3" s="93">
        <f t="shared" si="3"/>
        <v>9.8625000000000004E-2</v>
      </c>
      <c r="AS3" s="94">
        <f t="shared" si="4"/>
        <v>6.5</v>
      </c>
      <c r="AT3" s="94">
        <f t="shared" si="5"/>
        <v>1.8962187500000001</v>
      </c>
      <c r="AU3" s="93">
        <f>10068.2*J3*POWER(10,-6)*10</f>
        <v>6.2926249999999989E-2</v>
      </c>
      <c r="AV3" s="94">
        <f t="shared" si="6"/>
        <v>9.5440199999999997</v>
      </c>
      <c r="AW3" s="95">
        <f t="shared" si="7"/>
        <v>8.0000000000000007E-7</v>
      </c>
      <c r="AX3" s="95">
        <f t="shared" si="8"/>
        <v>8.0000000000000007E-7</v>
      </c>
      <c r="AY3" s="95">
        <f t="shared" si="9"/>
        <v>3.8176079999999999E-6</v>
      </c>
    </row>
    <row r="4" spans="1:53" x14ac:dyDescent="0.3">
      <c r="A4" s="48" t="s">
        <v>20</v>
      </c>
      <c r="B4" s="48" t="str">
        <f>B2</f>
        <v>Трубопровод ЛВЖ</v>
      </c>
      <c r="C4" s="166" t="s">
        <v>161</v>
      </c>
      <c r="D4" s="49" t="s">
        <v>60</v>
      </c>
      <c r="E4" s="154">
        <f>E2</f>
        <v>1.0000000000000001E-5</v>
      </c>
      <c r="F4" s="155">
        <f>F2</f>
        <v>1</v>
      </c>
      <c r="G4" s="48">
        <v>0.76</v>
      </c>
      <c r="H4" s="50">
        <f t="shared" si="2"/>
        <v>7.6000000000000009E-6</v>
      </c>
      <c r="I4" s="149">
        <f>I2</f>
        <v>8.75</v>
      </c>
      <c r="J4" s="158">
        <v>0</v>
      </c>
      <c r="K4" s="159" t="s">
        <v>177</v>
      </c>
      <c r="L4" s="164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 t="s">
        <v>83</v>
      </c>
      <c r="AD4" s="92" t="s">
        <v>83</v>
      </c>
      <c r="AE4" s="92" t="s">
        <v>83</v>
      </c>
      <c r="AF4" s="92" t="s">
        <v>83</v>
      </c>
      <c r="AG4" s="92" t="s">
        <v>83</v>
      </c>
      <c r="AH4" s="92" t="s">
        <v>83</v>
      </c>
      <c r="AI4" s="92" t="s">
        <v>83</v>
      </c>
      <c r="AJ4" s="92">
        <v>0</v>
      </c>
      <c r="AK4" s="92">
        <v>0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0.77362500000000001</v>
      </c>
      <c r="AR4" s="93">
        <f t="shared" si="3"/>
        <v>7.7362500000000001E-2</v>
      </c>
      <c r="AS4" s="94">
        <f t="shared" si="4"/>
        <v>0</v>
      </c>
      <c r="AT4" s="94">
        <f t="shared" si="5"/>
        <v>0.212746875</v>
      </c>
      <c r="AU4" s="93">
        <f>1333*J3*POWER(10,-6)</f>
        <v>8.3312499999999999E-4</v>
      </c>
      <c r="AV4" s="94">
        <f t="shared" si="6"/>
        <v>1.0645674999999999</v>
      </c>
      <c r="AW4" s="95">
        <f t="shared" si="7"/>
        <v>0</v>
      </c>
      <c r="AX4" s="95">
        <f t="shared" si="8"/>
        <v>0</v>
      </c>
      <c r="AY4" s="95">
        <f t="shared" si="9"/>
        <v>8.0907130000000009E-6</v>
      </c>
    </row>
    <row r="5" spans="1:53" x14ac:dyDescent="0.3">
      <c r="A5" s="48" t="s">
        <v>21</v>
      </c>
      <c r="B5" s="48" t="str">
        <f>B2</f>
        <v>Трубопровод ЛВЖ</v>
      </c>
      <c r="C5" s="166" t="s">
        <v>162</v>
      </c>
      <c r="D5" s="49" t="s">
        <v>84</v>
      </c>
      <c r="E5" s="153">
        <v>1E-4</v>
      </c>
      <c r="F5" s="155">
        <f>F2</f>
        <v>1</v>
      </c>
      <c r="G5" s="48">
        <v>0.2</v>
      </c>
      <c r="H5" s="50">
        <f t="shared" si="2"/>
        <v>2.0000000000000002E-5</v>
      </c>
      <c r="I5" s="149">
        <f>0.15*I2</f>
        <v>1.3125</v>
      </c>
      <c r="J5" s="156">
        <f>I5</f>
        <v>1.3125</v>
      </c>
      <c r="K5" s="161" t="s">
        <v>179</v>
      </c>
      <c r="L5" s="165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>
        <v>12.8</v>
      </c>
      <c r="Q5" s="92">
        <v>16.399999999999999</v>
      </c>
      <c r="R5" s="92">
        <v>21.7</v>
      </c>
      <c r="S5" s="92">
        <v>37.299999999999997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s="92" t="s">
        <v>83</v>
      </c>
      <c r="AJ5" s="92">
        <v>0</v>
      </c>
      <c r="AK5" s="92">
        <v>2</v>
      </c>
      <c r="AL5" s="92">
        <f>0.1*$AL$2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0.11043750000000001</v>
      </c>
      <c r="AR5" s="93">
        <f t="shared" si="3"/>
        <v>1.1043750000000001E-2</v>
      </c>
      <c r="AS5" s="94">
        <f t="shared" si="4"/>
        <v>0.5</v>
      </c>
      <c r="AT5" s="94">
        <f t="shared" si="5"/>
        <v>0.1553703125</v>
      </c>
      <c r="AU5" s="93">
        <f>10068.2*J5*POWER(10,-6)</f>
        <v>1.3214512500000001E-2</v>
      </c>
      <c r="AV5" s="94">
        <f t="shared" si="6"/>
        <v>0.79006607499999992</v>
      </c>
      <c r="AW5" s="95">
        <f t="shared" si="7"/>
        <v>0</v>
      </c>
      <c r="AX5" s="95">
        <f t="shared" si="8"/>
        <v>4.0000000000000003E-5</v>
      </c>
      <c r="AY5" s="95">
        <f t="shared" si="9"/>
        <v>1.5801321499999999E-5</v>
      </c>
    </row>
    <row r="6" spans="1:53" x14ac:dyDescent="0.3">
      <c r="A6" s="48" t="s">
        <v>22</v>
      </c>
      <c r="B6" s="48" t="str">
        <f>B2</f>
        <v>Трубопровод ЛВЖ</v>
      </c>
      <c r="C6" s="166" t="s">
        <v>163</v>
      </c>
      <c r="D6" s="49" t="s">
        <v>165</v>
      </c>
      <c r="E6" s="154">
        <f>E5</f>
        <v>1E-4</v>
      </c>
      <c r="F6" s="155">
        <f>F2</f>
        <v>1</v>
      </c>
      <c r="G6" s="48">
        <v>0.04</v>
      </c>
      <c r="H6" s="50">
        <f t="shared" si="2"/>
        <v>4.0000000000000007E-6</v>
      </c>
      <c r="I6" s="149">
        <f>0.15*I2</f>
        <v>1.3125</v>
      </c>
      <c r="J6" s="156">
        <f>0.15*J3</f>
        <v>9.375E-2</v>
      </c>
      <c r="K6" s="161" t="s">
        <v>180</v>
      </c>
      <c r="L6" s="165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83</v>
      </c>
      <c r="Q6" s="92" t="s">
        <v>83</v>
      </c>
      <c r="R6" s="92" t="s">
        <v>83</v>
      </c>
      <c r="S6" s="92" t="s">
        <v>83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>
        <v>15.35</v>
      </c>
      <c r="AB6" s="92">
        <v>18.420000000000002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s="92" t="s">
        <v>83</v>
      </c>
      <c r="AJ6" s="92">
        <v>0</v>
      </c>
      <c r="AK6" s="92">
        <v>1</v>
      </c>
      <c r="AL6" s="92">
        <f>0.1*$AL$2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0.11043750000000001</v>
      </c>
      <c r="AR6" s="93">
        <f t="shared" si="3"/>
        <v>1.1043750000000001E-2</v>
      </c>
      <c r="AS6" s="94">
        <f t="shared" si="4"/>
        <v>0.25</v>
      </c>
      <c r="AT6" s="94">
        <f t="shared" si="5"/>
        <v>9.2870312499999996E-2</v>
      </c>
      <c r="AU6" s="93">
        <f>10068.2*J6*POWER(10,-6)*10</f>
        <v>9.4389375000000011E-3</v>
      </c>
      <c r="AV6" s="94">
        <f t="shared" si="6"/>
        <v>0.47379050000000006</v>
      </c>
      <c r="AW6" s="95">
        <f t="shared" si="7"/>
        <v>0</v>
      </c>
      <c r="AX6" s="95">
        <f t="shared" si="8"/>
        <v>4.0000000000000007E-6</v>
      </c>
      <c r="AY6" s="95">
        <f t="shared" si="9"/>
        <v>1.8951620000000005E-6</v>
      </c>
    </row>
    <row r="7" spans="1:53" x14ac:dyDescent="0.3">
      <c r="A7" s="257" t="s">
        <v>23</v>
      </c>
      <c r="B7" s="257" t="str">
        <f>B2</f>
        <v>Трубопровод ЛВЖ</v>
      </c>
      <c r="C7" s="258" t="s">
        <v>164</v>
      </c>
      <c r="D7" s="259" t="s">
        <v>61</v>
      </c>
      <c r="E7" s="260">
        <f>E5</f>
        <v>1E-4</v>
      </c>
      <c r="F7" s="261">
        <f>F2</f>
        <v>1</v>
      </c>
      <c r="G7" s="257">
        <v>0.76</v>
      </c>
      <c r="H7" s="262">
        <f t="shared" si="2"/>
        <v>7.6000000000000004E-5</v>
      </c>
      <c r="I7" s="263">
        <f>0.15*I2</f>
        <v>1.3125</v>
      </c>
      <c r="J7" s="264">
        <v>0</v>
      </c>
      <c r="K7" s="265" t="s">
        <v>191</v>
      </c>
      <c r="L7" s="266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 t="s">
        <v>83</v>
      </c>
      <c r="AD7" s="92" t="s">
        <v>83</v>
      </c>
      <c r="AE7" s="92" t="s">
        <v>83</v>
      </c>
      <c r="AF7" s="92" t="s">
        <v>83</v>
      </c>
      <c r="AG7" s="92" t="s">
        <v>83</v>
      </c>
      <c r="AH7" s="92" t="s">
        <v>83</v>
      </c>
      <c r="AI7" s="92" t="s">
        <v>83</v>
      </c>
      <c r="AJ7" s="92">
        <v>0</v>
      </c>
      <c r="AK7" s="92">
        <v>0</v>
      </c>
      <c r="AL7" s="92">
        <f>0.1*$AL$2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7.8543750000000009E-2</v>
      </c>
      <c r="AR7" s="93">
        <f t="shared" si="3"/>
        <v>7.854375000000002E-3</v>
      </c>
      <c r="AS7" s="94">
        <f t="shared" si="4"/>
        <v>0</v>
      </c>
      <c r="AT7" s="94">
        <f t="shared" si="5"/>
        <v>2.1599531250000002E-2</v>
      </c>
      <c r="AU7" s="93">
        <f>1333*J6*POWER(10,-6)</f>
        <v>1.2496875E-4</v>
      </c>
      <c r="AV7" s="94">
        <f t="shared" si="6"/>
        <v>0.10812262500000001</v>
      </c>
      <c r="AW7" s="95">
        <f t="shared" si="7"/>
        <v>0</v>
      </c>
      <c r="AX7" s="95">
        <f t="shared" si="8"/>
        <v>0</v>
      </c>
      <c r="AY7" s="95">
        <f t="shared" si="9"/>
        <v>8.2173195000000018E-6</v>
      </c>
    </row>
    <row r="8" spans="1:53" s="267" customFormat="1" x14ac:dyDescent="0.3">
      <c r="A8" s="48" t="s">
        <v>83</v>
      </c>
      <c r="B8" s="48" t="s">
        <v>83</v>
      </c>
      <c r="C8" s="48" t="s">
        <v>83</v>
      </c>
      <c r="D8" s="48" t="s">
        <v>83</v>
      </c>
      <c r="E8" s="48" t="s">
        <v>83</v>
      </c>
      <c r="F8" s="48" t="s">
        <v>83</v>
      </c>
      <c r="G8" s="48" t="s">
        <v>83</v>
      </c>
      <c r="H8" s="48" t="s">
        <v>83</v>
      </c>
      <c r="I8" s="48" t="s">
        <v>83</v>
      </c>
      <c r="J8" s="48" t="s">
        <v>83</v>
      </c>
      <c r="K8" s="48" t="s">
        <v>83</v>
      </c>
      <c r="L8" s="48" t="s">
        <v>83</v>
      </c>
      <c r="M8" s="48" t="s">
        <v>83</v>
      </c>
      <c r="N8" s="48" t="s">
        <v>83</v>
      </c>
      <c r="O8" s="48" t="s">
        <v>83</v>
      </c>
      <c r="P8" s="48" t="s">
        <v>83</v>
      </c>
      <c r="Q8" s="48" t="s">
        <v>83</v>
      </c>
      <c r="R8" s="48" t="s">
        <v>83</v>
      </c>
      <c r="S8" s="48" t="s">
        <v>83</v>
      </c>
      <c r="T8" s="48" t="s">
        <v>83</v>
      </c>
      <c r="U8" s="48" t="s">
        <v>83</v>
      </c>
      <c r="V8" s="48" t="s">
        <v>83</v>
      </c>
      <c r="W8" s="48" t="s">
        <v>83</v>
      </c>
      <c r="X8" s="48" t="s">
        <v>83</v>
      </c>
      <c r="Y8" s="48" t="s">
        <v>83</v>
      </c>
      <c r="Z8" s="48" t="s">
        <v>83</v>
      </c>
      <c r="AA8" s="48" t="s">
        <v>83</v>
      </c>
      <c r="AB8" s="48" t="s">
        <v>83</v>
      </c>
      <c r="AC8" s="48" t="s">
        <v>83</v>
      </c>
      <c r="AD8" s="48" t="s">
        <v>83</v>
      </c>
      <c r="AE8" s="48" t="s">
        <v>83</v>
      </c>
      <c r="AF8" s="48" t="s">
        <v>83</v>
      </c>
      <c r="AG8" s="48" t="s">
        <v>83</v>
      </c>
      <c r="AH8" s="48" t="s">
        <v>83</v>
      </c>
      <c r="AI8" s="48" t="s">
        <v>83</v>
      </c>
      <c r="AJ8" s="48" t="s">
        <v>83</v>
      </c>
      <c r="AK8" s="48" t="s">
        <v>83</v>
      </c>
      <c r="AL8" s="48" t="s">
        <v>83</v>
      </c>
      <c r="AM8" s="48" t="s">
        <v>83</v>
      </c>
      <c r="AN8" s="48" t="s">
        <v>83</v>
      </c>
      <c r="AO8" s="48" t="s">
        <v>83</v>
      </c>
      <c r="AP8" s="48" t="s">
        <v>83</v>
      </c>
      <c r="AQ8" s="48" t="s">
        <v>83</v>
      </c>
      <c r="AR8" s="48" t="s">
        <v>83</v>
      </c>
      <c r="AS8" s="48" t="s">
        <v>83</v>
      </c>
      <c r="AT8" s="48" t="s">
        <v>83</v>
      </c>
      <c r="AU8" s="48" t="s">
        <v>83</v>
      </c>
      <c r="AV8" s="48" t="s">
        <v>83</v>
      </c>
      <c r="AW8" s="48" t="s">
        <v>83</v>
      </c>
      <c r="AX8" s="48" t="s">
        <v>83</v>
      </c>
      <c r="AY8" s="48" t="s">
        <v>83</v>
      </c>
    </row>
    <row r="9" spans="1:53" s="267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3" s="267" customFormat="1" x14ac:dyDescent="0.3">
      <c r="A10" s="48" t="s">
        <v>83</v>
      </c>
      <c r="B10" s="48" t="s">
        <v>83</v>
      </c>
      <c r="C10" s="48" t="s">
        <v>83</v>
      </c>
      <c r="D10" s="48" t="s">
        <v>83</v>
      </c>
      <c r="E10" s="48" t="s">
        <v>83</v>
      </c>
      <c r="F10" s="48" t="s">
        <v>83</v>
      </c>
      <c r="G10" s="48" t="s">
        <v>83</v>
      </c>
      <c r="H10" s="48" t="s">
        <v>83</v>
      </c>
      <c r="I10" s="48" t="s">
        <v>83</v>
      </c>
      <c r="J10" s="48" t="s">
        <v>83</v>
      </c>
      <c r="K10" s="48" t="s">
        <v>83</v>
      </c>
      <c r="L10" s="48" t="s">
        <v>83</v>
      </c>
      <c r="M10" s="48" t="s">
        <v>83</v>
      </c>
      <c r="N10" s="48" t="s">
        <v>83</v>
      </c>
      <c r="O10" s="48" t="s">
        <v>83</v>
      </c>
      <c r="P10" s="48" t="s">
        <v>83</v>
      </c>
      <c r="Q10" s="48" t="s">
        <v>83</v>
      </c>
      <c r="R10" s="48" t="s">
        <v>83</v>
      </c>
      <c r="S10" s="48" t="s">
        <v>83</v>
      </c>
      <c r="T10" s="48" t="s">
        <v>83</v>
      </c>
      <c r="U10" s="48" t="s">
        <v>83</v>
      </c>
      <c r="V10" s="48" t="s">
        <v>83</v>
      </c>
      <c r="W10" s="48" t="s">
        <v>83</v>
      </c>
      <c r="X10" s="48" t="s">
        <v>83</v>
      </c>
      <c r="Y10" s="48" t="s">
        <v>83</v>
      </c>
      <c r="Z10" s="48" t="s">
        <v>83</v>
      </c>
      <c r="AA10" s="48" t="s">
        <v>83</v>
      </c>
      <c r="AB10" s="48" t="s">
        <v>83</v>
      </c>
      <c r="AC10" s="48" t="s">
        <v>83</v>
      </c>
      <c r="AD10" s="48" t="s">
        <v>83</v>
      </c>
      <c r="AE10" s="48" t="s">
        <v>83</v>
      </c>
      <c r="AF10" s="48" t="s">
        <v>83</v>
      </c>
      <c r="AG10" s="48" t="s">
        <v>83</v>
      </c>
      <c r="AH10" s="48" t="s">
        <v>83</v>
      </c>
      <c r="AI10" s="48" t="s">
        <v>83</v>
      </c>
      <c r="AJ10" s="48" t="s">
        <v>83</v>
      </c>
      <c r="AK10" s="48" t="s">
        <v>83</v>
      </c>
      <c r="AL10" s="48" t="s">
        <v>83</v>
      </c>
      <c r="AM10" s="48" t="s">
        <v>83</v>
      </c>
      <c r="AN10" s="48" t="s">
        <v>83</v>
      </c>
      <c r="AO10" s="48" t="s">
        <v>83</v>
      </c>
      <c r="AP10" s="48" t="s">
        <v>83</v>
      </c>
      <c r="AQ10" s="48" t="s">
        <v>83</v>
      </c>
      <c r="AR10" s="48" t="s">
        <v>83</v>
      </c>
      <c r="AS10" s="48" t="s">
        <v>83</v>
      </c>
      <c r="AT10" s="48" t="s">
        <v>83</v>
      </c>
      <c r="AU10" s="48" t="s">
        <v>83</v>
      </c>
      <c r="AV10" s="48" t="s">
        <v>83</v>
      </c>
      <c r="AW10" s="48" t="s">
        <v>83</v>
      </c>
      <c r="AX10" s="48" t="s">
        <v>83</v>
      </c>
      <c r="AY10" s="48" t="s">
        <v>83</v>
      </c>
    </row>
    <row r="11" spans="1:53" ht="15" thickBot="1" x14ac:dyDescent="0.35">
      <c r="E11" s="56"/>
      <c r="F11" s="56"/>
    </row>
    <row r="12" spans="1:53" s="373" customFormat="1" ht="15" thickBot="1" x14ac:dyDescent="0.35">
      <c r="A12" s="363" t="s">
        <v>18</v>
      </c>
      <c r="B12" s="364" t="s">
        <v>168</v>
      </c>
      <c r="C12" s="365" t="s">
        <v>159</v>
      </c>
      <c r="D12" s="366" t="s">
        <v>59</v>
      </c>
      <c r="E12" s="367">
        <v>2.9999999999999999E-7</v>
      </c>
      <c r="F12" s="364">
        <v>6800</v>
      </c>
      <c r="G12" s="363">
        <v>0.2</v>
      </c>
      <c r="H12" s="368">
        <f t="shared" ref="H12:H17" si="10">E12*F12*G12</f>
        <v>4.0799999999999994E-4</v>
      </c>
      <c r="I12" s="397">
        <v>23.29</v>
      </c>
      <c r="J12" s="398">
        <f>I12</f>
        <v>23.29</v>
      </c>
      <c r="K12" s="371" t="s">
        <v>175</v>
      </c>
      <c r="L12" s="372">
        <v>420</v>
      </c>
      <c r="M12" s="373" t="str">
        <f t="shared" ref="M12:N17" si="11">A12</f>
        <v>С1</v>
      </c>
      <c r="N12" s="373" t="str">
        <f t="shared" si="11"/>
        <v>Трубопровод ЛВЖ+токси</v>
      </c>
      <c r="O12" s="373" t="str">
        <f t="shared" ref="O12:O17" si="12">D12</f>
        <v>Полное-пожар</v>
      </c>
      <c r="P12" s="373">
        <v>18</v>
      </c>
      <c r="Q12" s="373">
        <v>24.9</v>
      </c>
      <c r="R12" s="373">
        <v>35.4</v>
      </c>
      <c r="S12" s="373">
        <v>65.900000000000006</v>
      </c>
      <c r="T12" s="373" t="s">
        <v>83</v>
      </c>
      <c r="U12" s="373" t="s">
        <v>83</v>
      </c>
      <c r="V12" s="373" t="s">
        <v>83</v>
      </c>
      <c r="W12" s="373" t="s">
        <v>83</v>
      </c>
      <c r="X12" s="373" t="s">
        <v>83</v>
      </c>
      <c r="Y12" s="373" t="s">
        <v>83</v>
      </c>
      <c r="Z12" s="373" t="s">
        <v>83</v>
      </c>
      <c r="AA12" s="373" t="s">
        <v>83</v>
      </c>
      <c r="AB12" s="373" t="s">
        <v>83</v>
      </c>
      <c r="AC12" s="373" t="s">
        <v>83</v>
      </c>
      <c r="AD12" s="373" t="s">
        <v>83</v>
      </c>
      <c r="AE12" s="373" t="s">
        <v>83</v>
      </c>
      <c r="AF12" s="373" t="s">
        <v>83</v>
      </c>
      <c r="AG12" s="373" t="s">
        <v>83</v>
      </c>
      <c r="AH12" s="373" t="s">
        <v>83</v>
      </c>
      <c r="AI12" s="373" t="s">
        <v>83</v>
      </c>
      <c r="AJ12" s="374">
        <v>1</v>
      </c>
      <c r="AK12" s="374">
        <v>2</v>
      </c>
      <c r="AL12" s="375">
        <v>0.75</v>
      </c>
      <c r="AM12" s="375">
        <v>2.7E-2</v>
      </c>
      <c r="AN12" s="375">
        <v>3</v>
      </c>
      <c r="AQ12" s="376">
        <f>AM12*I12+AL12</f>
        <v>1.37883</v>
      </c>
      <c r="AR12" s="376">
        <f t="shared" ref="AR12:AR17" si="13">0.1*AQ12</f>
        <v>0.13788300000000001</v>
      </c>
      <c r="AS12" s="377">
        <f t="shared" ref="AS12:AS17" si="14">AJ12*3+0.25*AK12</f>
        <v>3.5</v>
      </c>
      <c r="AT12" s="377">
        <f t="shared" ref="AT12:AT17" si="15">SUM(AQ12:AS12)/4</f>
        <v>1.25417825</v>
      </c>
      <c r="AU12" s="376">
        <f>10068.2*J12*POWER(10,-6)</f>
        <v>0.234488378</v>
      </c>
      <c r="AV12" s="377">
        <f t="shared" ref="AV12:AV17" si="16">AU12+AT12+AS12+AR12+AQ12</f>
        <v>6.505379628</v>
      </c>
      <c r="AW12" s="378">
        <f t="shared" ref="AW12:AW17" si="17">AJ12*H12</f>
        <v>4.0799999999999994E-4</v>
      </c>
      <c r="AX12" s="378">
        <f t="shared" ref="AX12:AX17" si="18">H12*AK12</f>
        <v>8.1599999999999989E-4</v>
      </c>
      <c r="AY12" s="378">
        <f t="shared" ref="AY12:AY17" si="19">H12*AV12</f>
        <v>2.6541948882239995E-3</v>
      </c>
    </row>
    <row r="13" spans="1:53" s="373" customFormat="1" ht="15" thickBot="1" x14ac:dyDescent="0.35">
      <c r="A13" s="363" t="s">
        <v>19</v>
      </c>
      <c r="B13" s="363" t="str">
        <f>B12</f>
        <v>Трубопровод ЛВЖ+токси</v>
      </c>
      <c r="C13" s="365" t="s">
        <v>160</v>
      </c>
      <c r="D13" s="366" t="s">
        <v>62</v>
      </c>
      <c r="E13" s="379">
        <f>E12</f>
        <v>2.9999999999999999E-7</v>
      </c>
      <c r="F13" s="380">
        <f>F12</f>
        <v>6800</v>
      </c>
      <c r="G13" s="363">
        <v>0.04</v>
      </c>
      <c r="H13" s="368">
        <f t="shared" si="10"/>
        <v>8.1599999999999991E-5</v>
      </c>
      <c r="I13" s="398">
        <f>I12</f>
        <v>23.29</v>
      </c>
      <c r="J13" s="397">
        <v>0.36</v>
      </c>
      <c r="K13" s="371" t="s">
        <v>176</v>
      </c>
      <c r="L13" s="372">
        <v>0</v>
      </c>
      <c r="M13" s="373" t="str">
        <f t="shared" si="11"/>
        <v>С2</v>
      </c>
      <c r="N13" s="373" t="str">
        <f t="shared" si="11"/>
        <v>Трубопровод ЛВЖ+токси</v>
      </c>
      <c r="O13" s="373" t="str">
        <f t="shared" si="12"/>
        <v>Полное-взрыв</v>
      </c>
      <c r="P13" s="373" t="s">
        <v>83</v>
      </c>
      <c r="Q13" s="373" t="s">
        <v>83</v>
      </c>
      <c r="R13" s="373" t="s">
        <v>83</v>
      </c>
      <c r="S13" s="373" t="s">
        <v>83</v>
      </c>
      <c r="T13" s="373">
        <v>0</v>
      </c>
      <c r="U13" s="373">
        <v>0</v>
      </c>
      <c r="V13" s="373">
        <v>54.1</v>
      </c>
      <c r="W13" s="373">
        <v>180.1</v>
      </c>
      <c r="X13" s="373">
        <v>468.1</v>
      </c>
      <c r="Y13" s="373" t="s">
        <v>83</v>
      </c>
      <c r="Z13" s="373" t="s">
        <v>83</v>
      </c>
      <c r="AA13" s="373" t="s">
        <v>83</v>
      </c>
      <c r="AB13" s="373" t="s">
        <v>83</v>
      </c>
      <c r="AC13" s="373" t="s">
        <v>83</v>
      </c>
      <c r="AD13" s="373" t="s">
        <v>83</v>
      </c>
      <c r="AE13" s="373" t="s">
        <v>83</v>
      </c>
      <c r="AF13" s="373" t="s">
        <v>83</v>
      </c>
      <c r="AG13" s="373" t="s">
        <v>83</v>
      </c>
      <c r="AH13" s="373" t="s">
        <v>83</v>
      </c>
      <c r="AI13" s="373" t="s">
        <v>83</v>
      </c>
      <c r="AJ13" s="374">
        <v>2</v>
      </c>
      <c r="AK13" s="374">
        <v>1</v>
      </c>
      <c r="AL13" s="373">
        <f>AL12</f>
        <v>0.75</v>
      </c>
      <c r="AM13" s="373">
        <f>AM12</f>
        <v>2.7E-2</v>
      </c>
      <c r="AN13" s="373">
        <f>AN12</f>
        <v>3</v>
      </c>
      <c r="AQ13" s="376">
        <f>AM13*I13+AL13</f>
        <v>1.37883</v>
      </c>
      <c r="AR13" s="376">
        <f t="shared" si="13"/>
        <v>0.13788300000000001</v>
      </c>
      <c r="AS13" s="377">
        <f t="shared" si="14"/>
        <v>6.25</v>
      </c>
      <c r="AT13" s="377">
        <f t="shared" si="15"/>
        <v>1.94167825</v>
      </c>
      <c r="AU13" s="376">
        <f>10068.2*J13*POWER(10,-6)*10</f>
        <v>3.6245520000000003E-2</v>
      </c>
      <c r="AV13" s="377">
        <f t="shared" si="16"/>
        <v>9.7446367700000014</v>
      </c>
      <c r="AW13" s="378">
        <f t="shared" si="17"/>
        <v>1.6319999999999998E-4</v>
      </c>
      <c r="AX13" s="378">
        <f t="shared" si="18"/>
        <v>8.1599999999999991E-5</v>
      </c>
      <c r="AY13" s="378">
        <f t="shared" si="19"/>
        <v>7.9516236043199998E-4</v>
      </c>
    </row>
    <row r="14" spans="1:53" s="373" customFormat="1" x14ac:dyDescent="0.3">
      <c r="A14" s="363" t="s">
        <v>20</v>
      </c>
      <c r="B14" s="363" t="str">
        <f>B12</f>
        <v>Трубопровод ЛВЖ+токси</v>
      </c>
      <c r="C14" s="365" t="s">
        <v>169</v>
      </c>
      <c r="D14" s="366" t="s">
        <v>171</v>
      </c>
      <c r="E14" s="379">
        <f>E12</f>
        <v>2.9999999999999999E-7</v>
      </c>
      <c r="F14" s="380">
        <f>F12</f>
        <v>6800</v>
      </c>
      <c r="G14" s="363">
        <v>0.76</v>
      </c>
      <c r="H14" s="368">
        <f t="shared" si="10"/>
        <v>1.5503999999999997E-3</v>
      </c>
      <c r="I14" s="398">
        <f>I12</f>
        <v>23.29</v>
      </c>
      <c r="J14" s="399">
        <f>J13</f>
        <v>0.36</v>
      </c>
      <c r="K14" s="371" t="s">
        <v>177</v>
      </c>
      <c r="L14" s="372">
        <v>0</v>
      </c>
      <c r="M14" s="373" t="str">
        <f t="shared" si="11"/>
        <v>С3</v>
      </c>
      <c r="N14" s="373" t="str">
        <f t="shared" si="11"/>
        <v>Трубопровод ЛВЖ+токси</v>
      </c>
      <c r="O14" s="373" t="str">
        <f t="shared" si="12"/>
        <v>Полное-токси</v>
      </c>
      <c r="P14" s="373" t="s">
        <v>83</v>
      </c>
      <c r="Q14" s="373" t="s">
        <v>83</v>
      </c>
      <c r="R14" s="373" t="s">
        <v>83</v>
      </c>
      <c r="S14" s="373" t="s">
        <v>83</v>
      </c>
      <c r="T14" s="373" t="s">
        <v>83</v>
      </c>
      <c r="U14" s="373" t="s">
        <v>83</v>
      </c>
      <c r="V14" s="373" t="s">
        <v>83</v>
      </c>
      <c r="W14" s="373" t="s">
        <v>83</v>
      </c>
      <c r="X14" s="373" t="s">
        <v>83</v>
      </c>
      <c r="Y14" s="373" t="s">
        <v>83</v>
      </c>
      <c r="Z14" s="373" t="s">
        <v>83</v>
      </c>
      <c r="AA14" s="373" t="s">
        <v>83</v>
      </c>
      <c r="AB14" s="373" t="s">
        <v>83</v>
      </c>
      <c r="AC14" s="373">
        <v>131.4</v>
      </c>
      <c r="AD14" s="373">
        <v>248</v>
      </c>
      <c r="AE14" s="373" t="s">
        <v>83</v>
      </c>
      <c r="AF14" s="373" t="s">
        <v>83</v>
      </c>
      <c r="AG14" s="373" t="s">
        <v>83</v>
      </c>
      <c r="AH14" s="373" t="s">
        <v>83</v>
      </c>
      <c r="AI14" s="373" t="s">
        <v>83</v>
      </c>
      <c r="AJ14" s="373">
        <v>0</v>
      </c>
      <c r="AK14" s="373">
        <v>1</v>
      </c>
      <c r="AL14" s="373">
        <f>AL12</f>
        <v>0.75</v>
      </c>
      <c r="AM14" s="373">
        <f>AM12</f>
        <v>2.7E-2</v>
      </c>
      <c r="AN14" s="373">
        <f>AN12</f>
        <v>3</v>
      </c>
      <c r="AQ14" s="376">
        <f>AM14*I14*0.1+AL14</f>
        <v>0.81288300000000002</v>
      </c>
      <c r="AR14" s="376">
        <f t="shared" si="13"/>
        <v>8.1288300000000008E-2</v>
      </c>
      <c r="AS14" s="377">
        <f t="shared" si="14"/>
        <v>0.25</v>
      </c>
      <c r="AT14" s="377">
        <f t="shared" si="15"/>
        <v>0.286042825</v>
      </c>
      <c r="AU14" s="376">
        <f>1333*J13*POWER(10,-6)</f>
        <v>4.7987999999999997E-4</v>
      </c>
      <c r="AV14" s="377">
        <f t="shared" si="16"/>
        <v>1.4306940049999999</v>
      </c>
      <c r="AW14" s="378">
        <f t="shared" si="17"/>
        <v>0</v>
      </c>
      <c r="AX14" s="378">
        <f t="shared" si="18"/>
        <v>1.5503999999999997E-3</v>
      </c>
      <c r="AY14" s="378">
        <f t="shared" si="19"/>
        <v>2.2181479853519994E-3</v>
      </c>
    </row>
    <row r="15" spans="1:53" s="373" customFormat="1" x14ac:dyDescent="0.3">
      <c r="A15" s="363" t="s">
        <v>21</v>
      </c>
      <c r="B15" s="363" t="str">
        <f>B12</f>
        <v>Трубопровод ЛВЖ+токси</v>
      </c>
      <c r="C15" s="365" t="s">
        <v>162</v>
      </c>
      <c r="D15" s="366" t="s">
        <v>84</v>
      </c>
      <c r="E15" s="367">
        <v>1.9999999999999999E-6</v>
      </c>
      <c r="F15" s="380">
        <f>F12</f>
        <v>6800</v>
      </c>
      <c r="G15" s="363">
        <v>0.2</v>
      </c>
      <c r="H15" s="368">
        <f t="shared" si="10"/>
        <v>2.7200000000000002E-3</v>
      </c>
      <c r="I15" s="398">
        <f>0.15*I12</f>
        <v>3.4934999999999996</v>
      </c>
      <c r="J15" s="398">
        <f>I15</f>
        <v>3.4934999999999996</v>
      </c>
      <c r="K15" s="383" t="s">
        <v>179</v>
      </c>
      <c r="L15" s="384">
        <v>45390</v>
      </c>
      <c r="M15" s="373" t="str">
        <f t="shared" si="11"/>
        <v>С4</v>
      </c>
      <c r="N15" s="373" t="str">
        <f t="shared" si="11"/>
        <v>Трубопровод ЛВЖ+токси</v>
      </c>
      <c r="O15" s="373" t="str">
        <f t="shared" si="12"/>
        <v>Частичное-пожар</v>
      </c>
      <c r="P15" s="373">
        <v>12.4</v>
      </c>
      <c r="Q15" s="373">
        <v>16.3</v>
      </c>
      <c r="R15" s="373">
        <v>22.1</v>
      </c>
      <c r="S15" s="373">
        <v>39.700000000000003</v>
      </c>
      <c r="T15" s="373" t="s">
        <v>83</v>
      </c>
      <c r="U15" s="373" t="s">
        <v>83</v>
      </c>
      <c r="V15" s="373" t="s">
        <v>83</v>
      </c>
      <c r="W15" s="373" t="s">
        <v>83</v>
      </c>
      <c r="X15" s="373" t="s">
        <v>83</v>
      </c>
      <c r="Y15" s="373" t="s">
        <v>83</v>
      </c>
      <c r="Z15" s="373" t="s">
        <v>83</v>
      </c>
      <c r="AA15" s="373" t="s">
        <v>83</v>
      </c>
      <c r="AB15" s="373" t="s">
        <v>83</v>
      </c>
      <c r="AC15" s="373" t="s">
        <v>83</v>
      </c>
      <c r="AD15" s="373" t="s">
        <v>83</v>
      </c>
      <c r="AE15" s="373" t="s">
        <v>83</v>
      </c>
      <c r="AF15" s="373" t="s">
        <v>83</v>
      </c>
      <c r="AG15" s="373" t="s">
        <v>83</v>
      </c>
      <c r="AH15" s="373" t="s">
        <v>83</v>
      </c>
      <c r="AI15" s="373" t="s">
        <v>83</v>
      </c>
      <c r="AJ15" s="373">
        <v>0</v>
      </c>
      <c r="AK15" s="373">
        <v>1</v>
      </c>
      <c r="AL15" s="373">
        <f>0.1*AL12</f>
        <v>7.5000000000000011E-2</v>
      </c>
      <c r="AM15" s="373">
        <f>AM12</f>
        <v>2.7E-2</v>
      </c>
      <c r="AN15" s="373">
        <f>ROUNDUP(AN12/3,0)</f>
        <v>1</v>
      </c>
      <c r="AQ15" s="376">
        <f>AM15*I15+AL15</f>
        <v>0.16932449999999999</v>
      </c>
      <c r="AR15" s="376">
        <f t="shared" si="13"/>
        <v>1.6932449999999998E-2</v>
      </c>
      <c r="AS15" s="377">
        <f t="shared" si="14"/>
        <v>0.25</v>
      </c>
      <c r="AT15" s="377">
        <f t="shared" si="15"/>
        <v>0.10906423749999999</v>
      </c>
      <c r="AU15" s="376">
        <f>10068.2*J15*POWER(10,-6)</f>
        <v>3.5173256699999995E-2</v>
      </c>
      <c r="AV15" s="377">
        <f t="shared" si="16"/>
        <v>0.58049444419999996</v>
      </c>
      <c r="AW15" s="378">
        <f t="shared" si="17"/>
        <v>0</v>
      </c>
      <c r="AX15" s="378">
        <f t="shared" si="18"/>
        <v>2.7200000000000002E-3</v>
      </c>
      <c r="AY15" s="378">
        <f t="shared" si="19"/>
        <v>1.5789448882240001E-3</v>
      </c>
    </row>
    <row r="16" spans="1:53" s="373" customFormat="1" x14ac:dyDescent="0.3">
      <c r="A16" s="363" t="s">
        <v>22</v>
      </c>
      <c r="B16" s="363" t="str">
        <f>B12</f>
        <v>Трубопровод ЛВЖ+токси</v>
      </c>
      <c r="C16" s="365" t="s">
        <v>163</v>
      </c>
      <c r="D16" s="366" t="s">
        <v>165</v>
      </c>
      <c r="E16" s="379">
        <f>E15</f>
        <v>1.9999999999999999E-6</v>
      </c>
      <c r="F16" s="380">
        <f>F12</f>
        <v>6800</v>
      </c>
      <c r="G16" s="363">
        <v>0.04</v>
      </c>
      <c r="H16" s="368">
        <f t="shared" si="10"/>
        <v>5.44E-4</v>
      </c>
      <c r="I16" s="398">
        <f>0.15*I12</f>
        <v>3.4934999999999996</v>
      </c>
      <c r="J16" s="398">
        <f>0.15*J13</f>
        <v>5.3999999999999999E-2</v>
      </c>
      <c r="K16" s="383" t="s">
        <v>180</v>
      </c>
      <c r="L16" s="384">
        <v>3</v>
      </c>
      <c r="M16" s="373" t="str">
        <f t="shared" si="11"/>
        <v>С5</v>
      </c>
      <c r="N16" s="373" t="str">
        <f t="shared" si="11"/>
        <v>Трубопровод ЛВЖ+токси</v>
      </c>
      <c r="O16" s="373" t="str">
        <f t="shared" si="12"/>
        <v>Частичное-пожар-вспышка</v>
      </c>
      <c r="P16" s="373" t="s">
        <v>83</v>
      </c>
      <c r="Q16" s="373" t="s">
        <v>83</v>
      </c>
      <c r="R16" s="373" t="s">
        <v>83</v>
      </c>
      <c r="S16" s="373" t="s">
        <v>83</v>
      </c>
      <c r="T16" s="373" t="s">
        <v>83</v>
      </c>
      <c r="U16" s="373" t="s">
        <v>83</v>
      </c>
      <c r="V16" s="373" t="s">
        <v>83</v>
      </c>
      <c r="W16" s="373" t="s">
        <v>83</v>
      </c>
      <c r="X16" s="373" t="s">
        <v>83</v>
      </c>
      <c r="Y16" s="373" t="s">
        <v>83</v>
      </c>
      <c r="Z16" s="373" t="s">
        <v>83</v>
      </c>
      <c r="AA16" s="373">
        <v>12.79</v>
      </c>
      <c r="AB16" s="373">
        <v>15.35</v>
      </c>
      <c r="AC16" s="373" t="s">
        <v>83</v>
      </c>
      <c r="AD16" s="373" t="s">
        <v>83</v>
      </c>
      <c r="AE16" s="373" t="s">
        <v>83</v>
      </c>
      <c r="AF16" s="373" t="s">
        <v>83</v>
      </c>
      <c r="AG16" s="373" t="s">
        <v>83</v>
      </c>
      <c r="AH16" s="373" t="s">
        <v>83</v>
      </c>
      <c r="AI16" s="373" t="s">
        <v>83</v>
      </c>
      <c r="AJ16" s="373">
        <v>0</v>
      </c>
      <c r="AK16" s="373">
        <v>1</v>
      </c>
      <c r="AL16" s="373">
        <f>0.1*AL13</f>
        <v>7.5000000000000011E-2</v>
      </c>
      <c r="AM16" s="373">
        <f>AM12</f>
        <v>2.7E-2</v>
      </c>
      <c r="AN16" s="373">
        <f>ROUNDUP(AN12/3,0)</f>
        <v>1</v>
      </c>
      <c r="AQ16" s="376">
        <f>AM16*I16+AL16</f>
        <v>0.16932449999999999</v>
      </c>
      <c r="AR16" s="376">
        <f t="shared" si="13"/>
        <v>1.6932449999999998E-2</v>
      </c>
      <c r="AS16" s="377">
        <f t="shared" si="14"/>
        <v>0.25</v>
      </c>
      <c r="AT16" s="377">
        <f t="shared" si="15"/>
        <v>0.10906423749999999</v>
      </c>
      <c r="AU16" s="376">
        <f>10068.2*J16*POWER(10,-6)*10</f>
        <v>5.4368280000000003E-3</v>
      </c>
      <c r="AV16" s="377">
        <f t="shared" si="16"/>
        <v>0.55075801550000003</v>
      </c>
      <c r="AW16" s="378">
        <f t="shared" si="17"/>
        <v>0</v>
      </c>
      <c r="AX16" s="378">
        <f t="shared" si="18"/>
        <v>5.44E-4</v>
      </c>
      <c r="AY16" s="378">
        <f t="shared" si="19"/>
        <v>2.9961236043199999E-4</v>
      </c>
    </row>
    <row r="17" spans="1:51" s="373" customFormat="1" ht="15" thickBot="1" x14ac:dyDescent="0.35">
      <c r="A17" s="363" t="s">
        <v>23</v>
      </c>
      <c r="B17" s="363" t="str">
        <f>B12</f>
        <v>Трубопровод ЛВЖ+токси</v>
      </c>
      <c r="C17" s="365" t="s">
        <v>170</v>
      </c>
      <c r="D17" s="366" t="s">
        <v>172</v>
      </c>
      <c r="E17" s="379">
        <f>E15</f>
        <v>1.9999999999999999E-6</v>
      </c>
      <c r="F17" s="380">
        <f>F12</f>
        <v>6800</v>
      </c>
      <c r="G17" s="363">
        <v>0.76</v>
      </c>
      <c r="H17" s="368">
        <f t="shared" si="10"/>
        <v>1.0336E-2</v>
      </c>
      <c r="I17" s="398">
        <f>0.15*I12</f>
        <v>3.4934999999999996</v>
      </c>
      <c r="J17" s="399">
        <f>J16</f>
        <v>5.3999999999999999E-2</v>
      </c>
      <c r="K17" s="387" t="s">
        <v>191</v>
      </c>
      <c r="L17" s="400">
        <v>2</v>
      </c>
      <c r="M17" s="373" t="str">
        <f t="shared" si="11"/>
        <v>С6</v>
      </c>
      <c r="N17" s="373" t="str">
        <f t="shared" si="11"/>
        <v>Трубопровод ЛВЖ+токси</v>
      </c>
      <c r="O17" s="373" t="str">
        <f t="shared" si="12"/>
        <v>Частичное-токси</v>
      </c>
      <c r="P17" s="373" t="s">
        <v>83</v>
      </c>
      <c r="Q17" s="373" t="s">
        <v>83</v>
      </c>
      <c r="R17" s="373" t="s">
        <v>83</v>
      </c>
      <c r="S17" s="373" t="s">
        <v>83</v>
      </c>
      <c r="T17" s="373" t="s">
        <v>83</v>
      </c>
      <c r="U17" s="373" t="s">
        <v>83</v>
      </c>
      <c r="V17" s="373" t="s">
        <v>83</v>
      </c>
      <c r="W17" s="373" t="s">
        <v>83</v>
      </c>
      <c r="X17" s="373" t="s">
        <v>83</v>
      </c>
      <c r="Y17" s="373" t="s">
        <v>83</v>
      </c>
      <c r="Z17" s="373" t="s">
        <v>83</v>
      </c>
      <c r="AA17" s="373" t="s">
        <v>83</v>
      </c>
      <c r="AB17" s="373" t="s">
        <v>83</v>
      </c>
      <c r="AC17" s="373">
        <v>19.7</v>
      </c>
      <c r="AD17" s="373">
        <v>37.200000000000003</v>
      </c>
      <c r="AE17" s="373" t="s">
        <v>83</v>
      </c>
      <c r="AF17" s="373" t="s">
        <v>83</v>
      </c>
      <c r="AG17" s="373" t="s">
        <v>83</v>
      </c>
      <c r="AH17" s="373" t="s">
        <v>83</v>
      </c>
      <c r="AI17" s="373" t="s">
        <v>83</v>
      </c>
      <c r="AJ17" s="373">
        <v>0</v>
      </c>
      <c r="AK17" s="373">
        <v>1</v>
      </c>
      <c r="AL17" s="373">
        <f>0.1*AL14</f>
        <v>7.5000000000000011E-2</v>
      </c>
      <c r="AM17" s="373">
        <f>AM12</f>
        <v>2.7E-2</v>
      </c>
      <c r="AN17" s="373">
        <f>ROUNDUP(AN12/3,0)</f>
        <v>1</v>
      </c>
      <c r="AQ17" s="376">
        <f>AM17*I17*0.1+AL17</f>
        <v>8.4432450000000006E-2</v>
      </c>
      <c r="AR17" s="376">
        <f t="shared" si="13"/>
        <v>8.4432450000000003E-3</v>
      </c>
      <c r="AS17" s="377">
        <f t="shared" si="14"/>
        <v>0.25</v>
      </c>
      <c r="AT17" s="377">
        <f t="shared" si="15"/>
        <v>8.5718923750000009E-2</v>
      </c>
      <c r="AU17" s="376">
        <f>1333*J16*POWER(10,-6)</f>
        <v>7.1981999999999989E-5</v>
      </c>
      <c r="AV17" s="377">
        <f t="shared" si="16"/>
        <v>0.42866660075000002</v>
      </c>
      <c r="AW17" s="378">
        <f t="shared" si="17"/>
        <v>0</v>
      </c>
      <c r="AX17" s="378">
        <f t="shared" si="18"/>
        <v>1.0336E-2</v>
      </c>
      <c r="AY17" s="378">
        <f t="shared" si="19"/>
        <v>4.4306979853520004E-3</v>
      </c>
    </row>
    <row r="18" spans="1:51" s="365" customFormat="1" x14ac:dyDescent="0.3">
      <c r="A18" s="363" t="s">
        <v>83</v>
      </c>
      <c r="B18" s="363" t="s">
        <v>83</v>
      </c>
      <c r="C18" s="363" t="s">
        <v>83</v>
      </c>
      <c r="D18" s="363" t="s">
        <v>83</v>
      </c>
      <c r="E18" s="363" t="s">
        <v>83</v>
      </c>
      <c r="F18" s="363" t="s">
        <v>83</v>
      </c>
      <c r="G18" s="363" t="s">
        <v>83</v>
      </c>
      <c r="H18" s="363" t="s">
        <v>83</v>
      </c>
      <c r="I18" s="363" t="s">
        <v>83</v>
      </c>
      <c r="J18" s="363" t="s">
        <v>83</v>
      </c>
      <c r="K18" s="363" t="s">
        <v>83</v>
      </c>
      <c r="L18" s="363" t="s">
        <v>83</v>
      </c>
      <c r="M18" s="363" t="s">
        <v>83</v>
      </c>
      <c r="N18" s="363" t="s">
        <v>83</v>
      </c>
      <c r="O18" s="363" t="s">
        <v>83</v>
      </c>
      <c r="P18" s="363" t="s">
        <v>83</v>
      </c>
      <c r="Q18" s="363" t="s">
        <v>83</v>
      </c>
      <c r="R18" s="363" t="s">
        <v>83</v>
      </c>
      <c r="S18" s="363" t="s">
        <v>83</v>
      </c>
      <c r="T18" s="363" t="s">
        <v>83</v>
      </c>
      <c r="U18" s="363" t="s">
        <v>83</v>
      </c>
      <c r="V18" s="363" t="s">
        <v>83</v>
      </c>
      <c r="W18" s="363" t="s">
        <v>83</v>
      </c>
      <c r="X18" s="363" t="s">
        <v>83</v>
      </c>
      <c r="Y18" s="363" t="s">
        <v>83</v>
      </c>
      <c r="Z18" s="363" t="s">
        <v>83</v>
      </c>
      <c r="AA18" s="363" t="s">
        <v>83</v>
      </c>
      <c r="AB18" s="363" t="s">
        <v>83</v>
      </c>
      <c r="AC18" s="363" t="s">
        <v>83</v>
      </c>
      <c r="AD18" s="363" t="s">
        <v>83</v>
      </c>
      <c r="AE18" s="363" t="s">
        <v>83</v>
      </c>
      <c r="AF18" s="363" t="s">
        <v>83</v>
      </c>
      <c r="AG18" s="363" t="s">
        <v>83</v>
      </c>
      <c r="AH18" s="363" t="s">
        <v>83</v>
      </c>
      <c r="AI18" s="363" t="s">
        <v>83</v>
      </c>
      <c r="AJ18" s="363" t="s">
        <v>83</v>
      </c>
      <c r="AK18" s="363" t="s">
        <v>83</v>
      </c>
      <c r="AL18" s="363" t="s">
        <v>83</v>
      </c>
      <c r="AM18" s="363" t="s">
        <v>83</v>
      </c>
      <c r="AN18" s="363" t="s">
        <v>83</v>
      </c>
      <c r="AO18" s="363" t="s">
        <v>83</v>
      </c>
      <c r="AP18" s="363" t="s">
        <v>83</v>
      </c>
      <c r="AQ18" s="363" t="s">
        <v>83</v>
      </c>
      <c r="AR18" s="363" t="s">
        <v>83</v>
      </c>
      <c r="AS18" s="363" t="s">
        <v>83</v>
      </c>
      <c r="AT18" s="363" t="s">
        <v>83</v>
      </c>
      <c r="AU18" s="363" t="s">
        <v>83</v>
      </c>
      <c r="AV18" s="363" t="s">
        <v>83</v>
      </c>
      <c r="AW18" s="363" t="s">
        <v>83</v>
      </c>
      <c r="AX18" s="363" t="s">
        <v>83</v>
      </c>
      <c r="AY18" s="363" t="s">
        <v>83</v>
      </c>
    </row>
    <row r="19" spans="1:51" s="365" customFormat="1" x14ac:dyDescent="0.3">
      <c r="A19" s="363" t="s">
        <v>83</v>
      </c>
      <c r="B19" s="363" t="s">
        <v>83</v>
      </c>
      <c r="C19" s="363" t="s">
        <v>83</v>
      </c>
      <c r="D19" s="363" t="s">
        <v>83</v>
      </c>
      <c r="E19" s="363" t="s">
        <v>83</v>
      </c>
      <c r="F19" s="363" t="s">
        <v>83</v>
      </c>
      <c r="G19" s="363" t="s">
        <v>83</v>
      </c>
      <c r="H19" s="363" t="s">
        <v>83</v>
      </c>
      <c r="I19" s="398" t="s">
        <v>83</v>
      </c>
      <c r="J19" s="398" t="s">
        <v>83</v>
      </c>
      <c r="K19" s="363" t="s">
        <v>83</v>
      </c>
      <c r="L19" s="363" t="s">
        <v>83</v>
      </c>
      <c r="M19" s="363" t="s">
        <v>83</v>
      </c>
      <c r="N19" s="363" t="s">
        <v>83</v>
      </c>
      <c r="O19" s="363" t="s">
        <v>83</v>
      </c>
      <c r="P19" s="363" t="s">
        <v>83</v>
      </c>
      <c r="Q19" s="363" t="s">
        <v>83</v>
      </c>
      <c r="R19" s="363" t="s">
        <v>83</v>
      </c>
      <c r="S19" s="363" t="s">
        <v>83</v>
      </c>
      <c r="T19" s="363" t="s">
        <v>83</v>
      </c>
      <c r="U19" s="363" t="s">
        <v>83</v>
      </c>
      <c r="V19" s="363" t="s">
        <v>83</v>
      </c>
      <c r="W19" s="363" t="s">
        <v>83</v>
      </c>
      <c r="X19" s="363" t="s">
        <v>83</v>
      </c>
      <c r="Y19" s="363" t="s">
        <v>83</v>
      </c>
      <c r="Z19" s="363" t="s">
        <v>83</v>
      </c>
      <c r="AA19" s="363" t="s">
        <v>83</v>
      </c>
      <c r="AB19" s="363" t="s">
        <v>83</v>
      </c>
      <c r="AC19" s="363" t="s">
        <v>83</v>
      </c>
      <c r="AD19" s="363" t="s">
        <v>83</v>
      </c>
      <c r="AE19" s="363" t="s">
        <v>83</v>
      </c>
      <c r="AF19" s="363" t="s">
        <v>83</v>
      </c>
      <c r="AG19" s="363" t="s">
        <v>83</v>
      </c>
      <c r="AH19" s="363" t="s">
        <v>83</v>
      </c>
      <c r="AI19" s="363" t="s">
        <v>83</v>
      </c>
      <c r="AJ19" s="363" t="s">
        <v>83</v>
      </c>
      <c r="AK19" s="363" t="s">
        <v>83</v>
      </c>
      <c r="AL19" s="363" t="s">
        <v>83</v>
      </c>
      <c r="AM19" s="363" t="s">
        <v>83</v>
      </c>
      <c r="AN19" s="363" t="s">
        <v>83</v>
      </c>
      <c r="AO19" s="363" t="s">
        <v>83</v>
      </c>
      <c r="AP19" s="363" t="s">
        <v>83</v>
      </c>
      <c r="AQ19" s="363" t="s">
        <v>83</v>
      </c>
      <c r="AR19" s="363" t="s">
        <v>83</v>
      </c>
      <c r="AS19" s="363" t="s">
        <v>83</v>
      </c>
      <c r="AT19" s="363" t="s">
        <v>83</v>
      </c>
      <c r="AU19" s="363" t="s">
        <v>83</v>
      </c>
      <c r="AV19" s="363" t="s">
        <v>83</v>
      </c>
      <c r="AW19" s="363" t="s">
        <v>83</v>
      </c>
      <c r="AX19" s="363" t="s">
        <v>83</v>
      </c>
      <c r="AY19" s="363" t="s">
        <v>83</v>
      </c>
    </row>
    <row r="20" spans="1:51" s="365" customFormat="1" x14ac:dyDescent="0.3">
      <c r="A20" s="363" t="s">
        <v>83</v>
      </c>
      <c r="B20" s="363" t="s">
        <v>83</v>
      </c>
      <c r="C20" s="363" t="s">
        <v>83</v>
      </c>
      <c r="D20" s="363" t="s">
        <v>83</v>
      </c>
      <c r="E20" s="363" t="s">
        <v>83</v>
      </c>
      <c r="F20" s="363" t="s">
        <v>83</v>
      </c>
      <c r="G20" s="363" t="s">
        <v>83</v>
      </c>
      <c r="H20" s="363" t="s">
        <v>83</v>
      </c>
      <c r="I20" s="398" t="s">
        <v>83</v>
      </c>
      <c r="J20" s="398" t="s">
        <v>83</v>
      </c>
      <c r="K20" s="363" t="s">
        <v>83</v>
      </c>
      <c r="L20" s="363" t="s">
        <v>83</v>
      </c>
      <c r="M20" s="363" t="s">
        <v>83</v>
      </c>
      <c r="N20" s="363" t="s">
        <v>83</v>
      </c>
      <c r="O20" s="363" t="s">
        <v>83</v>
      </c>
      <c r="P20" s="363" t="s">
        <v>83</v>
      </c>
      <c r="Q20" s="363" t="s">
        <v>83</v>
      </c>
      <c r="R20" s="363" t="s">
        <v>83</v>
      </c>
      <c r="S20" s="363" t="s">
        <v>83</v>
      </c>
      <c r="T20" s="363" t="s">
        <v>83</v>
      </c>
      <c r="U20" s="363" t="s">
        <v>83</v>
      </c>
      <c r="V20" s="363" t="s">
        <v>83</v>
      </c>
      <c r="W20" s="363" t="s">
        <v>83</v>
      </c>
      <c r="X20" s="363" t="s">
        <v>83</v>
      </c>
      <c r="Y20" s="363" t="s">
        <v>83</v>
      </c>
      <c r="Z20" s="363" t="s">
        <v>83</v>
      </c>
      <c r="AA20" s="363" t="s">
        <v>83</v>
      </c>
      <c r="AB20" s="363" t="s">
        <v>83</v>
      </c>
      <c r="AC20" s="363" t="s">
        <v>83</v>
      </c>
      <c r="AD20" s="363" t="s">
        <v>83</v>
      </c>
      <c r="AE20" s="363" t="s">
        <v>83</v>
      </c>
      <c r="AF20" s="363" t="s">
        <v>83</v>
      </c>
      <c r="AG20" s="363" t="s">
        <v>83</v>
      </c>
      <c r="AH20" s="363" t="s">
        <v>83</v>
      </c>
      <c r="AI20" s="363" t="s">
        <v>83</v>
      </c>
      <c r="AJ20" s="363" t="s">
        <v>83</v>
      </c>
      <c r="AK20" s="363" t="s">
        <v>83</v>
      </c>
      <c r="AL20" s="363" t="s">
        <v>83</v>
      </c>
      <c r="AM20" s="363" t="s">
        <v>83</v>
      </c>
      <c r="AN20" s="363" t="s">
        <v>83</v>
      </c>
      <c r="AO20" s="363" t="s">
        <v>83</v>
      </c>
      <c r="AP20" s="363" t="s">
        <v>83</v>
      </c>
      <c r="AQ20" s="363" t="s">
        <v>83</v>
      </c>
      <c r="AR20" s="363" t="s">
        <v>83</v>
      </c>
      <c r="AS20" s="363" t="s">
        <v>83</v>
      </c>
      <c r="AT20" s="363" t="s">
        <v>83</v>
      </c>
      <c r="AU20" s="363" t="s">
        <v>83</v>
      </c>
      <c r="AV20" s="363" t="s">
        <v>83</v>
      </c>
      <c r="AW20" s="363" t="s">
        <v>83</v>
      </c>
      <c r="AX20" s="363" t="s">
        <v>83</v>
      </c>
      <c r="AY20" s="363" t="s">
        <v>83</v>
      </c>
    </row>
    <row r="21" spans="1:51" ht="15" thickBot="1" x14ac:dyDescent="0.35"/>
    <row r="22" spans="1:51" ht="15" thickBot="1" x14ac:dyDescent="0.35">
      <c r="A22" s="48" t="s">
        <v>18</v>
      </c>
      <c r="B22" s="150" t="s">
        <v>173</v>
      </c>
      <c r="C22" s="166" t="s">
        <v>159</v>
      </c>
      <c r="D22" s="49" t="s">
        <v>59</v>
      </c>
      <c r="E22" s="153">
        <v>1.0000000000000001E-5</v>
      </c>
      <c r="F22" s="150">
        <v>1</v>
      </c>
      <c r="G22" s="48">
        <v>0.2</v>
      </c>
      <c r="H22" s="50">
        <f t="shared" ref="H22:H27" si="20">E22*F22*G22</f>
        <v>2.0000000000000003E-6</v>
      </c>
      <c r="I22" s="151">
        <v>8.75</v>
      </c>
      <c r="J22" s="149">
        <f>I22</f>
        <v>8.75</v>
      </c>
      <c r="K22" s="159" t="s">
        <v>175</v>
      </c>
      <c r="L22" s="164">
        <v>300</v>
      </c>
      <c r="M22" s="92" t="str">
        <f t="shared" ref="M22:M27" si="21">A22</f>
        <v>С1</v>
      </c>
      <c r="N22" s="92" t="str">
        <f t="shared" ref="N22:N27" si="22">B22</f>
        <v>Трубопровод ГЖ</v>
      </c>
      <c r="O22" s="92" t="str">
        <f t="shared" ref="O22:O27" si="23">D22</f>
        <v>Полное-пожар</v>
      </c>
      <c r="P22" s="92">
        <v>17.100000000000001</v>
      </c>
      <c r="Q22" s="92">
        <v>23.5</v>
      </c>
      <c r="R22" s="92">
        <v>33.1</v>
      </c>
      <c r="S22" s="92">
        <v>61.2</v>
      </c>
      <c r="T22" s="92" t="s">
        <v>83</v>
      </c>
      <c r="U22" s="92" t="s">
        <v>83</v>
      </c>
      <c r="V22" s="92" t="s">
        <v>83</v>
      </c>
      <c r="W22" s="92" t="s">
        <v>83</v>
      </c>
      <c r="X22" s="92" t="s">
        <v>83</v>
      </c>
      <c r="Y22" s="92" t="s">
        <v>83</v>
      </c>
      <c r="Z22" s="92" t="s">
        <v>83</v>
      </c>
      <c r="AA22" s="92" t="s">
        <v>83</v>
      </c>
      <c r="AB22" s="92" t="s">
        <v>83</v>
      </c>
      <c r="AC22" s="92" t="s">
        <v>83</v>
      </c>
      <c r="AD22" s="92" t="s">
        <v>83</v>
      </c>
      <c r="AE22" s="92" t="s">
        <v>83</v>
      </c>
      <c r="AF22" s="92" t="s">
        <v>83</v>
      </c>
      <c r="AG22" s="92" t="s">
        <v>83</v>
      </c>
      <c r="AH22" s="92" t="s">
        <v>83</v>
      </c>
      <c r="AI22" s="92" t="s">
        <v>83</v>
      </c>
      <c r="AJ22" s="52">
        <v>1</v>
      </c>
      <c r="AK22" s="52">
        <v>2</v>
      </c>
      <c r="AL22" s="152">
        <v>0.75</v>
      </c>
      <c r="AM22" s="152">
        <v>2.7E-2</v>
      </c>
      <c r="AN22" s="152">
        <v>3</v>
      </c>
      <c r="AO22" s="92"/>
      <c r="AP22" s="92"/>
      <c r="AQ22" s="93">
        <f>AM22*I22+AL22</f>
        <v>0.98624999999999996</v>
      </c>
      <c r="AR22" s="93">
        <f t="shared" ref="AR22:AR27" si="24">0.1*AQ22</f>
        <v>9.8625000000000004E-2</v>
      </c>
      <c r="AS22" s="94">
        <f t="shared" ref="AS22:AS27" si="25">AJ22*3+0.25*AK22</f>
        <v>3.5</v>
      </c>
      <c r="AT22" s="94">
        <f t="shared" ref="AT22:AT27" si="26">SUM(AQ22:AS22)/4</f>
        <v>1.1462187500000001</v>
      </c>
      <c r="AU22" s="93">
        <f>10068.2*J22*POWER(10,-6)</f>
        <v>8.8096750000000001E-2</v>
      </c>
      <c r="AV22" s="94">
        <f t="shared" ref="AV22:AV27" si="27">AU22+AT22+AS22+AR22+AQ22</f>
        <v>5.8191905000000004</v>
      </c>
      <c r="AW22" s="95">
        <f t="shared" ref="AW22:AW27" si="28">AJ22*H22</f>
        <v>2.0000000000000003E-6</v>
      </c>
      <c r="AX22" s="95">
        <f t="shared" ref="AX22:AX27" si="29">H22*AK22</f>
        <v>4.0000000000000007E-6</v>
      </c>
      <c r="AY22" s="95">
        <f t="shared" ref="AY22:AY27" si="30">H22*AV22</f>
        <v>1.1638381000000003E-5</v>
      </c>
    </row>
    <row r="23" spans="1:51" ht="15" thickBot="1" x14ac:dyDescent="0.35">
      <c r="A23" s="48" t="s">
        <v>19</v>
      </c>
      <c r="B23" s="48" t="str">
        <f>B22</f>
        <v>Трубопровод ГЖ</v>
      </c>
      <c r="C23" s="166" t="s">
        <v>174</v>
      </c>
      <c r="D23" s="49" t="s">
        <v>59</v>
      </c>
      <c r="E23" s="154">
        <f>E22</f>
        <v>1.0000000000000001E-5</v>
      </c>
      <c r="F23" s="155">
        <f>F22</f>
        <v>1</v>
      </c>
      <c r="G23" s="48">
        <v>0.04</v>
      </c>
      <c r="H23" s="50">
        <f t="shared" si="20"/>
        <v>4.0000000000000003E-7</v>
      </c>
      <c r="I23" s="149">
        <f>I22</f>
        <v>8.75</v>
      </c>
      <c r="J23" s="149">
        <f>I22</f>
        <v>8.75</v>
      </c>
      <c r="K23" s="159" t="s">
        <v>176</v>
      </c>
      <c r="L23" s="164">
        <v>0</v>
      </c>
      <c r="M23" s="92" t="str">
        <f t="shared" si="21"/>
        <v>С2</v>
      </c>
      <c r="N23" s="92" t="str">
        <f t="shared" si="22"/>
        <v>Трубопровод ГЖ</v>
      </c>
      <c r="O23" s="92" t="str">
        <f t="shared" si="23"/>
        <v>Полное-пожар</v>
      </c>
      <c r="P23" s="92">
        <v>17.100000000000001</v>
      </c>
      <c r="Q23" s="92">
        <v>23.5</v>
      </c>
      <c r="R23" s="92">
        <v>33.1</v>
      </c>
      <c r="S23" s="92">
        <v>61.2</v>
      </c>
      <c r="T23" s="92" t="s">
        <v>83</v>
      </c>
      <c r="U23" s="92" t="s">
        <v>83</v>
      </c>
      <c r="V23" s="92" t="s">
        <v>83</v>
      </c>
      <c r="W23" s="92" t="s">
        <v>83</v>
      </c>
      <c r="X23" s="92" t="s">
        <v>83</v>
      </c>
      <c r="Y23" s="92" t="s">
        <v>83</v>
      </c>
      <c r="Z23" s="92" t="s">
        <v>83</v>
      </c>
      <c r="AA23" s="92" t="s">
        <v>83</v>
      </c>
      <c r="AB23" s="92" t="s">
        <v>83</v>
      </c>
      <c r="AC23" s="92" t="s">
        <v>83</v>
      </c>
      <c r="AD23" s="92" t="s">
        <v>83</v>
      </c>
      <c r="AE23" s="92" t="s">
        <v>83</v>
      </c>
      <c r="AF23" s="92" t="s">
        <v>83</v>
      </c>
      <c r="AG23" s="92" t="s">
        <v>83</v>
      </c>
      <c r="AH23" s="92" t="s">
        <v>83</v>
      </c>
      <c r="AI23" s="92" t="s">
        <v>83</v>
      </c>
      <c r="AJ23" s="52">
        <v>2</v>
      </c>
      <c r="AK23" s="52">
        <v>2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0.98624999999999996</v>
      </c>
      <c r="AR23" s="93">
        <f t="shared" si="24"/>
        <v>9.8625000000000004E-2</v>
      </c>
      <c r="AS23" s="94">
        <f t="shared" si="25"/>
        <v>6.5</v>
      </c>
      <c r="AT23" s="94">
        <f t="shared" si="26"/>
        <v>1.8962187500000001</v>
      </c>
      <c r="AU23" s="93">
        <f>10068.2*J23*POWER(10,-6)*10</f>
        <v>0.88096750000000001</v>
      </c>
      <c r="AV23" s="94">
        <f t="shared" si="27"/>
        <v>10.36206125</v>
      </c>
      <c r="AW23" s="95">
        <f t="shared" si="28"/>
        <v>8.0000000000000007E-7</v>
      </c>
      <c r="AX23" s="95">
        <f t="shared" si="29"/>
        <v>8.0000000000000007E-7</v>
      </c>
      <c r="AY23" s="95">
        <f t="shared" si="30"/>
        <v>4.1448245E-6</v>
      </c>
    </row>
    <row r="24" spans="1:51" x14ac:dyDescent="0.3">
      <c r="A24" s="48" t="s">
        <v>20</v>
      </c>
      <c r="B24" s="48" t="str">
        <f>B22</f>
        <v>Трубопровод ГЖ</v>
      </c>
      <c r="C24" s="166" t="s">
        <v>161</v>
      </c>
      <c r="D24" s="49" t="s">
        <v>60</v>
      </c>
      <c r="E24" s="154">
        <f>E22</f>
        <v>1.0000000000000001E-5</v>
      </c>
      <c r="F24" s="155">
        <f>F22</f>
        <v>1</v>
      </c>
      <c r="G24" s="48">
        <v>0.76</v>
      </c>
      <c r="H24" s="50">
        <f t="shared" si="20"/>
        <v>7.6000000000000009E-6</v>
      </c>
      <c r="I24" s="149">
        <f>I22</f>
        <v>8.75</v>
      </c>
      <c r="J24" s="48">
        <v>0</v>
      </c>
      <c r="K24" s="159" t="s">
        <v>177</v>
      </c>
      <c r="L24" s="164">
        <v>0</v>
      </c>
      <c r="M24" s="92" t="str">
        <f t="shared" si="21"/>
        <v>С3</v>
      </c>
      <c r="N24" s="92" t="str">
        <f t="shared" si="22"/>
        <v>Трубопровод ГЖ</v>
      </c>
      <c r="O24" s="92" t="str">
        <f t="shared" si="23"/>
        <v>Полное-ликвидация</v>
      </c>
      <c r="P24" s="92" t="s">
        <v>83</v>
      </c>
      <c r="Q24" s="92" t="s">
        <v>83</v>
      </c>
      <c r="R24" s="92" t="s">
        <v>83</v>
      </c>
      <c r="S24" s="92" t="s">
        <v>83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92">
        <v>0</v>
      </c>
      <c r="AK24" s="92">
        <v>0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0.77362500000000001</v>
      </c>
      <c r="AR24" s="93">
        <f t="shared" si="24"/>
        <v>7.7362500000000001E-2</v>
      </c>
      <c r="AS24" s="94">
        <f t="shared" si="25"/>
        <v>0</v>
      </c>
      <c r="AT24" s="94">
        <f t="shared" si="26"/>
        <v>0.212746875</v>
      </c>
      <c r="AU24" s="93">
        <f>1333*J23*POWER(10,-6)</f>
        <v>1.1663749999999999E-2</v>
      </c>
      <c r="AV24" s="94">
        <f t="shared" si="27"/>
        <v>1.075398125</v>
      </c>
      <c r="AW24" s="95">
        <f t="shared" si="28"/>
        <v>0</v>
      </c>
      <c r="AX24" s="95">
        <f t="shared" si="29"/>
        <v>0</v>
      </c>
      <c r="AY24" s="95">
        <f t="shared" si="30"/>
        <v>8.1730257500000016E-6</v>
      </c>
    </row>
    <row r="25" spans="1:51" x14ac:dyDescent="0.3">
      <c r="A25" s="48" t="s">
        <v>21</v>
      </c>
      <c r="B25" s="48" t="str">
        <f>B22</f>
        <v>Трубопровод ГЖ</v>
      </c>
      <c r="C25" s="166" t="s">
        <v>162</v>
      </c>
      <c r="D25" s="49" t="s">
        <v>84</v>
      </c>
      <c r="E25" s="153">
        <v>1E-4</v>
      </c>
      <c r="F25" s="155">
        <f>F22</f>
        <v>1</v>
      </c>
      <c r="G25" s="48">
        <v>0.2</v>
      </c>
      <c r="H25" s="50">
        <f t="shared" si="20"/>
        <v>2.0000000000000002E-5</v>
      </c>
      <c r="I25" s="149">
        <f>0.15*I22</f>
        <v>1.3125</v>
      </c>
      <c r="J25" s="149">
        <f>I25</f>
        <v>1.3125</v>
      </c>
      <c r="K25" s="161" t="s">
        <v>179</v>
      </c>
      <c r="L25" s="165">
        <v>45390</v>
      </c>
      <c r="M25" s="92" t="str">
        <f t="shared" si="21"/>
        <v>С4</v>
      </c>
      <c r="N25" s="92" t="str">
        <f t="shared" si="22"/>
        <v>Трубопровод ГЖ</v>
      </c>
      <c r="O25" s="92" t="str">
        <f t="shared" si="23"/>
        <v>Частичное-пожар</v>
      </c>
      <c r="P25" s="92">
        <v>12.8</v>
      </c>
      <c r="Q25" s="92">
        <v>16.399999999999999</v>
      </c>
      <c r="R25" s="92">
        <v>21.7</v>
      </c>
      <c r="S25" s="92">
        <v>37.299999999999997</v>
      </c>
      <c r="T25" s="92" t="s">
        <v>83</v>
      </c>
      <c r="U25" s="92" t="s">
        <v>83</v>
      </c>
      <c r="V25" s="92" t="s">
        <v>83</v>
      </c>
      <c r="W25" s="92" t="s">
        <v>83</v>
      </c>
      <c r="X25" s="92" t="s">
        <v>83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92">
        <v>0</v>
      </c>
      <c r="AK25" s="92">
        <v>2</v>
      </c>
      <c r="AL25" s="92">
        <f>0.1*$AL$2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0.11043750000000001</v>
      </c>
      <c r="AR25" s="93">
        <f t="shared" si="24"/>
        <v>1.1043750000000001E-2</v>
      </c>
      <c r="AS25" s="94">
        <f t="shared" si="25"/>
        <v>0.5</v>
      </c>
      <c r="AT25" s="94">
        <f t="shared" si="26"/>
        <v>0.1553703125</v>
      </c>
      <c r="AU25" s="93">
        <f>10068.2*J25*POWER(10,-6)</f>
        <v>1.3214512500000001E-2</v>
      </c>
      <c r="AV25" s="94">
        <f t="shared" si="27"/>
        <v>0.79006607499999992</v>
      </c>
      <c r="AW25" s="95">
        <f t="shared" si="28"/>
        <v>0</v>
      </c>
      <c r="AX25" s="95">
        <f t="shared" si="29"/>
        <v>4.0000000000000003E-5</v>
      </c>
      <c r="AY25" s="95">
        <f t="shared" si="30"/>
        <v>1.5801321499999999E-5</v>
      </c>
    </row>
    <row r="26" spans="1:51" x14ac:dyDescent="0.3">
      <c r="A26" s="48" t="s">
        <v>22</v>
      </c>
      <c r="B26" s="48" t="str">
        <f>B22</f>
        <v>Трубопровод ГЖ</v>
      </c>
      <c r="C26" s="166" t="s">
        <v>190</v>
      </c>
      <c r="D26" s="49" t="s">
        <v>84</v>
      </c>
      <c r="E26" s="154">
        <f>E25</f>
        <v>1E-4</v>
      </c>
      <c r="F26" s="155">
        <f>F22</f>
        <v>1</v>
      </c>
      <c r="G26" s="48">
        <v>0.04</v>
      </c>
      <c r="H26" s="50">
        <f t="shared" si="20"/>
        <v>4.0000000000000007E-6</v>
      </c>
      <c r="I26" s="149">
        <f>0.15*I22</f>
        <v>1.3125</v>
      </c>
      <c r="J26" s="149">
        <f>I25</f>
        <v>1.3125</v>
      </c>
      <c r="K26" s="161" t="s">
        <v>180</v>
      </c>
      <c r="L26" s="165">
        <v>3</v>
      </c>
      <c r="M26" s="92" t="str">
        <f t="shared" si="21"/>
        <v>С5</v>
      </c>
      <c r="N26" s="92" t="str">
        <f t="shared" si="22"/>
        <v>Трубопровод ГЖ</v>
      </c>
      <c r="O26" s="92" t="str">
        <f t="shared" si="23"/>
        <v>Частичное-пожар</v>
      </c>
      <c r="P26" s="92">
        <v>12.8</v>
      </c>
      <c r="Q26" s="92">
        <v>16.399999999999999</v>
      </c>
      <c r="R26" s="92">
        <v>21.7</v>
      </c>
      <c r="S26" s="92">
        <v>37.299999999999997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 t="s">
        <v>83</v>
      </c>
      <c r="AB26" s="92" t="s">
        <v>83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0.1*$AL$2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0.11043750000000001</v>
      </c>
      <c r="AR26" s="93">
        <f t="shared" si="24"/>
        <v>1.1043750000000001E-2</v>
      </c>
      <c r="AS26" s="94">
        <f t="shared" si="25"/>
        <v>0.25</v>
      </c>
      <c r="AT26" s="94">
        <f t="shared" si="26"/>
        <v>9.2870312499999996E-2</v>
      </c>
      <c r="AU26" s="93">
        <f>10068.2*J26*POWER(10,-6)*10</f>
        <v>0.132145125</v>
      </c>
      <c r="AV26" s="94">
        <f t="shared" si="27"/>
        <v>0.59649668749999996</v>
      </c>
      <c r="AW26" s="95">
        <f t="shared" si="28"/>
        <v>0</v>
      </c>
      <c r="AX26" s="95">
        <f t="shared" si="29"/>
        <v>4.0000000000000007E-6</v>
      </c>
      <c r="AY26" s="95">
        <f t="shared" si="30"/>
        <v>2.3859867500000001E-6</v>
      </c>
    </row>
    <row r="27" spans="1:51" ht="15" thickBot="1" x14ac:dyDescent="0.35">
      <c r="A27" s="48" t="s">
        <v>23</v>
      </c>
      <c r="B27" s="48" t="str">
        <f>B22</f>
        <v>Трубопровод ГЖ</v>
      </c>
      <c r="C27" s="166" t="s">
        <v>164</v>
      </c>
      <c r="D27" s="49" t="s">
        <v>61</v>
      </c>
      <c r="E27" s="154">
        <f>E25</f>
        <v>1E-4</v>
      </c>
      <c r="F27" s="155">
        <f>F22</f>
        <v>1</v>
      </c>
      <c r="G27" s="48">
        <v>0.76</v>
      </c>
      <c r="H27" s="50">
        <f t="shared" si="20"/>
        <v>7.6000000000000004E-5</v>
      </c>
      <c r="I27" s="149">
        <f>0.15*I22</f>
        <v>1.3125</v>
      </c>
      <c r="J27" s="48">
        <v>0</v>
      </c>
      <c r="K27" s="162" t="s">
        <v>191</v>
      </c>
      <c r="L27" s="168">
        <v>3</v>
      </c>
      <c r="M27" s="92" t="str">
        <f t="shared" si="21"/>
        <v>С6</v>
      </c>
      <c r="N27" s="92" t="str">
        <f t="shared" si="22"/>
        <v>Трубопровод ГЖ</v>
      </c>
      <c r="O27" s="92" t="str">
        <f t="shared" si="23"/>
        <v>Частичное-ликвидация</v>
      </c>
      <c r="P27" s="92" t="s">
        <v>83</v>
      </c>
      <c r="Q27" s="92" t="s">
        <v>83</v>
      </c>
      <c r="R27" s="92" t="s">
        <v>83</v>
      </c>
      <c r="S27" s="92" t="s">
        <v>83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0</v>
      </c>
      <c r="AL27" s="92">
        <f>0.1*$AL$2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7.8543750000000009E-2</v>
      </c>
      <c r="AR27" s="93">
        <f t="shared" si="24"/>
        <v>7.854375000000002E-3</v>
      </c>
      <c r="AS27" s="94">
        <f t="shared" si="25"/>
        <v>0</v>
      </c>
      <c r="AT27" s="94">
        <f t="shared" si="26"/>
        <v>2.1599531250000002E-2</v>
      </c>
      <c r="AU27" s="93">
        <f>1333*J26*POWER(10,-6)</f>
        <v>1.7495624999999998E-3</v>
      </c>
      <c r="AV27" s="94">
        <f t="shared" si="27"/>
        <v>0.10974721875000001</v>
      </c>
      <c r="AW27" s="95">
        <f t="shared" si="28"/>
        <v>0</v>
      </c>
      <c r="AX27" s="95">
        <f t="shared" si="29"/>
        <v>0</v>
      </c>
      <c r="AY27" s="95">
        <f t="shared" si="30"/>
        <v>8.3407886250000012E-6</v>
      </c>
    </row>
    <row r="28" spans="1:51" x14ac:dyDescent="0.3">
      <c r="A28" s="48"/>
      <c r="B28" s="48"/>
      <c r="C28" s="166"/>
      <c r="D28" s="49"/>
      <c r="E28" s="154"/>
      <c r="F28" s="155"/>
      <c r="G28" s="48"/>
      <c r="H28" s="50"/>
      <c r="I28" s="149"/>
      <c r="J28" s="48"/>
      <c r="K28" s="278"/>
      <c r="L28" s="279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67" customFormat="1" x14ac:dyDescent="0.3">
      <c r="A29" s="48" t="s">
        <v>83</v>
      </c>
      <c r="B29" s="48" t="s">
        <v>83</v>
      </c>
      <c r="C29" s="48" t="s">
        <v>83</v>
      </c>
      <c r="D29" s="48" t="s">
        <v>83</v>
      </c>
      <c r="E29" s="48" t="s">
        <v>83</v>
      </c>
      <c r="F29" s="48" t="s">
        <v>83</v>
      </c>
      <c r="G29" s="48" t="s">
        <v>83</v>
      </c>
      <c r="H29" s="48" t="s">
        <v>83</v>
      </c>
      <c r="I29" s="48" t="s">
        <v>83</v>
      </c>
      <c r="J29" s="48" t="s">
        <v>83</v>
      </c>
      <c r="K29" s="48" t="s">
        <v>83</v>
      </c>
      <c r="L29" s="48" t="s">
        <v>83</v>
      </c>
      <c r="M29" s="48" t="s">
        <v>83</v>
      </c>
      <c r="N29" s="48" t="s">
        <v>83</v>
      </c>
      <c r="O29" s="48" t="s">
        <v>83</v>
      </c>
      <c r="P29" s="48" t="s">
        <v>83</v>
      </c>
      <c r="Q29" s="48" t="s">
        <v>83</v>
      </c>
      <c r="R29" s="48" t="s">
        <v>83</v>
      </c>
      <c r="S29" s="48" t="s">
        <v>83</v>
      </c>
      <c r="T29" s="48" t="s">
        <v>83</v>
      </c>
      <c r="U29" s="48" t="s">
        <v>83</v>
      </c>
      <c r="V29" s="48" t="s">
        <v>83</v>
      </c>
      <c r="W29" s="48" t="s">
        <v>83</v>
      </c>
      <c r="X29" s="48" t="s">
        <v>83</v>
      </c>
      <c r="Y29" s="48" t="s">
        <v>83</v>
      </c>
      <c r="Z29" s="48" t="s">
        <v>83</v>
      </c>
      <c r="AA29" s="48" t="s">
        <v>83</v>
      </c>
      <c r="AB29" s="48" t="s">
        <v>83</v>
      </c>
      <c r="AC29" s="48" t="s">
        <v>83</v>
      </c>
      <c r="AD29" s="48" t="s">
        <v>83</v>
      </c>
      <c r="AE29" s="48" t="s">
        <v>83</v>
      </c>
      <c r="AF29" s="48" t="s">
        <v>83</v>
      </c>
      <c r="AG29" s="48" t="s">
        <v>83</v>
      </c>
      <c r="AH29" s="48" t="s">
        <v>83</v>
      </c>
      <c r="AI29" s="48" t="s">
        <v>83</v>
      </c>
      <c r="AJ29" s="48" t="s">
        <v>83</v>
      </c>
      <c r="AK29" s="48" t="s">
        <v>83</v>
      </c>
      <c r="AL29" s="48" t="s">
        <v>83</v>
      </c>
      <c r="AM29" s="48" t="s">
        <v>83</v>
      </c>
      <c r="AN29" s="48" t="s">
        <v>83</v>
      </c>
      <c r="AO29" s="48" t="s">
        <v>83</v>
      </c>
      <c r="AP29" s="48" t="s">
        <v>83</v>
      </c>
      <c r="AQ29" s="48" t="s">
        <v>83</v>
      </c>
      <c r="AR29" s="48" t="s">
        <v>83</v>
      </c>
      <c r="AS29" s="48" t="s">
        <v>83</v>
      </c>
      <c r="AT29" s="48" t="s">
        <v>83</v>
      </c>
      <c r="AU29" s="48" t="s">
        <v>83</v>
      </c>
      <c r="AV29" s="48" t="s">
        <v>83</v>
      </c>
      <c r="AW29" s="48" t="s">
        <v>83</v>
      </c>
      <c r="AX29" s="48" t="s">
        <v>83</v>
      </c>
      <c r="AY29" s="48" t="s">
        <v>83</v>
      </c>
    </row>
    <row r="30" spans="1:51" s="267" customFormat="1" x14ac:dyDescent="0.3">
      <c r="A30" s="48" t="s">
        <v>83</v>
      </c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48" t="s">
        <v>83</v>
      </c>
      <c r="J30" s="48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  <row r="31" spans="1:51" ht="15" thickBot="1" x14ac:dyDescent="0.35"/>
    <row r="32" spans="1:51" ht="18" customHeight="1" x14ac:dyDescent="0.3">
      <c r="A32" s="48" t="s">
        <v>18</v>
      </c>
      <c r="B32" s="150" t="s">
        <v>181</v>
      </c>
      <c r="C32" s="166" t="s">
        <v>182</v>
      </c>
      <c r="D32" s="49" t="s">
        <v>183</v>
      </c>
      <c r="E32" s="153">
        <v>1.0000000000000001E-5</v>
      </c>
      <c r="F32" s="150">
        <v>1</v>
      </c>
      <c r="G32" s="48">
        <v>0.2</v>
      </c>
      <c r="H32" s="50">
        <f>E32*F32*G32</f>
        <v>2.0000000000000003E-6</v>
      </c>
      <c r="I32" s="151">
        <v>1.2</v>
      </c>
      <c r="J32" s="156">
        <f>I32</f>
        <v>1.2</v>
      </c>
      <c r="K32" s="159" t="s">
        <v>175</v>
      </c>
      <c r="L32" s="164">
        <v>0</v>
      </c>
      <c r="M32" s="92" t="str">
        <f t="shared" ref="M32:M39" si="31">A32</f>
        <v>С1</v>
      </c>
      <c r="N32" s="92" t="str">
        <f t="shared" ref="N32:N39" si="32">B32</f>
        <v>Трубопровод газ</v>
      </c>
      <c r="O32" s="92" t="str">
        <f t="shared" ref="O32:O39" si="33">D32</f>
        <v>Полное-факел</v>
      </c>
      <c r="P32" s="92" t="s">
        <v>83</v>
      </c>
      <c r="Q32" s="92" t="s">
        <v>83</v>
      </c>
      <c r="R32" s="92" t="s">
        <v>83</v>
      </c>
      <c r="S32" s="92" t="s">
        <v>83</v>
      </c>
      <c r="T32" s="92" t="s">
        <v>83</v>
      </c>
      <c r="U32" s="92" t="s">
        <v>83</v>
      </c>
      <c r="V32" s="92" t="s">
        <v>83</v>
      </c>
      <c r="W32" s="92" t="s">
        <v>83</v>
      </c>
      <c r="X32" s="92" t="s">
        <v>83</v>
      </c>
      <c r="Y32" s="92">
        <v>17</v>
      </c>
      <c r="Z32" s="92">
        <v>3</v>
      </c>
      <c r="AA32" s="92" t="s">
        <v>83</v>
      </c>
      <c r="AB32" s="92" t="s">
        <v>83</v>
      </c>
      <c r="AC32" s="92" t="s">
        <v>83</v>
      </c>
      <c r="AD32" s="92" t="s">
        <v>83</v>
      </c>
      <c r="AE32" s="92" t="s">
        <v>83</v>
      </c>
      <c r="AF32" s="92" t="s">
        <v>83</v>
      </c>
      <c r="AG32" s="92" t="s">
        <v>83</v>
      </c>
      <c r="AH32" s="92" t="s">
        <v>83</v>
      </c>
      <c r="AI32" s="92" t="s">
        <v>83</v>
      </c>
      <c r="AJ32" s="52">
        <v>1</v>
      </c>
      <c r="AK32" s="52">
        <v>2</v>
      </c>
      <c r="AL32" s="152">
        <v>0.75</v>
      </c>
      <c r="AM32" s="152">
        <v>2.7E-2</v>
      </c>
      <c r="AN32" s="152">
        <v>3</v>
      </c>
      <c r="AO32" s="92"/>
      <c r="AP32" s="92"/>
      <c r="AQ32" s="93">
        <f>AM32*I32+AL32</f>
        <v>0.78239999999999998</v>
      </c>
      <c r="AR32" s="93">
        <f>0.1*AQ32</f>
        <v>7.8240000000000004E-2</v>
      </c>
      <c r="AS32" s="94">
        <f>AJ32*3+0.25*AK32</f>
        <v>3.5</v>
      </c>
      <c r="AT32" s="94">
        <f>SUM(AQ32:AS32)/4</f>
        <v>1.09016</v>
      </c>
      <c r="AU32" s="93">
        <f>10068.2*J32*POWER(10,-6)</f>
        <v>1.208184E-2</v>
      </c>
      <c r="AV32" s="94">
        <f t="shared" ref="AV32:AV39" si="34">AU32+AT32+AS32+AR32+AQ32</f>
        <v>5.4628818399999997</v>
      </c>
      <c r="AW32" s="95">
        <f>AJ32*H32</f>
        <v>2.0000000000000003E-6</v>
      </c>
      <c r="AX32" s="95">
        <f>H32*AK32</f>
        <v>4.0000000000000007E-6</v>
      </c>
      <c r="AY32" s="95">
        <f>H32*AV32</f>
        <v>1.0925763680000002E-5</v>
      </c>
    </row>
    <row r="33" spans="1:51" x14ac:dyDescent="0.3">
      <c r="A33" s="48" t="s">
        <v>19</v>
      </c>
      <c r="B33" s="48" t="str">
        <f>B32</f>
        <v>Трубопровод газ</v>
      </c>
      <c r="C33" s="166" t="s">
        <v>160</v>
      </c>
      <c r="D33" s="49" t="s">
        <v>62</v>
      </c>
      <c r="E33" s="154">
        <f>E32</f>
        <v>1.0000000000000001E-5</v>
      </c>
      <c r="F33" s="155">
        <f>F32</f>
        <v>1</v>
      </c>
      <c r="G33" s="48">
        <v>0.1152</v>
      </c>
      <c r="H33" s="50">
        <f t="shared" ref="H33:H39" si="35">E33*F33*G33</f>
        <v>1.1520000000000002E-6</v>
      </c>
      <c r="I33" s="149">
        <f>I32</f>
        <v>1.2</v>
      </c>
      <c r="J33" s="167">
        <f>0.1*I32</f>
        <v>0.12</v>
      </c>
      <c r="K33" s="161" t="s">
        <v>176</v>
      </c>
      <c r="L33" s="165">
        <v>2</v>
      </c>
      <c r="M33" s="92" t="str">
        <f t="shared" si="31"/>
        <v>С2</v>
      </c>
      <c r="N33" s="92" t="str">
        <f t="shared" si="32"/>
        <v>Трубопровод газ</v>
      </c>
      <c r="O33" s="92" t="str">
        <f t="shared" si="33"/>
        <v>Полное-взрыв</v>
      </c>
      <c r="P33" s="92" t="s">
        <v>83</v>
      </c>
      <c r="Q33" s="92" t="s">
        <v>83</v>
      </c>
      <c r="R33" s="92" t="s">
        <v>83</v>
      </c>
      <c r="S33" s="92" t="s">
        <v>83</v>
      </c>
      <c r="T33" s="92">
        <v>0</v>
      </c>
      <c r="U33" s="92">
        <v>0</v>
      </c>
      <c r="V33" s="92">
        <v>37.6</v>
      </c>
      <c r="W33" s="92">
        <v>124.6</v>
      </c>
      <c r="X33" s="92">
        <v>324.60000000000002</v>
      </c>
      <c r="Y33" s="92" t="s">
        <v>83</v>
      </c>
      <c r="Z33" s="92" t="s">
        <v>83</v>
      </c>
      <c r="AA33" s="92" t="s">
        <v>83</v>
      </c>
      <c r="AB33" s="92" t="s">
        <v>83</v>
      </c>
      <c r="AC33" s="92" t="s">
        <v>83</v>
      </c>
      <c r="AD33" s="92" t="s">
        <v>83</v>
      </c>
      <c r="AE33" s="92" t="s">
        <v>83</v>
      </c>
      <c r="AF33" s="92" t="s">
        <v>83</v>
      </c>
      <c r="AG33" s="92" t="s">
        <v>83</v>
      </c>
      <c r="AH33" s="92" t="s">
        <v>83</v>
      </c>
      <c r="AI33" s="92" t="s">
        <v>83</v>
      </c>
      <c r="AJ33" s="52">
        <v>2</v>
      </c>
      <c r="AK33" s="52">
        <v>2</v>
      </c>
      <c r="AL33" s="92">
        <f>AL32</f>
        <v>0.75</v>
      </c>
      <c r="AM33" s="92">
        <f>AM32</f>
        <v>2.7E-2</v>
      </c>
      <c r="AN33" s="92">
        <f>AN32</f>
        <v>3</v>
      </c>
      <c r="AO33" s="92"/>
      <c r="AP33" s="92"/>
      <c r="AQ33" s="93">
        <f>AM33*I33+AL33</f>
        <v>0.78239999999999998</v>
      </c>
      <c r="AR33" s="93">
        <f t="shared" ref="AR33:AR39" si="36">0.1*AQ33</f>
        <v>7.8240000000000004E-2</v>
      </c>
      <c r="AS33" s="94">
        <f t="shared" ref="AS33:AS39" si="37">AJ33*3+0.25*AK33</f>
        <v>6.5</v>
      </c>
      <c r="AT33" s="94">
        <f t="shared" ref="AT33:AT39" si="38">SUM(AQ33:AS33)/4</f>
        <v>1.84016</v>
      </c>
      <c r="AU33" s="93">
        <f>10068.2*J33*POWER(10,-6)*10</f>
        <v>1.208184E-2</v>
      </c>
      <c r="AV33" s="94">
        <f t="shared" si="34"/>
        <v>9.2128818399999979</v>
      </c>
      <c r="AW33" s="95">
        <f t="shared" ref="AW33:AW39" si="39">AJ33*H33</f>
        <v>2.3040000000000003E-6</v>
      </c>
      <c r="AX33" s="95">
        <f t="shared" ref="AX33:AX39" si="40">H33*AK33</f>
        <v>2.3040000000000003E-6</v>
      </c>
      <c r="AY33" s="95">
        <f t="shared" ref="AY33:AY39" si="41">H33*AV33</f>
        <v>1.061323987968E-5</v>
      </c>
    </row>
    <row r="34" spans="1:51" x14ac:dyDescent="0.3">
      <c r="A34" s="48" t="s">
        <v>20</v>
      </c>
      <c r="B34" s="48" t="str">
        <f>B32</f>
        <v>Трубопровод газ</v>
      </c>
      <c r="C34" s="166" t="s">
        <v>184</v>
      </c>
      <c r="D34" s="49" t="s">
        <v>185</v>
      </c>
      <c r="E34" s="154">
        <f>E32</f>
        <v>1.0000000000000001E-5</v>
      </c>
      <c r="F34" s="155">
        <f>F32</f>
        <v>1</v>
      </c>
      <c r="G34" s="48">
        <v>7.6799999999999993E-2</v>
      </c>
      <c r="H34" s="50">
        <f>E34*F34*G34</f>
        <v>7.6799999999999999E-7</v>
      </c>
      <c r="I34" s="149">
        <f>I32</f>
        <v>1.2</v>
      </c>
      <c r="J34" s="156">
        <f>I32</f>
        <v>1.2</v>
      </c>
      <c r="K34" s="161" t="s">
        <v>177</v>
      </c>
      <c r="L34" s="165">
        <v>0</v>
      </c>
      <c r="M34" s="92" t="str">
        <f>A34</f>
        <v>С3</v>
      </c>
      <c r="N34" s="92" t="str">
        <f>B34</f>
        <v>Трубопровод газ</v>
      </c>
      <c r="O34" s="92" t="str">
        <f>D34</f>
        <v>Полное-вспышка</v>
      </c>
      <c r="P34" s="92" t="s">
        <v>83</v>
      </c>
      <c r="Q34" s="92" t="s">
        <v>83</v>
      </c>
      <c r="R34" s="92" t="s">
        <v>83</v>
      </c>
      <c r="S34" s="92" t="s">
        <v>83</v>
      </c>
      <c r="T34" s="92" t="s">
        <v>83</v>
      </c>
      <c r="U34" s="92" t="s">
        <v>83</v>
      </c>
      <c r="V34" s="92" t="s">
        <v>83</v>
      </c>
      <c r="W34" s="92" t="s">
        <v>83</v>
      </c>
      <c r="X34" s="92" t="s">
        <v>83</v>
      </c>
      <c r="Y34" s="92" t="s">
        <v>83</v>
      </c>
      <c r="Z34" s="92" t="s">
        <v>83</v>
      </c>
      <c r="AA34" s="92">
        <v>35.6</v>
      </c>
      <c r="AB34" s="92">
        <v>42.72</v>
      </c>
      <c r="AC34" s="92" t="s">
        <v>83</v>
      </c>
      <c r="AD34" s="92" t="s">
        <v>83</v>
      </c>
      <c r="AE34" s="92" t="s">
        <v>83</v>
      </c>
      <c r="AF34" s="92" t="s">
        <v>83</v>
      </c>
      <c r="AG34" s="92" t="s">
        <v>83</v>
      </c>
      <c r="AH34" s="92" t="s">
        <v>83</v>
      </c>
      <c r="AI34" s="92" t="s">
        <v>83</v>
      </c>
      <c r="AJ34" s="92">
        <v>0</v>
      </c>
      <c r="AK34" s="92">
        <v>0</v>
      </c>
      <c r="AL34" s="92">
        <f>AL32</f>
        <v>0.75</v>
      </c>
      <c r="AM34" s="92">
        <f>AM32</f>
        <v>2.7E-2</v>
      </c>
      <c r="AN34" s="92">
        <f>AN32</f>
        <v>3</v>
      </c>
      <c r="AO34" s="92"/>
      <c r="AP34" s="92"/>
      <c r="AQ34" s="93">
        <f>AM34*I34*0.1+AL34</f>
        <v>0.75324000000000002</v>
      </c>
      <c r="AR34" s="93">
        <f>0.1*AQ34</f>
        <v>7.5324000000000002E-2</v>
      </c>
      <c r="AS34" s="94">
        <f>AJ34*3+0.25*AK34</f>
        <v>0</v>
      </c>
      <c r="AT34" s="94">
        <f>SUM(AQ34:AS34)/4</f>
        <v>0.20714100000000002</v>
      </c>
      <c r="AU34" s="93">
        <f>1333*J32*POWER(10,-6)</f>
        <v>1.5995999999999999E-3</v>
      </c>
      <c r="AV34" s="94">
        <f>AU34+AT34+AS34+AR34+AQ34</f>
        <v>1.0373046000000001</v>
      </c>
      <c r="AW34" s="95">
        <f t="shared" si="39"/>
        <v>0</v>
      </c>
      <c r="AX34" s="95">
        <f t="shared" si="40"/>
        <v>0</v>
      </c>
      <c r="AY34" s="95">
        <f t="shared" si="41"/>
        <v>7.9664993280000006E-7</v>
      </c>
    </row>
    <row r="35" spans="1:51" x14ac:dyDescent="0.3">
      <c r="A35" s="48" t="s">
        <v>21</v>
      </c>
      <c r="B35" s="48" t="str">
        <f>B32</f>
        <v>Трубопровод газ</v>
      </c>
      <c r="C35" s="166" t="s">
        <v>161</v>
      </c>
      <c r="D35" s="49" t="s">
        <v>60</v>
      </c>
      <c r="E35" s="154">
        <f>E32</f>
        <v>1.0000000000000001E-5</v>
      </c>
      <c r="F35" s="155">
        <f>F32</f>
        <v>1</v>
      </c>
      <c r="G35" s="48">
        <v>0.60799999999999998</v>
      </c>
      <c r="H35" s="50">
        <f t="shared" si="35"/>
        <v>6.0800000000000002E-6</v>
      </c>
      <c r="I35" s="149">
        <f>I32</f>
        <v>1.2</v>
      </c>
      <c r="J35" s="158">
        <v>0</v>
      </c>
      <c r="K35" s="161" t="s">
        <v>179</v>
      </c>
      <c r="L35" s="165">
        <v>45390</v>
      </c>
      <c r="M35" s="92" t="str">
        <f t="shared" si="31"/>
        <v>С4</v>
      </c>
      <c r="N35" s="92" t="str">
        <f t="shared" si="32"/>
        <v>Трубопровод газ</v>
      </c>
      <c r="O35" s="92" t="str">
        <f t="shared" si="33"/>
        <v>Полное-ликвидация</v>
      </c>
      <c r="P35" s="92" t="s">
        <v>83</v>
      </c>
      <c r="Q35" s="92" t="s">
        <v>83</v>
      </c>
      <c r="R35" s="92" t="s">
        <v>83</v>
      </c>
      <c r="S35" s="92" t="s">
        <v>83</v>
      </c>
      <c r="T35" s="92" t="s">
        <v>83</v>
      </c>
      <c r="U35" s="92" t="s">
        <v>83</v>
      </c>
      <c r="V35" s="92" t="s">
        <v>83</v>
      </c>
      <c r="W35" s="92" t="s">
        <v>83</v>
      </c>
      <c r="X35" s="92" t="s">
        <v>83</v>
      </c>
      <c r="Y35" s="92" t="s">
        <v>83</v>
      </c>
      <c r="Z35" s="92" t="s">
        <v>83</v>
      </c>
      <c r="AA35" s="92" t="s">
        <v>83</v>
      </c>
      <c r="AB35" s="92" t="s">
        <v>83</v>
      </c>
      <c r="AC35" s="92" t="s">
        <v>83</v>
      </c>
      <c r="AD35" s="92" t="s">
        <v>83</v>
      </c>
      <c r="AE35" s="92" t="s">
        <v>83</v>
      </c>
      <c r="AF35" s="92" t="s">
        <v>83</v>
      </c>
      <c r="AG35" s="92" t="s">
        <v>83</v>
      </c>
      <c r="AH35" s="92" t="s">
        <v>83</v>
      </c>
      <c r="AI35" s="92" t="s">
        <v>83</v>
      </c>
      <c r="AJ35" s="92">
        <v>0</v>
      </c>
      <c r="AK35" s="92">
        <v>0</v>
      </c>
      <c r="AL35" s="92">
        <f>AL32</f>
        <v>0.75</v>
      </c>
      <c r="AM35" s="92">
        <f>AM32</f>
        <v>2.7E-2</v>
      </c>
      <c r="AN35" s="92">
        <f>AN32</f>
        <v>3</v>
      </c>
      <c r="AO35" s="92"/>
      <c r="AP35" s="92"/>
      <c r="AQ35" s="93">
        <f>AM35*I35*0.1+AL35</f>
        <v>0.75324000000000002</v>
      </c>
      <c r="AR35" s="93">
        <f t="shared" si="36"/>
        <v>7.5324000000000002E-2</v>
      </c>
      <c r="AS35" s="94">
        <f t="shared" si="37"/>
        <v>0</v>
      </c>
      <c r="AT35" s="94">
        <f t="shared" si="38"/>
        <v>0.20714100000000002</v>
      </c>
      <c r="AU35" s="93">
        <f>1333*J33*POWER(10,-6)</f>
        <v>1.5996000000000001E-4</v>
      </c>
      <c r="AV35" s="94">
        <f t="shared" si="34"/>
        <v>1.0358649600000001</v>
      </c>
      <c r="AW35" s="95">
        <f t="shared" si="39"/>
        <v>0</v>
      </c>
      <c r="AX35" s="95">
        <f t="shared" si="40"/>
        <v>0</v>
      </c>
      <c r="AY35" s="95">
        <f t="shared" si="41"/>
        <v>6.2980589568000003E-6</v>
      </c>
    </row>
    <row r="36" spans="1:51" x14ac:dyDescent="0.3">
      <c r="A36" s="48" t="s">
        <v>22</v>
      </c>
      <c r="B36" s="48" t="str">
        <f>B32</f>
        <v>Трубопровод газ</v>
      </c>
      <c r="C36" s="166" t="s">
        <v>186</v>
      </c>
      <c r="D36" s="49" t="s">
        <v>187</v>
      </c>
      <c r="E36" s="153">
        <v>1E-4</v>
      </c>
      <c r="F36" s="155">
        <f>F32</f>
        <v>1</v>
      </c>
      <c r="G36" s="48">
        <v>3.5000000000000003E-2</v>
      </c>
      <c r="H36" s="50">
        <f t="shared" si="35"/>
        <v>3.5000000000000004E-6</v>
      </c>
      <c r="I36" s="149">
        <f>0.15*I32</f>
        <v>0.18</v>
      </c>
      <c r="J36" s="156">
        <f>I36</f>
        <v>0.18</v>
      </c>
      <c r="K36" s="161" t="s">
        <v>180</v>
      </c>
      <c r="L36" s="165">
        <v>3</v>
      </c>
      <c r="M36" s="92" t="str">
        <f t="shared" si="31"/>
        <v>С5</v>
      </c>
      <c r="N36" s="92" t="str">
        <f t="shared" si="32"/>
        <v>Трубопровод газ</v>
      </c>
      <c r="O36" s="92" t="str">
        <f t="shared" si="33"/>
        <v>Частичное-факел</v>
      </c>
      <c r="P36" s="92" t="s">
        <v>83</v>
      </c>
      <c r="Q36" s="92" t="s">
        <v>83</v>
      </c>
      <c r="R36" s="92" t="s">
        <v>83</v>
      </c>
      <c r="S36" s="92" t="s">
        <v>83</v>
      </c>
      <c r="T36" s="92" t="s">
        <v>83</v>
      </c>
      <c r="U36" s="92" t="s">
        <v>83</v>
      </c>
      <c r="V36" s="92" t="s">
        <v>83</v>
      </c>
      <c r="W36" s="92" t="s">
        <v>83</v>
      </c>
      <c r="X36" s="92" t="s">
        <v>83</v>
      </c>
      <c r="Y36" s="92">
        <v>11</v>
      </c>
      <c r="Z36" s="92">
        <v>2</v>
      </c>
      <c r="AA36" s="92" t="s">
        <v>83</v>
      </c>
      <c r="AB36" s="92" t="s">
        <v>83</v>
      </c>
      <c r="AC36" s="92" t="s">
        <v>83</v>
      </c>
      <c r="AD36" s="92" t="s">
        <v>83</v>
      </c>
      <c r="AE36" s="92" t="s">
        <v>83</v>
      </c>
      <c r="AF36" s="92" t="s">
        <v>83</v>
      </c>
      <c r="AG36" s="92" t="s">
        <v>83</v>
      </c>
      <c r="AH36" s="92" t="s">
        <v>83</v>
      </c>
      <c r="AI36" s="92" t="s">
        <v>83</v>
      </c>
      <c r="AJ36" s="92">
        <v>0</v>
      </c>
      <c r="AK36" s="92">
        <v>2</v>
      </c>
      <c r="AL36" s="92">
        <f>0.1*$AL$2</f>
        <v>7.5000000000000011E-2</v>
      </c>
      <c r="AM36" s="92">
        <f>AM32</f>
        <v>2.7E-2</v>
      </c>
      <c r="AN36" s="92">
        <f>ROUNDUP(AN32/3,0)</f>
        <v>1</v>
      </c>
      <c r="AO36" s="92"/>
      <c r="AP36" s="92"/>
      <c r="AQ36" s="93">
        <f>AM36*I36+AL36</f>
        <v>7.9860000000000014E-2</v>
      </c>
      <c r="AR36" s="93">
        <f t="shared" si="36"/>
        <v>7.9860000000000018E-3</v>
      </c>
      <c r="AS36" s="94">
        <f t="shared" si="37"/>
        <v>0.5</v>
      </c>
      <c r="AT36" s="94">
        <f t="shared" si="38"/>
        <v>0.14696149999999999</v>
      </c>
      <c r="AU36" s="93">
        <f>10068.2*J36*POWER(10,-6)</f>
        <v>1.812276E-3</v>
      </c>
      <c r="AV36" s="94">
        <f t="shared" si="34"/>
        <v>0.73661977600000006</v>
      </c>
      <c r="AW36" s="95">
        <f t="shared" si="39"/>
        <v>0</v>
      </c>
      <c r="AX36" s="95">
        <f t="shared" si="40"/>
        <v>7.0000000000000007E-6</v>
      </c>
      <c r="AY36" s="95">
        <f t="shared" si="41"/>
        <v>2.5781692160000003E-6</v>
      </c>
    </row>
    <row r="37" spans="1:51" x14ac:dyDescent="0.3">
      <c r="A37" s="48" t="s">
        <v>23</v>
      </c>
      <c r="B37" s="48" t="str">
        <f>B32</f>
        <v>Трубопровод газ</v>
      </c>
      <c r="C37" s="166" t="s">
        <v>188</v>
      </c>
      <c r="D37" s="49" t="s">
        <v>189</v>
      </c>
      <c r="E37" s="154">
        <f>E36</f>
        <v>1E-4</v>
      </c>
      <c r="F37" s="155">
        <v>1</v>
      </c>
      <c r="G37" s="48">
        <v>8.3000000000000001E-3</v>
      </c>
      <c r="H37" s="50">
        <f>E37*F37*G37</f>
        <v>8.300000000000001E-7</v>
      </c>
      <c r="I37" s="149">
        <f>I36</f>
        <v>0.18</v>
      </c>
      <c r="J37" s="156">
        <f>J33*0.15</f>
        <v>1.7999999999999999E-2</v>
      </c>
      <c r="K37" s="160" t="s">
        <v>191</v>
      </c>
      <c r="L37" s="217">
        <v>4</v>
      </c>
      <c r="M37" s="92" t="str">
        <f>A37</f>
        <v>С6</v>
      </c>
      <c r="N37" s="92" t="str">
        <f>B37</f>
        <v>Трубопровод газ</v>
      </c>
      <c r="O37" s="92" t="str">
        <f>D37</f>
        <v>Частичное-взрыв</v>
      </c>
      <c r="P37" s="92" t="s">
        <v>83</v>
      </c>
      <c r="Q37" s="92" t="s">
        <v>83</v>
      </c>
      <c r="R37" s="92" t="s">
        <v>83</v>
      </c>
      <c r="S37" s="92" t="s">
        <v>83</v>
      </c>
      <c r="T37" s="92">
        <v>0</v>
      </c>
      <c r="U37" s="92">
        <v>0</v>
      </c>
      <c r="V37" s="92">
        <v>20.100000000000001</v>
      </c>
      <c r="W37" s="92">
        <v>66.099999999999994</v>
      </c>
      <c r="X37" s="92">
        <v>172.6</v>
      </c>
      <c r="Y37" s="92" t="s">
        <v>83</v>
      </c>
      <c r="Z37" s="92" t="s">
        <v>83</v>
      </c>
      <c r="AA37" s="92" t="s">
        <v>83</v>
      </c>
      <c r="AB37" s="92" t="s">
        <v>83</v>
      </c>
      <c r="AC37" s="92" t="s">
        <v>83</v>
      </c>
      <c r="AD37" s="92" t="s">
        <v>83</v>
      </c>
      <c r="AE37" s="92" t="s">
        <v>83</v>
      </c>
      <c r="AF37" s="92" t="s">
        <v>83</v>
      </c>
      <c r="AG37" s="92" t="s">
        <v>83</v>
      </c>
      <c r="AH37" s="92" t="s">
        <v>83</v>
      </c>
      <c r="AI37" s="92" t="s">
        <v>83</v>
      </c>
      <c r="AJ37" s="92">
        <v>0</v>
      </c>
      <c r="AK37" s="92">
        <v>1</v>
      </c>
      <c r="AL37" s="92">
        <f>0.1*$AL$2</f>
        <v>7.5000000000000011E-2</v>
      </c>
      <c r="AM37" s="92">
        <f>AM32</f>
        <v>2.7E-2</v>
      </c>
      <c r="AN37" s="92">
        <f>AN36</f>
        <v>1</v>
      </c>
      <c r="AO37" s="92"/>
      <c r="AP37" s="92"/>
      <c r="AQ37" s="93">
        <f>AM37*I37+AL37</f>
        <v>7.9860000000000014E-2</v>
      </c>
      <c r="AR37" s="93">
        <f>0.1*AQ37</f>
        <v>7.9860000000000018E-3</v>
      </c>
      <c r="AS37" s="94">
        <f>AJ37*3+0.25*AK37</f>
        <v>0.25</v>
      </c>
      <c r="AT37" s="94">
        <f>SUM(AQ37:AS37)/4</f>
        <v>8.4461500000000009E-2</v>
      </c>
      <c r="AU37" s="93">
        <f>10068.2*J37*POWER(10,-6)*10</f>
        <v>1.8122759999999998E-3</v>
      </c>
      <c r="AV37" s="94">
        <f>AU37+AT37+AS37+AR37+AQ37</f>
        <v>0.42411977600000006</v>
      </c>
      <c r="AW37" s="95">
        <f t="shared" si="39"/>
        <v>0</v>
      </c>
      <c r="AX37" s="95">
        <f t="shared" si="40"/>
        <v>8.300000000000001E-7</v>
      </c>
      <c r="AY37" s="95">
        <f t="shared" si="41"/>
        <v>3.5201941408000008E-7</v>
      </c>
    </row>
    <row r="38" spans="1:51" x14ac:dyDescent="0.3">
      <c r="A38" s="48" t="s">
        <v>210</v>
      </c>
      <c r="B38" s="48" t="str">
        <f>B32</f>
        <v>Трубопровод газ</v>
      </c>
      <c r="C38" s="166" t="s">
        <v>163</v>
      </c>
      <c r="D38" s="49" t="s">
        <v>165</v>
      </c>
      <c r="E38" s="154">
        <f>E36</f>
        <v>1E-4</v>
      </c>
      <c r="F38" s="155">
        <f>F32</f>
        <v>1</v>
      </c>
      <c r="G38" s="48">
        <v>2.64E-2</v>
      </c>
      <c r="H38" s="50">
        <f t="shared" si="35"/>
        <v>2.6400000000000001E-6</v>
      </c>
      <c r="I38" s="149">
        <f>0.15*I32</f>
        <v>0.18</v>
      </c>
      <c r="J38" s="156">
        <f>J34*0.15</f>
        <v>0.18</v>
      </c>
      <c r="K38" s="161"/>
      <c r="L38" s="165"/>
      <c r="M38" s="92" t="str">
        <f t="shared" si="31"/>
        <v>С7</v>
      </c>
      <c r="N38" s="92" t="str">
        <f t="shared" si="32"/>
        <v>Трубопровод газ</v>
      </c>
      <c r="O38" s="92" t="str">
        <f t="shared" si="33"/>
        <v>Частичное-пожар-вспышка</v>
      </c>
      <c r="P38" s="92" t="s">
        <v>83</v>
      </c>
      <c r="Q38" s="92" t="s">
        <v>83</v>
      </c>
      <c r="R38" s="92" t="s">
        <v>83</v>
      </c>
      <c r="S38" s="92" t="s">
        <v>83</v>
      </c>
      <c r="T38" s="92" t="s">
        <v>83</v>
      </c>
      <c r="U38" s="92" t="s">
        <v>83</v>
      </c>
      <c r="V38" s="92" t="s">
        <v>83</v>
      </c>
      <c r="W38" s="92" t="s">
        <v>83</v>
      </c>
      <c r="X38" s="92" t="s">
        <v>83</v>
      </c>
      <c r="Y38" s="92" t="s">
        <v>83</v>
      </c>
      <c r="Z38" s="92" t="s">
        <v>83</v>
      </c>
      <c r="AA38" s="92">
        <v>19.03</v>
      </c>
      <c r="AB38" s="92">
        <v>22.84</v>
      </c>
      <c r="AC38" s="92" t="s">
        <v>83</v>
      </c>
      <c r="AD38" s="92" t="s">
        <v>83</v>
      </c>
      <c r="AE38" s="92" t="s">
        <v>83</v>
      </c>
      <c r="AF38" s="92" t="s">
        <v>83</v>
      </c>
      <c r="AG38" s="92" t="s">
        <v>83</v>
      </c>
      <c r="AH38" s="92" t="s">
        <v>83</v>
      </c>
      <c r="AI38" s="92" t="s">
        <v>83</v>
      </c>
      <c r="AJ38" s="92">
        <v>0</v>
      </c>
      <c r="AK38" s="92">
        <v>1</v>
      </c>
      <c r="AL38" s="92">
        <f>0.1*$AL$2</f>
        <v>7.5000000000000011E-2</v>
      </c>
      <c r="AM38" s="92">
        <f>AM32</f>
        <v>2.7E-2</v>
      </c>
      <c r="AN38" s="92">
        <f>ROUNDUP(AN32/3,0)</f>
        <v>1</v>
      </c>
      <c r="AO38" s="92"/>
      <c r="AP38" s="92"/>
      <c r="AQ38" s="93">
        <f>AM38*I38+AL38</f>
        <v>7.9860000000000014E-2</v>
      </c>
      <c r="AR38" s="93">
        <f t="shared" si="36"/>
        <v>7.9860000000000018E-3</v>
      </c>
      <c r="AS38" s="94">
        <f t="shared" si="37"/>
        <v>0.25</v>
      </c>
      <c r="AT38" s="94">
        <f t="shared" si="38"/>
        <v>8.4461500000000009E-2</v>
      </c>
      <c r="AU38" s="93">
        <f>10068.2*J38*POWER(10,-6)*10</f>
        <v>1.8122760000000002E-2</v>
      </c>
      <c r="AV38" s="94">
        <f t="shared" si="34"/>
        <v>0.44043025999999996</v>
      </c>
      <c r="AW38" s="95">
        <f t="shared" si="39"/>
        <v>0</v>
      </c>
      <c r="AX38" s="95">
        <f t="shared" si="40"/>
        <v>2.6400000000000001E-6</v>
      </c>
      <c r="AY38" s="95">
        <f t="shared" si="41"/>
        <v>1.1627358863999999E-6</v>
      </c>
    </row>
    <row r="39" spans="1:51" ht="15" thickBot="1" x14ac:dyDescent="0.35">
      <c r="A39" s="48" t="s">
        <v>211</v>
      </c>
      <c r="B39" s="48" t="str">
        <f>B32</f>
        <v>Трубопровод газ</v>
      </c>
      <c r="C39" s="166" t="s">
        <v>164</v>
      </c>
      <c r="D39" s="49" t="s">
        <v>61</v>
      </c>
      <c r="E39" s="154">
        <f>E36</f>
        <v>1E-4</v>
      </c>
      <c r="F39" s="155">
        <f>F32</f>
        <v>1</v>
      </c>
      <c r="G39" s="48">
        <v>0.93030000000000002</v>
      </c>
      <c r="H39" s="50">
        <f t="shared" si="35"/>
        <v>9.3030000000000009E-5</v>
      </c>
      <c r="I39" s="149">
        <f>0.15*I32</f>
        <v>0.18</v>
      </c>
      <c r="J39" s="158">
        <v>0</v>
      </c>
      <c r="K39" s="162"/>
      <c r="L39" s="163"/>
      <c r="M39" s="92" t="str">
        <f t="shared" si="31"/>
        <v>С8</v>
      </c>
      <c r="N39" s="92" t="str">
        <f t="shared" si="32"/>
        <v>Трубопровод газ</v>
      </c>
      <c r="O39" s="92" t="str">
        <f t="shared" si="33"/>
        <v>Частичное-ликвидация</v>
      </c>
      <c r="P39" s="92" t="s">
        <v>83</v>
      </c>
      <c r="Q39" s="92" t="s">
        <v>83</v>
      </c>
      <c r="R39" s="92" t="s">
        <v>83</v>
      </c>
      <c r="S39" s="92" t="s">
        <v>83</v>
      </c>
      <c r="T39" s="92" t="s">
        <v>83</v>
      </c>
      <c r="U39" s="92" t="s">
        <v>83</v>
      </c>
      <c r="V39" s="92" t="s">
        <v>83</v>
      </c>
      <c r="W39" s="92" t="s">
        <v>83</v>
      </c>
      <c r="X39" s="92" t="s">
        <v>83</v>
      </c>
      <c r="Y39" s="92" t="s">
        <v>83</v>
      </c>
      <c r="Z39" s="92" t="s">
        <v>83</v>
      </c>
      <c r="AA39" s="92" t="s">
        <v>83</v>
      </c>
      <c r="AB39" s="92" t="s">
        <v>83</v>
      </c>
      <c r="AC39" s="92" t="s">
        <v>83</v>
      </c>
      <c r="AD39" s="92" t="s">
        <v>83</v>
      </c>
      <c r="AE39" s="92" t="s">
        <v>83</v>
      </c>
      <c r="AF39" s="92" t="s">
        <v>83</v>
      </c>
      <c r="AG39" s="92" t="s">
        <v>83</v>
      </c>
      <c r="AH39" s="92" t="s">
        <v>83</v>
      </c>
      <c r="AI39" s="92" t="s">
        <v>83</v>
      </c>
      <c r="AJ39" s="92">
        <v>0</v>
      </c>
      <c r="AK39" s="92">
        <v>0</v>
      </c>
      <c r="AL39" s="92">
        <f>0.1*$AL$2</f>
        <v>7.5000000000000011E-2</v>
      </c>
      <c r="AM39" s="92">
        <f>AM32</f>
        <v>2.7E-2</v>
      </c>
      <c r="AN39" s="92">
        <f>ROUNDUP(AN32/3,0)</f>
        <v>1</v>
      </c>
      <c r="AO39" s="92"/>
      <c r="AP39" s="92"/>
      <c r="AQ39" s="93">
        <f>AM39*I39*0.1+AL39</f>
        <v>7.5486000000000011E-2</v>
      </c>
      <c r="AR39" s="93">
        <f t="shared" si="36"/>
        <v>7.5486000000000017E-3</v>
      </c>
      <c r="AS39" s="94">
        <f t="shared" si="37"/>
        <v>0</v>
      </c>
      <c r="AT39" s="94">
        <f t="shared" si="38"/>
        <v>2.0758650000000003E-2</v>
      </c>
      <c r="AU39" s="93">
        <f>1333*J38*POWER(10,-6)</f>
        <v>2.3993999999999998E-4</v>
      </c>
      <c r="AV39" s="94">
        <f t="shared" si="34"/>
        <v>0.10403319000000003</v>
      </c>
      <c r="AW39" s="95">
        <f t="shared" si="39"/>
        <v>0</v>
      </c>
      <c r="AX39" s="95">
        <f t="shared" si="40"/>
        <v>0</v>
      </c>
      <c r="AY39" s="95">
        <f t="shared" si="41"/>
        <v>9.6782076657000025E-6</v>
      </c>
    </row>
    <row r="40" spans="1:51" x14ac:dyDescent="0.3">
      <c r="A40" s="52"/>
      <c r="B40" s="52"/>
      <c r="C40" s="92"/>
      <c r="D40" s="254"/>
      <c r="E40" s="255"/>
      <c r="F40" s="256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3"/>
      <c r="AR40" s="93"/>
      <c r="AS40" s="94"/>
      <c r="AT40" s="94"/>
      <c r="AU40" s="93"/>
      <c r="AV40" s="94"/>
      <c r="AW40" s="95"/>
      <c r="AX40" s="95"/>
      <c r="AY40" s="95"/>
    </row>
    <row r="41" spans="1:51" ht="15" thickBot="1" x14ac:dyDescent="0.35"/>
    <row r="42" spans="1:51" ht="18" customHeight="1" x14ac:dyDescent="0.3">
      <c r="A42" s="48" t="s">
        <v>18</v>
      </c>
      <c r="B42" s="150" t="s">
        <v>192</v>
      </c>
      <c r="C42" s="166" t="s">
        <v>182</v>
      </c>
      <c r="D42" s="49" t="s">
        <v>183</v>
      </c>
      <c r="E42" s="153">
        <v>1.0000000000000001E-5</v>
      </c>
      <c r="F42" s="150">
        <v>1</v>
      </c>
      <c r="G42" s="48">
        <v>0.2</v>
      </c>
      <c r="H42" s="50">
        <f>E42*F42*G42</f>
        <v>2.0000000000000003E-6</v>
      </c>
      <c r="I42" s="151">
        <v>6.37</v>
      </c>
      <c r="J42" s="156">
        <f>I42</f>
        <v>6.37</v>
      </c>
      <c r="K42" s="159" t="s">
        <v>175</v>
      </c>
      <c r="L42" s="164">
        <v>0</v>
      </c>
      <c r="M42" s="92" t="str">
        <f t="shared" ref="M42:M49" si="42">A42</f>
        <v>С1</v>
      </c>
      <c r="N42" s="92" t="str">
        <f t="shared" ref="N42:N49" si="43">B42</f>
        <v>Трубопровод газ+токси</v>
      </c>
      <c r="O42" s="92" t="str">
        <f t="shared" ref="O42:O49" si="44">D42</f>
        <v>Полное-факел</v>
      </c>
      <c r="P42" s="92" t="s">
        <v>83</v>
      </c>
      <c r="Q42" s="92" t="s">
        <v>83</v>
      </c>
      <c r="R42" s="92" t="s">
        <v>83</v>
      </c>
      <c r="S42" s="92" t="s">
        <v>83</v>
      </c>
      <c r="T42" s="92" t="s">
        <v>83</v>
      </c>
      <c r="U42" s="92" t="s">
        <v>83</v>
      </c>
      <c r="V42" s="92" t="s">
        <v>83</v>
      </c>
      <c r="W42" s="92" t="s">
        <v>83</v>
      </c>
      <c r="X42" s="92" t="s">
        <v>83</v>
      </c>
      <c r="Y42" s="92">
        <v>17</v>
      </c>
      <c r="Z42" s="92">
        <v>3</v>
      </c>
      <c r="AA42" s="92" t="s">
        <v>83</v>
      </c>
      <c r="AB42" s="92" t="s">
        <v>83</v>
      </c>
      <c r="AC42" s="92" t="s">
        <v>83</v>
      </c>
      <c r="AD42" s="92" t="s">
        <v>83</v>
      </c>
      <c r="AE42" s="92" t="s">
        <v>83</v>
      </c>
      <c r="AF42" s="92" t="s">
        <v>83</v>
      </c>
      <c r="AG42" s="92" t="s">
        <v>83</v>
      </c>
      <c r="AH42" s="92" t="s">
        <v>83</v>
      </c>
      <c r="AI42" s="92" t="s">
        <v>83</v>
      </c>
      <c r="AJ42" s="52">
        <v>1</v>
      </c>
      <c r="AK42" s="52">
        <v>2</v>
      </c>
      <c r="AL42" s="152">
        <v>0.75</v>
      </c>
      <c r="AM42" s="152">
        <v>2.7E-2</v>
      </c>
      <c r="AN42" s="152">
        <v>3</v>
      </c>
      <c r="AO42" s="92"/>
      <c r="AP42" s="92"/>
      <c r="AQ42" s="93">
        <f>AM42*I42+AL42</f>
        <v>0.92198999999999998</v>
      </c>
      <c r="AR42" s="93">
        <f>0.1*AQ42</f>
        <v>9.2199000000000003E-2</v>
      </c>
      <c r="AS42" s="94">
        <f>AJ42*3+0.25*AK42</f>
        <v>3.5</v>
      </c>
      <c r="AT42" s="94">
        <f>SUM(AQ42:AS42)/4</f>
        <v>1.12854725</v>
      </c>
      <c r="AU42" s="93">
        <f>10068.2*J42*POWER(10,-6)</f>
        <v>6.4134434000000004E-2</v>
      </c>
      <c r="AV42" s="94">
        <f t="shared" ref="AV42:AV49" si="45">AU42+AT42+AS42+AR42+AQ42</f>
        <v>5.7068706840000001</v>
      </c>
      <c r="AW42" s="95">
        <f>AJ42*H42</f>
        <v>2.0000000000000003E-6</v>
      </c>
      <c r="AX42" s="95">
        <f>H42*AK42</f>
        <v>4.0000000000000007E-6</v>
      </c>
      <c r="AY42" s="95">
        <f>H42*AV42</f>
        <v>1.1413741368000002E-5</v>
      </c>
    </row>
    <row r="43" spans="1:51" x14ac:dyDescent="0.3">
      <c r="A43" s="48" t="s">
        <v>19</v>
      </c>
      <c r="B43" s="48" t="str">
        <f>B42</f>
        <v>Трубопровод газ+токси</v>
      </c>
      <c r="C43" s="166" t="s">
        <v>160</v>
      </c>
      <c r="D43" s="49" t="s">
        <v>62</v>
      </c>
      <c r="E43" s="154">
        <f>E42</f>
        <v>1.0000000000000001E-5</v>
      </c>
      <c r="F43" s="155">
        <f>F42</f>
        <v>1</v>
      </c>
      <c r="G43" s="48">
        <v>0.1152</v>
      </c>
      <c r="H43" s="50">
        <f t="shared" ref="H43:H49" si="46">E43*F43*G43</f>
        <v>1.1520000000000002E-6</v>
      </c>
      <c r="I43" s="149">
        <f>I42</f>
        <v>6.37</v>
      </c>
      <c r="J43" s="167">
        <f>0.1*I42</f>
        <v>0.63700000000000001</v>
      </c>
      <c r="K43" s="161" t="s">
        <v>176</v>
      </c>
      <c r="L43" s="165">
        <v>2</v>
      </c>
      <c r="M43" s="92" t="str">
        <f t="shared" si="42"/>
        <v>С2</v>
      </c>
      <c r="N43" s="92" t="str">
        <f t="shared" si="43"/>
        <v>Трубопровод газ+токси</v>
      </c>
      <c r="O43" s="92" t="str">
        <f t="shared" si="44"/>
        <v>Полное-взрыв</v>
      </c>
      <c r="P43" s="92" t="s">
        <v>83</v>
      </c>
      <c r="Q43" s="92" t="s">
        <v>83</v>
      </c>
      <c r="R43" s="92" t="s">
        <v>83</v>
      </c>
      <c r="S43" s="92" t="s">
        <v>83</v>
      </c>
      <c r="T43" s="92">
        <v>0</v>
      </c>
      <c r="U43" s="92">
        <v>0</v>
      </c>
      <c r="V43" s="92">
        <v>65.099999999999994</v>
      </c>
      <c r="W43" s="92">
        <v>217.6</v>
      </c>
      <c r="X43" s="92">
        <v>566.1</v>
      </c>
      <c r="Y43" s="92" t="s">
        <v>83</v>
      </c>
      <c r="Z43" s="92" t="s">
        <v>83</v>
      </c>
      <c r="AA43" s="92" t="s">
        <v>83</v>
      </c>
      <c r="AB43" s="92" t="s">
        <v>83</v>
      </c>
      <c r="AC43" s="92" t="s">
        <v>83</v>
      </c>
      <c r="AD43" s="92" t="s">
        <v>83</v>
      </c>
      <c r="AE43" s="92" t="s">
        <v>83</v>
      </c>
      <c r="AF43" s="92" t="s">
        <v>83</v>
      </c>
      <c r="AG43" s="92" t="s">
        <v>83</v>
      </c>
      <c r="AH43" s="92" t="s">
        <v>83</v>
      </c>
      <c r="AI43" s="92" t="s">
        <v>83</v>
      </c>
      <c r="AJ43" s="52">
        <v>2</v>
      </c>
      <c r="AK43" s="52">
        <v>2</v>
      </c>
      <c r="AL43" s="92">
        <f>AL42</f>
        <v>0.75</v>
      </c>
      <c r="AM43" s="92">
        <f>AM42</f>
        <v>2.7E-2</v>
      </c>
      <c r="AN43" s="92">
        <f>AN42</f>
        <v>3</v>
      </c>
      <c r="AO43" s="92"/>
      <c r="AP43" s="92"/>
      <c r="AQ43" s="93">
        <f>AM43*I43+AL43</f>
        <v>0.92198999999999998</v>
      </c>
      <c r="AR43" s="93">
        <f t="shared" ref="AR43:AR49" si="47">0.1*AQ43</f>
        <v>9.2199000000000003E-2</v>
      </c>
      <c r="AS43" s="94">
        <f t="shared" ref="AS43:AS49" si="48">AJ43*3+0.25*AK43</f>
        <v>6.5</v>
      </c>
      <c r="AT43" s="94">
        <f t="shared" ref="AT43:AT49" si="49">SUM(AQ43:AS43)/4</f>
        <v>1.87854725</v>
      </c>
      <c r="AU43" s="93">
        <f>10068.2*J43*POWER(10,-6)*10</f>
        <v>6.4134434000000004E-2</v>
      </c>
      <c r="AV43" s="94">
        <f t="shared" si="45"/>
        <v>9.4568706840000001</v>
      </c>
      <c r="AW43" s="95">
        <f t="shared" ref="AW43:AW49" si="50">AJ43*H43</f>
        <v>2.3040000000000003E-6</v>
      </c>
      <c r="AX43" s="95">
        <f t="shared" ref="AX43:AX49" si="51">H43*AK43</f>
        <v>2.3040000000000003E-6</v>
      </c>
      <c r="AY43" s="95">
        <f t="shared" ref="AY43:AY49" si="52">H43*AV43</f>
        <v>1.0894315027968001E-5</v>
      </c>
    </row>
    <row r="44" spans="1:51" x14ac:dyDescent="0.3">
      <c r="A44" s="48" t="s">
        <v>20</v>
      </c>
      <c r="B44" s="48" t="str">
        <f>B42</f>
        <v>Трубопровод газ+токси</v>
      </c>
      <c r="C44" s="166" t="s">
        <v>184</v>
      </c>
      <c r="D44" s="49" t="s">
        <v>185</v>
      </c>
      <c r="E44" s="154">
        <f>E42</f>
        <v>1.0000000000000001E-5</v>
      </c>
      <c r="F44" s="155">
        <f>F42</f>
        <v>1</v>
      </c>
      <c r="G44" s="48">
        <v>7.6799999999999993E-2</v>
      </c>
      <c r="H44" s="50">
        <f t="shared" si="46"/>
        <v>7.6799999999999999E-7</v>
      </c>
      <c r="I44" s="149">
        <f>I42</f>
        <v>6.37</v>
      </c>
      <c r="J44" s="156">
        <f>J43</f>
        <v>0.63700000000000001</v>
      </c>
      <c r="K44" s="161" t="s">
        <v>177</v>
      </c>
      <c r="L44" s="165">
        <v>0</v>
      </c>
      <c r="M44" s="92" t="str">
        <f t="shared" si="42"/>
        <v>С3</v>
      </c>
      <c r="N44" s="92" t="str">
        <f t="shared" si="43"/>
        <v>Трубопровод газ+токси</v>
      </c>
      <c r="O44" s="92" t="str">
        <f t="shared" si="44"/>
        <v>Полное-вспышка</v>
      </c>
      <c r="P44" s="92" t="s">
        <v>83</v>
      </c>
      <c r="Q44" s="92" t="s">
        <v>83</v>
      </c>
      <c r="R44" s="92" t="s">
        <v>83</v>
      </c>
      <c r="S44" s="92" t="s">
        <v>83</v>
      </c>
      <c r="T44" s="92" t="s">
        <v>83</v>
      </c>
      <c r="U44" s="92" t="s">
        <v>83</v>
      </c>
      <c r="V44" s="92" t="s">
        <v>83</v>
      </c>
      <c r="W44" s="92" t="s">
        <v>83</v>
      </c>
      <c r="X44" s="92" t="s">
        <v>83</v>
      </c>
      <c r="Y44" s="92" t="s">
        <v>83</v>
      </c>
      <c r="Z44" s="92" t="s">
        <v>83</v>
      </c>
      <c r="AA44" s="92">
        <v>28.88</v>
      </c>
      <c r="AB44" s="92">
        <v>34.659999999999997</v>
      </c>
      <c r="AC44" s="92" t="s">
        <v>83</v>
      </c>
      <c r="AD44" s="92" t="s">
        <v>83</v>
      </c>
      <c r="AE44" s="92" t="s">
        <v>83</v>
      </c>
      <c r="AF44" s="92" t="s">
        <v>83</v>
      </c>
      <c r="AG44" s="92" t="s">
        <v>83</v>
      </c>
      <c r="AH44" s="92" t="s">
        <v>83</v>
      </c>
      <c r="AI44" s="92" t="s">
        <v>83</v>
      </c>
      <c r="AJ44" s="92">
        <v>0</v>
      </c>
      <c r="AK44" s="92">
        <v>0</v>
      </c>
      <c r="AL44" s="92">
        <f>AL42</f>
        <v>0.75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0.76719899999999996</v>
      </c>
      <c r="AR44" s="93">
        <f t="shared" si="47"/>
        <v>7.6719900000000008E-2</v>
      </c>
      <c r="AS44" s="94">
        <f t="shared" si="48"/>
        <v>0</v>
      </c>
      <c r="AT44" s="94">
        <f t="shared" si="49"/>
        <v>0.21097972500000001</v>
      </c>
      <c r="AU44" s="93">
        <f>1333*J42*POWER(10,-6)</f>
        <v>8.4912100000000008E-3</v>
      </c>
      <c r="AV44" s="94">
        <f t="shared" si="45"/>
        <v>1.0633898349999999</v>
      </c>
      <c r="AW44" s="95">
        <f t="shared" si="50"/>
        <v>0</v>
      </c>
      <c r="AX44" s="95">
        <f t="shared" si="51"/>
        <v>0</v>
      </c>
      <c r="AY44" s="95">
        <f t="shared" si="52"/>
        <v>8.1668339327999993E-7</v>
      </c>
    </row>
    <row r="45" spans="1:51" x14ac:dyDescent="0.3">
      <c r="A45" s="48" t="s">
        <v>21</v>
      </c>
      <c r="B45" s="48" t="str">
        <f>B42</f>
        <v>Трубопровод газ+токси</v>
      </c>
      <c r="C45" s="166" t="s">
        <v>169</v>
      </c>
      <c r="D45" s="49" t="s">
        <v>171</v>
      </c>
      <c r="E45" s="154">
        <f>E42</f>
        <v>1.0000000000000001E-5</v>
      </c>
      <c r="F45" s="155">
        <f>F42</f>
        <v>1</v>
      </c>
      <c r="G45" s="48">
        <v>0.60799999999999998</v>
      </c>
      <c r="H45" s="50">
        <f t="shared" si="46"/>
        <v>6.0800000000000002E-6</v>
      </c>
      <c r="I45" s="149">
        <f>I42</f>
        <v>6.37</v>
      </c>
      <c r="J45" s="156">
        <f>J43</f>
        <v>0.63700000000000001</v>
      </c>
      <c r="K45" s="161" t="s">
        <v>179</v>
      </c>
      <c r="L45" s="165">
        <v>45390</v>
      </c>
      <c r="M45" s="92" t="str">
        <f t="shared" si="42"/>
        <v>С4</v>
      </c>
      <c r="N45" s="92" t="str">
        <f t="shared" si="43"/>
        <v>Трубопровод газ+токси</v>
      </c>
      <c r="O45" s="92" t="str">
        <f t="shared" si="44"/>
        <v>Полное-токси</v>
      </c>
      <c r="P45" s="92" t="s">
        <v>83</v>
      </c>
      <c r="Q45" s="92" t="s">
        <v>83</v>
      </c>
      <c r="R45" s="92" t="s">
        <v>83</v>
      </c>
      <c r="S45" s="92" t="s">
        <v>83</v>
      </c>
      <c r="T45" s="92" t="s">
        <v>83</v>
      </c>
      <c r="U45" s="92" t="s">
        <v>83</v>
      </c>
      <c r="V45" s="92" t="s">
        <v>83</v>
      </c>
      <c r="W45" s="92" t="s">
        <v>83</v>
      </c>
      <c r="X45" s="92" t="s">
        <v>83</v>
      </c>
      <c r="Y45" s="92" t="s">
        <v>83</v>
      </c>
      <c r="Z45" s="92" t="s">
        <v>83</v>
      </c>
      <c r="AA45" s="92" t="s">
        <v>83</v>
      </c>
      <c r="AB45" s="92" t="s">
        <v>83</v>
      </c>
      <c r="AC45" s="92">
        <v>232.5</v>
      </c>
      <c r="AD45" s="92">
        <v>438.9</v>
      </c>
      <c r="AE45" s="92" t="s">
        <v>83</v>
      </c>
      <c r="AF45" s="92" t="s">
        <v>83</v>
      </c>
      <c r="AG45" s="92" t="s">
        <v>83</v>
      </c>
      <c r="AH45" s="92" t="s">
        <v>83</v>
      </c>
      <c r="AI45" s="92" t="s">
        <v>83</v>
      </c>
      <c r="AJ45" s="92">
        <v>1</v>
      </c>
      <c r="AK45" s="92">
        <v>1</v>
      </c>
      <c r="AL45" s="92">
        <f>AL42</f>
        <v>0.75</v>
      </c>
      <c r="AM45" s="92">
        <f>AM42</f>
        <v>2.7E-2</v>
      </c>
      <c r="AN45" s="92">
        <f>AN42</f>
        <v>3</v>
      </c>
      <c r="AO45" s="92"/>
      <c r="AP45" s="92"/>
      <c r="AQ45" s="93">
        <f>AM45*I45*0.1+AL45</f>
        <v>0.76719899999999996</v>
      </c>
      <c r="AR45" s="93">
        <f t="shared" si="47"/>
        <v>7.6719900000000008E-2</v>
      </c>
      <c r="AS45" s="94">
        <f t="shared" si="48"/>
        <v>3.25</v>
      </c>
      <c r="AT45" s="94">
        <f t="shared" si="49"/>
        <v>1.0234797250000001</v>
      </c>
      <c r="AU45" s="93">
        <f>1333*J43*POWER(10,-6)</f>
        <v>8.4912099999999999E-4</v>
      </c>
      <c r="AV45" s="94">
        <f t="shared" si="45"/>
        <v>5.1182477459999989</v>
      </c>
      <c r="AW45" s="95">
        <f t="shared" si="50"/>
        <v>6.0800000000000002E-6</v>
      </c>
      <c r="AX45" s="95">
        <f t="shared" si="51"/>
        <v>6.0800000000000002E-6</v>
      </c>
      <c r="AY45" s="95">
        <f t="shared" si="52"/>
        <v>3.1118946295679995E-5</v>
      </c>
    </row>
    <row r="46" spans="1:51" x14ac:dyDescent="0.3">
      <c r="A46" s="48" t="s">
        <v>22</v>
      </c>
      <c r="B46" s="48" t="str">
        <f>B42</f>
        <v>Трубопровод газ+токси</v>
      </c>
      <c r="C46" s="166" t="s">
        <v>186</v>
      </c>
      <c r="D46" s="49" t="s">
        <v>187</v>
      </c>
      <c r="E46" s="153">
        <v>1E-4</v>
      </c>
      <c r="F46" s="155">
        <f>F42</f>
        <v>1</v>
      </c>
      <c r="G46" s="48">
        <v>3.5000000000000003E-2</v>
      </c>
      <c r="H46" s="50">
        <f t="shared" si="46"/>
        <v>3.5000000000000004E-6</v>
      </c>
      <c r="I46" s="149">
        <f>0.15*I42</f>
        <v>0.95550000000000002</v>
      </c>
      <c r="J46" s="156">
        <f>I46</f>
        <v>0.95550000000000002</v>
      </c>
      <c r="K46" s="161" t="s">
        <v>180</v>
      </c>
      <c r="L46" s="165">
        <v>3</v>
      </c>
      <c r="M46" s="92" t="str">
        <f t="shared" si="42"/>
        <v>С5</v>
      </c>
      <c r="N46" s="92" t="str">
        <f t="shared" si="43"/>
        <v>Трубопровод газ+токси</v>
      </c>
      <c r="O46" s="92" t="str">
        <f t="shared" si="44"/>
        <v>Частичное-факел</v>
      </c>
      <c r="P46" s="92" t="s">
        <v>83</v>
      </c>
      <c r="Q46" s="92" t="s">
        <v>83</v>
      </c>
      <c r="R46" s="92" t="s">
        <v>83</v>
      </c>
      <c r="S46" s="92" t="s">
        <v>83</v>
      </c>
      <c r="T46" s="92" t="s">
        <v>83</v>
      </c>
      <c r="U46" s="92" t="s">
        <v>83</v>
      </c>
      <c r="V46" s="92" t="s">
        <v>83</v>
      </c>
      <c r="W46" s="92" t="s">
        <v>83</v>
      </c>
      <c r="X46" s="92" t="s">
        <v>83</v>
      </c>
      <c r="Y46" s="92">
        <v>11</v>
      </c>
      <c r="Z46" s="92">
        <v>2</v>
      </c>
      <c r="AA46" s="92" t="s">
        <v>83</v>
      </c>
      <c r="AB46" s="92" t="s">
        <v>83</v>
      </c>
      <c r="AC46" s="92" t="s">
        <v>83</v>
      </c>
      <c r="AD46" s="92" t="s">
        <v>83</v>
      </c>
      <c r="AE46" s="92" t="s">
        <v>83</v>
      </c>
      <c r="AF46" s="92" t="s">
        <v>83</v>
      </c>
      <c r="AG46" s="92" t="s">
        <v>83</v>
      </c>
      <c r="AH46" s="92" t="s">
        <v>83</v>
      </c>
      <c r="AI46" s="92" t="s">
        <v>83</v>
      </c>
      <c r="AJ46" s="92">
        <v>0</v>
      </c>
      <c r="AK46" s="92">
        <v>2</v>
      </c>
      <c r="AL46" s="92">
        <f>0.1*$AL$2</f>
        <v>7.5000000000000011E-2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0.10079850000000001</v>
      </c>
      <c r="AR46" s="93">
        <f t="shared" si="47"/>
        <v>1.0079850000000001E-2</v>
      </c>
      <c r="AS46" s="94">
        <f t="shared" si="48"/>
        <v>0.5</v>
      </c>
      <c r="AT46" s="94">
        <f t="shared" si="49"/>
        <v>0.1527195875</v>
      </c>
      <c r="AU46" s="93">
        <f>10068.2*J46*POWER(10,-6)</f>
        <v>9.6201650999999996E-3</v>
      </c>
      <c r="AV46" s="94">
        <f t="shared" si="45"/>
        <v>0.77321810260000001</v>
      </c>
      <c r="AW46" s="95">
        <f t="shared" si="50"/>
        <v>0</v>
      </c>
      <c r="AX46" s="95">
        <f t="shared" si="51"/>
        <v>7.0000000000000007E-6</v>
      </c>
      <c r="AY46" s="95">
        <f t="shared" si="52"/>
        <v>2.7062633591000003E-6</v>
      </c>
    </row>
    <row r="47" spans="1:51" x14ac:dyDescent="0.3">
      <c r="A47" s="48" t="s">
        <v>23</v>
      </c>
      <c r="B47" s="48" t="str">
        <f>B42</f>
        <v>Трубопровод газ+токси</v>
      </c>
      <c r="C47" s="166" t="s">
        <v>188</v>
      </c>
      <c r="D47" s="49" t="s">
        <v>189</v>
      </c>
      <c r="E47" s="154">
        <f>E46</f>
        <v>1E-4</v>
      </c>
      <c r="F47" s="155">
        <v>1</v>
      </c>
      <c r="G47" s="48">
        <v>8.3000000000000001E-3</v>
      </c>
      <c r="H47" s="50">
        <f t="shared" si="46"/>
        <v>8.300000000000001E-7</v>
      </c>
      <c r="I47" s="149">
        <f>I46</f>
        <v>0.95550000000000002</v>
      </c>
      <c r="J47" s="156">
        <f>J43*0.15</f>
        <v>9.5549999999999996E-2</v>
      </c>
      <c r="K47" s="160" t="s">
        <v>191</v>
      </c>
      <c r="L47" s="217">
        <v>5</v>
      </c>
      <c r="M47" s="92" t="str">
        <f t="shared" si="42"/>
        <v>С6</v>
      </c>
      <c r="N47" s="92" t="str">
        <f t="shared" si="43"/>
        <v>Трубопровод газ+токси</v>
      </c>
      <c r="O47" s="92" t="str">
        <f t="shared" si="44"/>
        <v>Частичное-взрыв</v>
      </c>
      <c r="P47" s="92" t="s">
        <v>83</v>
      </c>
      <c r="Q47" s="92" t="s">
        <v>83</v>
      </c>
      <c r="R47" s="92" t="s">
        <v>83</v>
      </c>
      <c r="S47" s="92" t="s">
        <v>83</v>
      </c>
      <c r="T47" s="92">
        <v>0</v>
      </c>
      <c r="U47" s="92">
        <v>0</v>
      </c>
      <c r="V47" s="92">
        <v>34.6</v>
      </c>
      <c r="W47" s="92">
        <v>115.6</v>
      </c>
      <c r="X47" s="92">
        <v>300.60000000000002</v>
      </c>
      <c r="Y47" s="92" t="s">
        <v>83</v>
      </c>
      <c r="Z47" s="92" t="s">
        <v>83</v>
      </c>
      <c r="AA47" s="92" t="s">
        <v>83</v>
      </c>
      <c r="AB47" s="92" t="s">
        <v>83</v>
      </c>
      <c r="AC47" s="92" t="s">
        <v>83</v>
      </c>
      <c r="AD47" s="92" t="s">
        <v>83</v>
      </c>
      <c r="AE47" s="92" t="s">
        <v>83</v>
      </c>
      <c r="AF47" s="92" t="s">
        <v>83</v>
      </c>
      <c r="AG47" s="92" t="s">
        <v>83</v>
      </c>
      <c r="AH47" s="92" t="s">
        <v>83</v>
      </c>
      <c r="AI47" s="92" t="s">
        <v>83</v>
      </c>
      <c r="AJ47" s="92">
        <v>0</v>
      </c>
      <c r="AK47" s="92">
        <v>2</v>
      </c>
      <c r="AL47" s="92">
        <f>0.1*$AL$2</f>
        <v>7.5000000000000011E-2</v>
      </c>
      <c r="AM47" s="92">
        <f>AM42</f>
        <v>2.7E-2</v>
      </c>
      <c r="AN47" s="92">
        <f>AN46</f>
        <v>1</v>
      </c>
      <c r="AO47" s="92"/>
      <c r="AP47" s="92"/>
      <c r="AQ47" s="93">
        <f>AM47*I47+AL47</f>
        <v>0.10079850000000001</v>
      </c>
      <c r="AR47" s="93">
        <f t="shared" si="47"/>
        <v>1.0079850000000001E-2</v>
      </c>
      <c r="AS47" s="94">
        <f t="shared" si="48"/>
        <v>0.5</v>
      </c>
      <c r="AT47" s="94">
        <f t="shared" si="49"/>
        <v>0.1527195875</v>
      </c>
      <c r="AU47" s="93">
        <f>10068.2*J47*POWER(10,-6)*10</f>
        <v>9.6201650999999996E-3</v>
      </c>
      <c r="AV47" s="94">
        <f t="shared" si="45"/>
        <v>0.77321810260000001</v>
      </c>
      <c r="AW47" s="95">
        <f t="shared" si="50"/>
        <v>0</v>
      </c>
      <c r="AX47" s="95">
        <f t="shared" si="51"/>
        <v>1.6600000000000002E-6</v>
      </c>
      <c r="AY47" s="95">
        <f t="shared" si="52"/>
        <v>6.4177102515800009E-7</v>
      </c>
    </row>
    <row r="48" spans="1:51" x14ac:dyDescent="0.3">
      <c r="A48" s="48" t="s">
        <v>210</v>
      </c>
      <c r="B48" s="48" t="str">
        <f>B42</f>
        <v>Трубопровод газ+токси</v>
      </c>
      <c r="C48" s="166" t="s">
        <v>163</v>
      </c>
      <c r="D48" s="49" t="s">
        <v>165</v>
      </c>
      <c r="E48" s="154">
        <f>E46</f>
        <v>1E-4</v>
      </c>
      <c r="F48" s="155">
        <f>F42</f>
        <v>1</v>
      </c>
      <c r="G48" s="48">
        <v>2.64E-2</v>
      </c>
      <c r="H48" s="50">
        <f t="shared" si="46"/>
        <v>2.6400000000000001E-6</v>
      </c>
      <c r="I48" s="149">
        <f>0.15*I42</f>
        <v>0.95550000000000002</v>
      </c>
      <c r="J48" s="156">
        <f>J44*0.15</f>
        <v>9.5549999999999996E-2</v>
      </c>
      <c r="K48" s="161"/>
      <c r="L48" s="165"/>
      <c r="M48" s="92" t="str">
        <f t="shared" si="42"/>
        <v>С7</v>
      </c>
      <c r="N48" s="92" t="str">
        <f t="shared" si="43"/>
        <v>Трубопровод газ+токси</v>
      </c>
      <c r="O48" s="92" t="str">
        <f t="shared" si="44"/>
        <v>Частичное-пожар-вспышка</v>
      </c>
      <c r="P48" s="92" t="s">
        <v>83</v>
      </c>
      <c r="Q48" s="92" t="s">
        <v>83</v>
      </c>
      <c r="R48" s="92" t="s">
        <v>83</v>
      </c>
      <c r="S48" s="92" t="s">
        <v>83</v>
      </c>
      <c r="T48" s="92" t="s">
        <v>83</v>
      </c>
      <c r="U48" s="92" t="s">
        <v>83</v>
      </c>
      <c r="V48" s="92" t="s">
        <v>83</v>
      </c>
      <c r="W48" s="92" t="s">
        <v>83</v>
      </c>
      <c r="X48" s="92" t="s">
        <v>83</v>
      </c>
      <c r="Y48" s="92" t="s">
        <v>83</v>
      </c>
      <c r="Z48" s="92" t="s">
        <v>83</v>
      </c>
      <c r="AA48" s="92">
        <v>15.44</v>
      </c>
      <c r="AB48" s="92">
        <v>18.53</v>
      </c>
      <c r="AC48" s="92" t="s">
        <v>83</v>
      </c>
      <c r="AD48" s="92" t="s">
        <v>83</v>
      </c>
      <c r="AE48" s="92" t="s">
        <v>83</v>
      </c>
      <c r="AF48" s="92" t="s">
        <v>83</v>
      </c>
      <c r="AG48" s="92" t="s">
        <v>83</v>
      </c>
      <c r="AH48" s="92" t="s">
        <v>83</v>
      </c>
      <c r="AI48" s="92" t="s">
        <v>83</v>
      </c>
      <c r="AJ48" s="92">
        <v>0</v>
      </c>
      <c r="AK48" s="92">
        <v>1</v>
      </c>
      <c r="AL48" s="92">
        <f>0.1*$AL$2</f>
        <v>7.5000000000000011E-2</v>
      </c>
      <c r="AM48" s="92">
        <f>AM42</f>
        <v>2.7E-2</v>
      </c>
      <c r="AN48" s="92">
        <f>ROUNDUP(AN42/3,0)</f>
        <v>1</v>
      </c>
      <c r="AO48" s="92"/>
      <c r="AP48" s="92"/>
      <c r="AQ48" s="93">
        <f>AM48*I48+AL48</f>
        <v>0.10079850000000001</v>
      </c>
      <c r="AR48" s="93">
        <f t="shared" si="47"/>
        <v>1.0079850000000001E-2</v>
      </c>
      <c r="AS48" s="94">
        <f t="shared" si="48"/>
        <v>0.25</v>
      </c>
      <c r="AT48" s="94">
        <f t="shared" si="49"/>
        <v>9.0219587500000004E-2</v>
      </c>
      <c r="AU48" s="93">
        <f>10068.2*J48*POWER(10,-6)*10</f>
        <v>9.6201650999999996E-3</v>
      </c>
      <c r="AV48" s="94">
        <f t="shared" si="45"/>
        <v>0.46071810260000001</v>
      </c>
      <c r="AW48" s="95">
        <f t="shared" si="50"/>
        <v>0</v>
      </c>
      <c r="AX48" s="95">
        <f t="shared" si="51"/>
        <v>2.6400000000000001E-6</v>
      </c>
      <c r="AY48" s="95">
        <f t="shared" si="52"/>
        <v>1.2162957908640002E-6</v>
      </c>
    </row>
    <row r="49" spans="1:51" ht="15" thickBot="1" x14ac:dyDescent="0.35">
      <c r="A49" s="48" t="s">
        <v>211</v>
      </c>
      <c r="B49" s="48" t="str">
        <f>B42</f>
        <v>Трубопровод газ+токси</v>
      </c>
      <c r="C49" s="166" t="s">
        <v>170</v>
      </c>
      <c r="D49" s="49" t="s">
        <v>172</v>
      </c>
      <c r="E49" s="154">
        <f>E46</f>
        <v>1E-4</v>
      </c>
      <c r="F49" s="155">
        <f>F42</f>
        <v>1</v>
      </c>
      <c r="G49" s="48">
        <v>0.93030000000000002</v>
      </c>
      <c r="H49" s="50">
        <f t="shared" si="46"/>
        <v>9.3030000000000009E-5</v>
      </c>
      <c r="I49" s="149">
        <f>0.15*I42</f>
        <v>0.95550000000000002</v>
      </c>
      <c r="J49" s="156">
        <f>J48</f>
        <v>9.5549999999999996E-2</v>
      </c>
      <c r="K49" s="162"/>
      <c r="L49" s="163"/>
      <c r="M49" s="92" t="str">
        <f t="shared" si="42"/>
        <v>С8</v>
      </c>
      <c r="N49" s="92" t="str">
        <f t="shared" si="43"/>
        <v>Трубопровод газ+токси</v>
      </c>
      <c r="O49" s="92" t="str">
        <f t="shared" si="44"/>
        <v>Частичное-токси</v>
      </c>
      <c r="P49" s="92" t="s">
        <v>83</v>
      </c>
      <c r="Q49" s="92" t="s">
        <v>83</v>
      </c>
      <c r="R49" s="92" t="s">
        <v>83</v>
      </c>
      <c r="S49" s="92" t="s">
        <v>83</v>
      </c>
      <c r="T49" s="92" t="s">
        <v>83</v>
      </c>
      <c r="U49" s="92" t="s">
        <v>83</v>
      </c>
      <c r="V49" s="92" t="s">
        <v>83</v>
      </c>
      <c r="W49" s="92" t="s">
        <v>83</v>
      </c>
      <c r="X49" s="92" t="s">
        <v>83</v>
      </c>
      <c r="Y49" s="92" t="s">
        <v>83</v>
      </c>
      <c r="Z49" s="92" t="s">
        <v>83</v>
      </c>
      <c r="AA49" s="92" t="s">
        <v>83</v>
      </c>
      <c r="AB49" s="92" t="s">
        <v>83</v>
      </c>
      <c r="AC49" s="92">
        <v>34.9</v>
      </c>
      <c r="AD49" s="92">
        <v>65.8</v>
      </c>
      <c r="AE49" s="92" t="s">
        <v>83</v>
      </c>
      <c r="AF49" s="92" t="s">
        <v>83</v>
      </c>
      <c r="AG49" s="92" t="s">
        <v>83</v>
      </c>
      <c r="AH49" s="92" t="s">
        <v>83</v>
      </c>
      <c r="AI49" s="92" t="s">
        <v>83</v>
      </c>
      <c r="AJ49" s="92">
        <v>0</v>
      </c>
      <c r="AK49" s="92">
        <v>1</v>
      </c>
      <c r="AL49" s="92">
        <f>0.1*$AL$2</f>
        <v>7.5000000000000011E-2</v>
      </c>
      <c r="AM49" s="92">
        <f>AM42</f>
        <v>2.7E-2</v>
      </c>
      <c r="AN49" s="92">
        <f>ROUNDUP(AN42/3,0)</f>
        <v>1</v>
      </c>
      <c r="AO49" s="92"/>
      <c r="AP49" s="92"/>
      <c r="AQ49" s="93">
        <f>AM49*I49*0.1+AL49</f>
        <v>7.7579850000000006E-2</v>
      </c>
      <c r="AR49" s="93">
        <f t="shared" si="47"/>
        <v>7.7579850000000011E-3</v>
      </c>
      <c r="AS49" s="94">
        <f t="shared" si="48"/>
        <v>0.25</v>
      </c>
      <c r="AT49" s="94">
        <f t="shared" si="49"/>
        <v>8.3834458750000007E-2</v>
      </c>
      <c r="AU49" s="93">
        <f>1333*J48*POWER(10,-6)</f>
        <v>1.2736814999999999E-4</v>
      </c>
      <c r="AV49" s="94">
        <f t="shared" si="45"/>
        <v>0.41929966190000001</v>
      </c>
      <c r="AW49" s="95">
        <f t="shared" si="50"/>
        <v>0</v>
      </c>
      <c r="AX49" s="95">
        <f t="shared" si="51"/>
        <v>9.3030000000000009E-5</v>
      </c>
      <c r="AY49" s="95">
        <f t="shared" si="52"/>
        <v>3.9007447546557005E-5</v>
      </c>
    </row>
    <row r="50" spans="1:51" x14ac:dyDescent="0.3">
      <c r="A50" s="52"/>
      <c r="B50" s="52"/>
      <c r="C50" s="92"/>
      <c r="D50" s="254"/>
      <c r="E50" s="255"/>
      <c r="F50" s="256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3"/>
      <c r="AR50" s="93"/>
      <c r="AS50" s="94"/>
      <c r="AT50" s="94"/>
      <c r="AU50" s="93"/>
      <c r="AV50" s="94"/>
      <c r="AW50" s="95"/>
      <c r="AX50" s="95"/>
      <c r="AY50" s="95"/>
    </row>
    <row r="51" spans="1:51" ht="15" thickBot="1" x14ac:dyDescent="0.35"/>
    <row r="52" spans="1:51" s="202" customFormat="1" ht="15" thickBot="1" x14ac:dyDescent="0.35">
      <c r="A52" s="193" t="s">
        <v>18</v>
      </c>
      <c r="B52" s="194" t="s">
        <v>193</v>
      </c>
      <c r="C52" s="51" t="s">
        <v>196</v>
      </c>
      <c r="D52" s="195" t="s">
        <v>59</v>
      </c>
      <c r="E52" s="196">
        <v>3.4999999999999997E-5</v>
      </c>
      <c r="F52" s="194">
        <v>1</v>
      </c>
      <c r="G52" s="193">
        <v>0.05</v>
      </c>
      <c r="H52" s="197">
        <f t="shared" ref="H52:H57" si="53">E52*F52*G52</f>
        <v>1.75E-6</v>
      </c>
      <c r="I52" s="198">
        <v>12.36</v>
      </c>
      <c r="J52" s="199">
        <f>I52</f>
        <v>12.36</v>
      </c>
      <c r="K52" s="200" t="s">
        <v>175</v>
      </c>
      <c r="L52" s="201">
        <v>300</v>
      </c>
      <c r="M52" s="202" t="str">
        <f t="shared" ref="M52:N57" si="54">A52</f>
        <v>С1</v>
      </c>
      <c r="N52" s="202" t="str">
        <f t="shared" si="54"/>
        <v>А/ц ЛВЖ</v>
      </c>
      <c r="O52" s="202" t="str">
        <f t="shared" ref="O52:O57" si="55">D52</f>
        <v>Полное-пожар</v>
      </c>
      <c r="P52" s="202" t="s">
        <v>83</v>
      </c>
      <c r="Q52" s="202" t="s">
        <v>83</v>
      </c>
      <c r="R52" s="202" t="s">
        <v>83</v>
      </c>
      <c r="S52" s="202" t="s">
        <v>83</v>
      </c>
      <c r="T52" s="202" t="s">
        <v>83</v>
      </c>
      <c r="U52" s="202" t="s">
        <v>83</v>
      </c>
      <c r="V52" s="202" t="s">
        <v>83</v>
      </c>
      <c r="W52" s="202" t="s">
        <v>83</v>
      </c>
      <c r="X52" s="202" t="s">
        <v>83</v>
      </c>
      <c r="Y52" s="202" t="s">
        <v>83</v>
      </c>
      <c r="Z52" s="202" t="s">
        <v>83</v>
      </c>
      <c r="AA52" s="202" t="s">
        <v>83</v>
      </c>
      <c r="AB52" s="202" t="s">
        <v>83</v>
      </c>
      <c r="AC52" s="202" t="s">
        <v>83</v>
      </c>
      <c r="AD52" s="202" t="s">
        <v>83</v>
      </c>
      <c r="AE52" s="202" t="s">
        <v>83</v>
      </c>
      <c r="AF52" s="202" t="s">
        <v>83</v>
      </c>
      <c r="AG52" s="202" t="s">
        <v>83</v>
      </c>
      <c r="AH52" s="202" t="s">
        <v>83</v>
      </c>
      <c r="AI52" s="202" t="s">
        <v>83</v>
      </c>
      <c r="AJ52" s="203">
        <v>1</v>
      </c>
      <c r="AK52" s="203">
        <v>2</v>
      </c>
      <c r="AL52" s="204">
        <v>0.75</v>
      </c>
      <c r="AM52" s="204">
        <v>2.7E-2</v>
      </c>
      <c r="AN52" s="204">
        <v>3</v>
      </c>
      <c r="AQ52" s="205">
        <f>AM52*I52+AL52</f>
        <v>1.08372</v>
      </c>
      <c r="AR52" s="205">
        <f t="shared" ref="AR52:AR57" si="56">0.1*AQ52</f>
        <v>0.10837200000000001</v>
      </c>
      <c r="AS52" s="206">
        <f t="shared" ref="AS52:AS57" si="57">AJ52*3+0.25*AK52</f>
        <v>3.5</v>
      </c>
      <c r="AT52" s="206">
        <f t="shared" ref="AT52:AT57" si="58">SUM(AQ52:AS52)/4</f>
        <v>1.1730229999999999</v>
      </c>
      <c r="AU52" s="205">
        <f>10068.2*J52*POWER(10,-6)</f>
        <v>0.124442952</v>
      </c>
      <c r="AV52" s="206">
        <f t="shared" ref="AV52:AV57" si="59">AU52+AT52+AS52+AR52+AQ52</f>
        <v>5.9895579520000002</v>
      </c>
      <c r="AW52" s="207">
        <f t="shared" ref="AW52:AW57" si="60">AJ52*H52</f>
        <v>1.75E-6</v>
      </c>
      <c r="AX52" s="207">
        <f t="shared" ref="AX52:AX57" si="61">H52*AK52</f>
        <v>3.4999999999999999E-6</v>
      </c>
      <c r="AY52" s="207">
        <f t="shared" ref="AY52:AY57" si="62">H52*AV52</f>
        <v>1.0481726416000001E-5</v>
      </c>
    </row>
    <row r="53" spans="1:51" s="202" customFormat="1" ht="15" thickBot="1" x14ac:dyDescent="0.35">
      <c r="A53" s="193" t="s">
        <v>19</v>
      </c>
      <c r="B53" s="193" t="str">
        <f>B52</f>
        <v>А/ц ЛВЖ</v>
      </c>
      <c r="C53" s="51" t="s">
        <v>197</v>
      </c>
      <c r="D53" s="195" t="s">
        <v>62</v>
      </c>
      <c r="E53" s="208">
        <f>E52</f>
        <v>3.4999999999999997E-5</v>
      </c>
      <c r="F53" s="209">
        <f>F52</f>
        <v>1</v>
      </c>
      <c r="G53" s="193">
        <v>4.7500000000000001E-2</v>
      </c>
      <c r="H53" s="197">
        <f t="shared" si="53"/>
        <v>1.6625E-6</v>
      </c>
      <c r="I53" s="210">
        <f>I52</f>
        <v>12.36</v>
      </c>
      <c r="J53" s="211">
        <v>0.625</v>
      </c>
      <c r="K53" s="200" t="s">
        <v>176</v>
      </c>
      <c r="L53" s="201">
        <v>0</v>
      </c>
      <c r="M53" s="202" t="str">
        <f t="shared" si="54"/>
        <v>С2</v>
      </c>
      <c r="N53" s="202" t="str">
        <f t="shared" si="54"/>
        <v>А/ц ЛВЖ</v>
      </c>
      <c r="O53" s="202" t="str">
        <f t="shared" si="55"/>
        <v>Полное-взрыв</v>
      </c>
      <c r="P53" s="202" t="s">
        <v>83</v>
      </c>
      <c r="Q53" s="202" t="s">
        <v>83</v>
      </c>
      <c r="R53" s="202" t="s">
        <v>83</v>
      </c>
      <c r="S53" s="202" t="s">
        <v>83</v>
      </c>
      <c r="T53" s="202" t="s">
        <v>83</v>
      </c>
      <c r="U53" s="202" t="s">
        <v>83</v>
      </c>
      <c r="V53" s="202" t="s">
        <v>83</v>
      </c>
      <c r="W53" s="202" t="s">
        <v>83</v>
      </c>
      <c r="X53" s="202" t="s">
        <v>83</v>
      </c>
      <c r="Y53" s="202" t="s">
        <v>83</v>
      </c>
      <c r="Z53" s="202" t="s">
        <v>83</v>
      </c>
      <c r="AA53" s="202" t="s">
        <v>83</v>
      </c>
      <c r="AB53" s="202" t="s">
        <v>83</v>
      </c>
      <c r="AC53" s="202" t="s">
        <v>83</v>
      </c>
      <c r="AD53" s="202" t="s">
        <v>83</v>
      </c>
      <c r="AE53" s="202" t="s">
        <v>83</v>
      </c>
      <c r="AF53" s="202" t="s">
        <v>83</v>
      </c>
      <c r="AG53" s="202" t="s">
        <v>83</v>
      </c>
      <c r="AH53" s="202" t="s">
        <v>83</v>
      </c>
      <c r="AI53" s="202" t="s">
        <v>83</v>
      </c>
      <c r="AJ53" s="203">
        <v>2</v>
      </c>
      <c r="AK53" s="203">
        <v>2</v>
      </c>
      <c r="AL53" s="202">
        <f>AL52</f>
        <v>0.75</v>
      </c>
      <c r="AM53" s="202">
        <f>AM52</f>
        <v>2.7E-2</v>
      </c>
      <c r="AN53" s="202">
        <f>AN52</f>
        <v>3</v>
      </c>
      <c r="AQ53" s="205">
        <f>AM53*I53+AL53</f>
        <v>1.08372</v>
      </c>
      <c r="AR53" s="205">
        <f t="shared" si="56"/>
        <v>0.10837200000000001</v>
      </c>
      <c r="AS53" s="206">
        <f t="shared" si="57"/>
        <v>6.5</v>
      </c>
      <c r="AT53" s="206">
        <f t="shared" si="58"/>
        <v>1.9230229999999999</v>
      </c>
      <c r="AU53" s="205">
        <f>10068.2*J53*POWER(10,-6)*10</f>
        <v>6.2926249999999989E-2</v>
      </c>
      <c r="AV53" s="206">
        <f t="shared" si="59"/>
        <v>9.6780412499999997</v>
      </c>
      <c r="AW53" s="207">
        <f t="shared" si="60"/>
        <v>3.3249999999999999E-6</v>
      </c>
      <c r="AX53" s="207">
        <f t="shared" si="61"/>
        <v>3.3249999999999999E-6</v>
      </c>
      <c r="AY53" s="207">
        <f t="shared" si="62"/>
        <v>1.6089743578124998E-5</v>
      </c>
    </row>
    <row r="54" spans="1:51" s="202" customFormat="1" x14ac:dyDescent="0.3">
      <c r="A54" s="193" t="s">
        <v>20</v>
      </c>
      <c r="B54" s="193" t="str">
        <f>B52</f>
        <v>А/ц ЛВЖ</v>
      </c>
      <c r="C54" s="51" t="s">
        <v>198</v>
      </c>
      <c r="D54" s="195" t="s">
        <v>60</v>
      </c>
      <c r="E54" s="208">
        <f>E52</f>
        <v>3.4999999999999997E-5</v>
      </c>
      <c r="F54" s="209">
        <f>F52</f>
        <v>1</v>
      </c>
      <c r="G54" s="193">
        <v>0.90249999999999997</v>
      </c>
      <c r="H54" s="197">
        <f t="shared" si="53"/>
        <v>3.1587499999999995E-5</v>
      </c>
      <c r="I54" s="210">
        <f>I52</f>
        <v>12.36</v>
      </c>
      <c r="J54" s="212">
        <v>0</v>
      </c>
      <c r="K54" s="200" t="s">
        <v>177</v>
      </c>
      <c r="L54" s="201">
        <v>0</v>
      </c>
      <c r="M54" s="202" t="str">
        <f t="shared" si="54"/>
        <v>С3</v>
      </c>
      <c r="N54" s="202" t="str">
        <f t="shared" si="54"/>
        <v>А/ц ЛВЖ</v>
      </c>
      <c r="O54" s="202" t="str">
        <f t="shared" si="55"/>
        <v>Полное-ликвидация</v>
      </c>
      <c r="P54" s="202" t="s">
        <v>83</v>
      </c>
      <c r="Q54" s="202" t="s">
        <v>83</v>
      </c>
      <c r="R54" s="202" t="s">
        <v>83</v>
      </c>
      <c r="S54" s="202" t="s">
        <v>83</v>
      </c>
      <c r="T54" s="202" t="s">
        <v>83</v>
      </c>
      <c r="U54" s="202" t="s">
        <v>83</v>
      </c>
      <c r="V54" s="202" t="s">
        <v>83</v>
      </c>
      <c r="W54" s="202" t="s">
        <v>83</v>
      </c>
      <c r="X54" s="202" t="s">
        <v>83</v>
      </c>
      <c r="Y54" s="202" t="s">
        <v>83</v>
      </c>
      <c r="Z54" s="202" t="s">
        <v>83</v>
      </c>
      <c r="AA54" s="202" t="s">
        <v>83</v>
      </c>
      <c r="AB54" s="202" t="s">
        <v>83</v>
      </c>
      <c r="AC54" s="202" t="s">
        <v>83</v>
      </c>
      <c r="AD54" s="202" t="s">
        <v>83</v>
      </c>
      <c r="AE54" s="202" t="s">
        <v>83</v>
      </c>
      <c r="AF54" s="202" t="s">
        <v>83</v>
      </c>
      <c r="AG54" s="202" t="s">
        <v>83</v>
      </c>
      <c r="AH54" s="202" t="s">
        <v>83</v>
      </c>
      <c r="AI54" s="202" t="s">
        <v>83</v>
      </c>
      <c r="AJ54" s="202">
        <v>0</v>
      </c>
      <c r="AK54" s="202">
        <v>0</v>
      </c>
      <c r="AL54" s="202">
        <f>AL52</f>
        <v>0.75</v>
      </c>
      <c r="AM54" s="202">
        <f>AM52</f>
        <v>2.7E-2</v>
      </c>
      <c r="AN54" s="202">
        <f>AN52</f>
        <v>3</v>
      </c>
      <c r="AQ54" s="205">
        <f>AM54*I54*0.1+AL54</f>
        <v>0.78337199999999996</v>
      </c>
      <c r="AR54" s="205">
        <f t="shared" si="56"/>
        <v>7.8337199999999996E-2</v>
      </c>
      <c r="AS54" s="206">
        <f t="shared" si="57"/>
        <v>0</v>
      </c>
      <c r="AT54" s="206">
        <f t="shared" si="58"/>
        <v>0.21542729999999999</v>
      </c>
      <c r="AU54" s="205">
        <f>1333*J53*POWER(10,-6)</f>
        <v>8.3312499999999999E-4</v>
      </c>
      <c r="AV54" s="206">
        <f t="shared" si="59"/>
        <v>1.0779696249999999</v>
      </c>
      <c r="AW54" s="207">
        <f t="shared" si="60"/>
        <v>0</v>
      </c>
      <c r="AX54" s="207">
        <f t="shared" si="61"/>
        <v>0</v>
      </c>
      <c r="AY54" s="207">
        <f t="shared" si="62"/>
        <v>3.4050365529687493E-5</v>
      </c>
    </row>
    <row r="55" spans="1:51" s="202" customFormat="1" x14ac:dyDescent="0.3">
      <c r="A55" s="193" t="s">
        <v>21</v>
      </c>
      <c r="B55" s="193" t="str">
        <f>B52</f>
        <v>А/ц ЛВЖ</v>
      </c>
      <c r="C55" s="51" t="s">
        <v>199</v>
      </c>
      <c r="D55" s="195" t="s">
        <v>84</v>
      </c>
      <c r="E55" s="196">
        <v>2.2000000000000001E-4</v>
      </c>
      <c r="F55" s="209">
        <f>F52</f>
        <v>1</v>
      </c>
      <c r="G55" s="193">
        <v>0.05</v>
      </c>
      <c r="H55" s="197">
        <f t="shared" si="53"/>
        <v>1.1000000000000001E-5</v>
      </c>
      <c r="I55" s="210">
        <f>0.15*I52</f>
        <v>1.8539999999999999</v>
      </c>
      <c r="J55" s="199">
        <f>I55</f>
        <v>1.8539999999999999</v>
      </c>
      <c r="K55" s="213" t="s">
        <v>179</v>
      </c>
      <c r="L55" s="214">
        <v>45390</v>
      </c>
      <c r="M55" s="202" t="str">
        <f t="shared" si="54"/>
        <v>С4</v>
      </c>
      <c r="N55" s="202" t="str">
        <f t="shared" si="54"/>
        <v>А/ц ЛВЖ</v>
      </c>
      <c r="O55" s="202" t="str">
        <f t="shared" si="55"/>
        <v>Частичное-пожар</v>
      </c>
      <c r="P55" s="202" t="s">
        <v>83</v>
      </c>
      <c r="Q55" s="202" t="s">
        <v>83</v>
      </c>
      <c r="R55" s="202" t="s">
        <v>83</v>
      </c>
      <c r="S55" s="202" t="s">
        <v>83</v>
      </c>
      <c r="T55" s="202" t="s">
        <v>83</v>
      </c>
      <c r="U55" s="202" t="s">
        <v>83</v>
      </c>
      <c r="V55" s="202" t="s">
        <v>83</v>
      </c>
      <c r="W55" s="202" t="s">
        <v>83</v>
      </c>
      <c r="X55" s="202" t="s">
        <v>83</v>
      </c>
      <c r="Y55" s="202" t="s">
        <v>83</v>
      </c>
      <c r="Z55" s="202" t="s">
        <v>83</v>
      </c>
      <c r="AA55" s="202" t="s">
        <v>83</v>
      </c>
      <c r="AB55" s="202" t="s">
        <v>83</v>
      </c>
      <c r="AC55" s="202" t="s">
        <v>83</v>
      </c>
      <c r="AD55" s="202" t="s">
        <v>83</v>
      </c>
      <c r="AE55" s="202" t="s">
        <v>83</v>
      </c>
      <c r="AF55" s="202" t="s">
        <v>83</v>
      </c>
      <c r="AG55" s="202" t="s">
        <v>83</v>
      </c>
      <c r="AH55" s="202" t="s">
        <v>83</v>
      </c>
      <c r="AI55" s="202" t="s">
        <v>83</v>
      </c>
      <c r="AJ55" s="202">
        <v>0</v>
      </c>
      <c r="AK55" s="202">
        <v>2</v>
      </c>
      <c r="AL55" s="202">
        <f>0.1*$AL$2</f>
        <v>7.5000000000000011E-2</v>
      </c>
      <c r="AM55" s="202">
        <f>AM52</f>
        <v>2.7E-2</v>
      </c>
      <c r="AN55" s="202">
        <f>ROUNDUP(AN52/3,0)</f>
        <v>1</v>
      </c>
      <c r="AQ55" s="205">
        <f>AM55*I55+AL55</f>
        <v>0.125058</v>
      </c>
      <c r="AR55" s="205">
        <f t="shared" si="56"/>
        <v>1.2505800000000001E-2</v>
      </c>
      <c r="AS55" s="206">
        <f t="shared" si="57"/>
        <v>0.5</v>
      </c>
      <c r="AT55" s="206">
        <f t="shared" si="58"/>
        <v>0.15939095</v>
      </c>
      <c r="AU55" s="205">
        <f>10068.2*J55*POWER(10,-6)</f>
        <v>1.8666442799999999E-2</v>
      </c>
      <c r="AV55" s="206">
        <f t="shared" si="59"/>
        <v>0.81562119280000001</v>
      </c>
      <c r="AW55" s="207">
        <f t="shared" si="60"/>
        <v>0</v>
      </c>
      <c r="AX55" s="207">
        <f t="shared" si="61"/>
        <v>2.2000000000000003E-5</v>
      </c>
      <c r="AY55" s="207">
        <f t="shared" si="62"/>
        <v>8.9718331208000015E-6</v>
      </c>
    </row>
    <row r="56" spans="1:51" s="202" customFormat="1" x14ac:dyDescent="0.3">
      <c r="A56" s="193" t="s">
        <v>22</v>
      </c>
      <c r="B56" s="193" t="str">
        <f>B52</f>
        <v>А/ц ЛВЖ</v>
      </c>
      <c r="C56" s="51" t="s">
        <v>200</v>
      </c>
      <c r="D56" s="195" t="s">
        <v>165</v>
      </c>
      <c r="E56" s="208">
        <f>E55</f>
        <v>2.2000000000000001E-4</v>
      </c>
      <c r="F56" s="209">
        <f>F52</f>
        <v>1</v>
      </c>
      <c r="G56" s="193">
        <v>4.7500000000000001E-2</v>
      </c>
      <c r="H56" s="197">
        <f t="shared" si="53"/>
        <v>1.045E-5</v>
      </c>
      <c r="I56" s="210">
        <f>0.15*I52</f>
        <v>1.8539999999999999</v>
      </c>
      <c r="J56" s="199">
        <f>0.15*J53</f>
        <v>9.375E-2</v>
      </c>
      <c r="K56" s="213" t="s">
        <v>180</v>
      </c>
      <c r="L56" s="214">
        <v>3</v>
      </c>
      <c r="M56" s="202" t="str">
        <f t="shared" si="54"/>
        <v>С5</v>
      </c>
      <c r="N56" s="202" t="str">
        <f t="shared" si="54"/>
        <v>А/ц ЛВЖ</v>
      </c>
      <c r="O56" s="202" t="str">
        <f t="shared" si="55"/>
        <v>Частичное-пожар-вспышка</v>
      </c>
      <c r="P56" s="202" t="s">
        <v>83</v>
      </c>
      <c r="Q56" s="202" t="s">
        <v>83</v>
      </c>
      <c r="R56" s="202" t="s">
        <v>83</v>
      </c>
      <c r="S56" s="202" t="s">
        <v>83</v>
      </c>
      <c r="T56" s="202" t="s">
        <v>83</v>
      </c>
      <c r="U56" s="202" t="s">
        <v>83</v>
      </c>
      <c r="V56" s="202" t="s">
        <v>83</v>
      </c>
      <c r="W56" s="202" t="s">
        <v>83</v>
      </c>
      <c r="X56" s="202" t="s">
        <v>83</v>
      </c>
      <c r="Y56" s="202" t="s">
        <v>83</v>
      </c>
      <c r="Z56" s="202" t="s">
        <v>83</v>
      </c>
      <c r="AA56" s="202" t="s">
        <v>83</v>
      </c>
      <c r="AB56" s="202" t="s">
        <v>83</v>
      </c>
      <c r="AC56" s="202" t="s">
        <v>83</v>
      </c>
      <c r="AD56" s="202" t="s">
        <v>83</v>
      </c>
      <c r="AE56" s="202" t="s">
        <v>83</v>
      </c>
      <c r="AF56" s="202" t="s">
        <v>83</v>
      </c>
      <c r="AG56" s="202" t="s">
        <v>83</v>
      </c>
      <c r="AH56" s="202" t="s">
        <v>83</v>
      </c>
      <c r="AI56" s="202" t="s">
        <v>83</v>
      </c>
      <c r="AJ56" s="202">
        <v>0</v>
      </c>
      <c r="AK56" s="202">
        <v>1</v>
      </c>
      <c r="AL56" s="202">
        <f>0.1*$AL$2</f>
        <v>7.5000000000000011E-2</v>
      </c>
      <c r="AM56" s="202">
        <f>AM52</f>
        <v>2.7E-2</v>
      </c>
      <c r="AN56" s="202">
        <f>ROUNDUP(AN52/3,0)</f>
        <v>1</v>
      </c>
      <c r="AQ56" s="205">
        <f>AM56*I56+AL56</f>
        <v>0.125058</v>
      </c>
      <c r="AR56" s="205">
        <f t="shared" si="56"/>
        <v>1.2505800000000001E-2</v>
      </c>
      <c r="AS56" s="206">
        <f t="shared" si="57"/>
        <v>0.25</v>
      </c>
      <c r="AT56" s="206">
        <f t="shared" si="58"/>
        <v>9.6890950000000003E-2</v>
      </c>
      <c r="AU56" s="205">
        <f>10068.2*J56*POWER(10,-6)*10</f>
        <v>9.4389375000000011E-3</v>
      </c>
      <c r="AV56" s="206">
        <f t="shared" si="59"/>
        <v>0.49389368750000001</v>
      </c>
      <c r="AW56" s="207">
        <f t="shared" si="60"/>
        <v>0</v>
      </c>
      <c r="AX56" s="207">
        <f t="shared" si="61"/>
        <v>1.045E-5</v>
      </c>
      <c r="AY56" s="207">
        <f t="shared" si="62"/>
        <v>5.1611890343749998E-6</v>
      </c>
    </row>
    <row r="57" spans="1:51" s="202" customFormat="1" ht="15" thickBot="1" x14ac:dyDescent="0.35">
      <c r="A57" s="193" t="s">
        <v>23</v>
      </c>
      <c r="B57" s="193" t="str">
        <f>B52</f>
        <v>А/ц ЛВЖ</v>
      </c>
      <c r="C57" s="51" t="s">
        <v>201</v>
      </c>
      <c r="D57" s="195" t="s">
        <v>61</v>
      </c>
      <c r="E57" s="208">
        <f>E55</f>
        <v>2.2000000000000001E-4</v>
      </c>
      <c r="F57" s="209">
        <f>F52</f>
        <v>1</v>
      </c>
      <c r="G57" s="193">
        <v>0.90249999999999997</v>
      </c>
      <c r="H57" s="197">
        <f t="shared" si="53"/>
        <v>1.9855E-4</v>
      </c>
      <c r="I57" s="210">
        <f>0.15*I52</f>
        <v>1.8539999999999999</v>
      </c>
      <c r="J57" s="212">
        <v>0</v>
      </c>
      <c r="K57" s="215" t="s">
        <v>191</v>
      </c>
      <c r="L57" s="216">
        <v>6</v>
      </c>
      <c r="M57" s="202" t="str">
        <f t="shared" si="54"/>
        <v>С6</v>
      </c>
      <c r="N57" s="202" t="str">
        <f t="shared" si="54"/>
        <v>А/ц ЛВЖ</v>
      </c>
      <c r="O57" s="202" t="str">
        <f t="shared" si="55"/>
        <v>Частичное-ликвидация</v>
      </c>
      <c r="P57" s="202" t="s">
        <v>83</v>
      </c>
      <c r="Q57" s="202" t="s">
        <v>83</v>
      </c>
      <c r="R57" s="202" t="s">
        <v>83</v>
      </c>
      <c r="S57" s="202" t="s">
        <v>83</v>
      </c>
      <c r="T57" s="202" t="s">
        <v>83</v>
      </c>
      <c r="U57" s="202" t="s">
        <v>83</v>
      </c>
      <c r="V57" s="202" t="s">
        <v>83</v>
      </c>
      <c r="W57" s="202" t="s">
        <v>83</v>
      </c>
      <c r="X57" s="202" t="s">
        <v>83</v>
      </c>
      <c r="Y57" s="202" t="s">
        <v>83</v>
      </c>
      <c r="Z57" s="202" t="s">
        <v>83</v>
      </c>
      <c r="AA57" s="202" t="s">
        <v>83</v>
      </c>
      <c r="AB57" s="202" t="s">
        <v>83</v>
      </c>
      <c r="AC57" s="202" t="s">
        <v>83</v>
      </c>
      <c r="AD57" s="202" t="s">
        <v>83</v>
      </c>
      <c r="AE57" s="202" t="s">
        <v>83</v>
      </c>
      <c r="AF57" s="202" t="s">
        <v>83</v>
      </c>
      <c r="AG57" s="202" t="s">
        <v>83</v>
      </c>
      <c r="AH57" s="202" t="s">
        <v>83</v>
      </c>
      <c r="AI57" s="202" t="s">
        <v>83</v>
      </c>
      <c r="AJ57" s="202">
        <v>0</v>
      </c>
      <c r="AK57" s="202">
        <v>0</v>
      </c>
      <c r="AL57" s="202">
        <f>0.1*$AL$2</f>
        <v>7.5000000000000011E-2</v>
      </c>
      <c r="AM57" s="202">
        <f>AM52</f>
        <v>2.7E-2</v>
      </c>
      <c r="AN57" s="202">
        <f>ROUNDUP(AN52/3,0)</f>
        <v>1</v>
      </c>
      <c r="AQ57" s="205">
        <f>AM57*I57*0.1+AL57</f>
        <v>8.0005800000000016E-2</v>
      </c>
      <c r="AR57" s="205">
        <f t="shared" si="56"/>
        <v>8.0005800000000019E-3</v>
      </c>
      <c r="AS57" s="206">
        <f t="shared" si="57"/>
        <v>0</v>
      </c>
      <c r="AT57" s="206">
        <f t="shared" si="58"/>
        <v>2.2001595000000006E-2</v>
      </c>
      <c r="AU57" s="205">
        <f>1333*J56*POWER(10,-6)</f>
        <v>1.2496875E-4</v>
      </c>
      <c r="AV57" s="206">
        <f t="shared" si="59"/>
        <v>0.11013294375000002</v>
      </c>
      <c r="AW57" s="207">
        <f t="shared" si="60"/>
        <v>0</v>
      </c>
      <c r="AX57" s="207">
        <f t="shared" si="61"/>
        <v>0</v>
      </c>
      <c r="AY57" s="207">
        <f t="shared" si="62"/>
        <v>2.1866895981562503E-5</v>
      </c>
    </row>
    <row r="58" spans="1:51" s="202" customFormat="1" x14ac:dyDescent="0.3">
      <c r="A58" s="203" t="s">
        <v>83</v>
      </c>
      <c r="B58" s="203" t="s">
        <v>83</v>
      </c>
      <c r="C58" s="203" t="s">
        <v>83</v>
      </c>
      <c r="D58" s="203" t="s">
        <v>83</v>
      </c>
      <c r="E58" s="203" t="s">
        <v>83</v>
      </c>
      <c r="F58" s="203" t="s">
        <v>83</v>
      </c>
      <c r="G58" s="203" t="s">
        <v>83</v>
      </c>
      <c r="H58" s="203" t="s">
        <v>83</v>
      </c>
      <c r="I58" s="203" t="s">
        <v>83</v>
      </c>
      <c r="J58" s="203" t="s">
        <v>83</v>
      </c>
      <c r="K58" s="203" t="s">
        <v>83</v>
      </c>
      <c r="L58" s="203" t="s">
        <v>83</v>
      </c>
      <c r="M58" s="203" t="s">
        <v>83</v>
      </c>
      <c r="N58" s="203" t="s">
        <v>83</v>
      </c>
      <c r="O58" s="203" t="s">
        <v>83</v>
      </c>
      <c r="P58" s="203" t="s">
        <v>83</v>
      </c>
      <c r="Q58" s="203" t="s">
        <v>83</v>
      </c>
      <c r="R58" s="203" t="s">
        <v>83</v>
      </c>
      <c r="S58" s="203" t="s">
        <v>83</v>
      </c>
      <c r="T58" s="203" t="s">
        <v>83</v>
      </c>
      <c r="U58" s="203" t="s">
        <v>83</v>
      </c>
      <c r="V58" s="203" t="s">
        <v>83</v>
      </c>
      <c r="W58" s="203" t="s">
        <v>83</v>
      </c>
      <c r="X58" s="203" t="s">
        <v>83</v>
      </c>
      <c r="Y58" s="203" t="s">
        <v>83</v>
      </c>
      <c r="Z58" s="203" t="s">
        <v>83</v>
      </c>
      <c r="AA58" s="203" t="s">
        <v>83</v>
      </c>
      <c r="AB58" s="203" t="s">
        <v>83</v>
      </c>
      <c r="AC58" s="203" t="s">
        <v>83</v>
      </c>
      <c r="AD58" s="203" t="s">
        <v>83</v>
      </c>
      <c r="AE58" s="203" t="s">
        <v>83</v>
      </c>
      <c r="AF58" s="203" t="s">
        <v>83</v>
      </c>
      <c r="AG58" s="203" t="s">
        <v>83</v>
      </c>
      <c r="AH58" s="203" t="s">
        <v>83</v>
      </c>
      <c r="AI58" s="203" t="s">
        <v>83</v>
      </c>
      <c r="AJ58" s="203" t="s">
        <v>83</v>
      </c>
      <c r="AK58" s="203" t="s">
        <v>83</v>
      </c>
      <c r="AL58" s="203" t="s">
        <v>83</v>
      </c>
      <c r="AM58" s="203" t="s">
        <v>83</v>
      </c>
      <c r="AN58" s="203" t="s">
        <v>83</v>
      </c>
      <c r="AO58" s="203" t="s">
        <v>83</v>
      </c>
      <c r="AP58" s="203" t="s">
        <v>83</v>
      </c>
      <c r="AQ58" s="203" t="s">
        <v>83</v>
      </c>
      <c r="AR58" s="203" t="s">
        <v>83</v>
      </c>
      <c r="AS58" s="203" t="s">
        <v>83</v>
      </c>
      <c r="AT58" s="203" t="s">
        <v>83</v>
      </c>
      <c r="AU58" s="203" t="s">
        <v>83</v>
      </c>
      <c r="AV58" s="203" t="s">
        <v>83</v>
      </c>
      <c r="AW58" s="203" t="s">
        <v>83</v>
      </c>
      <c r="AX58" s="203" t="s">
        <v>83</v>
      </c>
      <c r="AY58" s="203" t="s">
        <v>83</v>
      </c>
    </row>
    <row r="59" spans="1:51" s="202" customFormat="1" x14ac:dyDescent="0.3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3"/>
      <c r="AX59" s="203"/>
      <c r="AY59" s="203"/>
    </row>
    <row r="60" spans="1:51" s="202" customFormat="1" x14ac:dyDescent="0.3">
      <c r="A60" s="203" t="s">
        <v>83</v>
      </c>
      <c r="B60" s="203" t="s">
        <v>83</v>
      </c>
      <c r="C60" s="203" t="s">
        <v>83</v>
      </c>
      <c r="D60" s="203" t="s">
        <v>83</v>
      </c>
      <c r="E60" s="203" t="s">
        <v>83</v>
      </c>
      <c r="F60" s="203" t="s">
        <v>83</v>
      </c>
      <c r="G60" s="203" t="s">
        <v>83</v>
      </c>
      <c r="H60" s="203" t="s">
        <v>83</v>
      </c>
      <c r="I60" s="203" t="s">
        <v>83</v>
      </c>
      <c r="J60" s="203" t="s">
        <v>83</v>
      </c>
      <c r="K60" s="203" t="s">
        <v>83</v>
      </c>
      <c r="L60" s="203" t="s">
        <v>83</v>
      </c>
      <c r="M60" s="203" t="s">
        <v>83</v>
      </c>
      <c r="N60" s="203" t="s">
        <v>83</v>
      </c>
      <c r="O60" s="203" t="s">
        <v>83</v>
      </c>
      <c r="P60" s="203" t="s">
        <v>83</v>
      </c>
      <c r="Q60" s="203" t="s">
        <v>83</v>
      </c>
      <c r="R60" s="203" t="s">
        <v>83</v>
      </c>
      <c r="S60" s="203" t="s">
        <v>83</v>
      </c>
      <c r="T60" s="203" t="s">
        <v>83</v>
      </c>
      <c r="U60" s="203" t="s">
        <v>83</v>
      </c>
      <c r="V60" s="203" t="s">
        <v>83</v>
      </c>
      <c r="W60" s="203" t="s">
        <v>83</v>
      </c>
      <c r="X60" s="203" t="s">
        <v>83</v>
      </c>
      <c r="Y60" s="203" t="s">
        <v>83</v>
      </c>
      <c r="Z60" s="203" t="s">
        <v>83</v>
      </c>
      <c r="AA60" s="203" t="s">
        <v>83</v>
      </c>
      <c r="AB60" s="203" t="s">
        <v>83</v>
      </c>
      <c r="AC60" s="203" t="s">
        <v>83</v>
      </c>
      <c r="AD60" s="203" t="s">
        <v>83</v>
      </c>
      <c r="AE60" s="203" t="s">
        <v>83</v>
      </c>
      <c r="AF60" s="203" t="s">
        <v>83</v>
      </c>
      <c r="AG60" s="203" t="s">
        <v>83</v>
      </c>
      <c r="AH60" s="203" t="s">
        <v>83</v>
      </c>
      <c r="AI60" s="203" t="s">
        <v>83</v>
      </c>
      <c r="AJ60" s="203" t="s">
        <v>83</v>
      </c>
      <c r="AK60" s="203" t="s">
        <v>83</v>
      </c>
      <c r="AL60" s="203" t="s">
        <v>83</v>
      </c>
      <c r="AM60" s="203" t="s">
        <v>83</v>
      </c>
      <c r="AN60" s="203" t="s">
        <v>83</v>
      </c>
      <c r="AO60" s="203" t="s">
        <v>83</v>
      </c>
      <c r="AP60" s="203" t="s">
        <v>83</v>
      </c>
      <c r="AQ60" s="203" t="s">
        <v>83</v>
      </c>
      <c r="AR60" s="203" t="s">
        <v>83</v>
      </c>
      <c r="AS60" s="203" t="s">
        <v>83</v>
      </c>
      <c r="AT60" s="203" t="s">
        <v>83</v>
      </c>
      <c r="AU60" s="203" t="s">
        <v>83</v>
      </c>
      <c r="AV60" s="203" t="s">
        <v>83</v>
      </c>
      <c r="AW60" s="203" t="s">
        <v>83</v>
      </c>
      <c r="AX60" s="203" t="s">
        <v>83</v>
      </c>
      <c r="AY60" s="203" t="s">
        <v>83</v>
      </c>
    </row>
    <row r="61" spans="1:51" ht="15" thickBot="1" x14ac:dyDescent="0.35">
      <c r="E61" s="56"/>
      <c r="F61" s="56"/>
    </row>
    <row r="62" spans="1:51" s="202" customFormat="1" ht="15" thickBot="1" x14ac:dyDescent="0.35">
      <c r="A62" s="193" t="s">
        <v>18</v>
      </c>
      <c r="B62" s="194" t="s">
        <v>194</v>
      </c>
      <c r="C62" s="51" t="s">
        <v>196</v>
      </c>
      <c r="D62" s="195" t="s">
        <v>59</v>
      </c>
      <c r="E62" s="196">
        <v>3.4999999999999997E-5</v>
      </c>
      <c r="F62" s="194">
        <v>1</v>
      </c>
      <c r="G62" s="193">
        <v>0.05</v>
      </c>
      <c r="H62" s="197">
        <f t="shared" ref="H62:H67" si="63">E62*F62*G62</f>
        <v>1.75E-6</v>
      </c>
      <c r="I62" s="198">
        <v>12.36</v>
      </c>
      <c r="J62" s="210">
        <f>I62</f>
        <v>12.36</v>
      </c>
      <c r="K62" s="200" t="s">
        <v>175</v>
      </c>
      <c r="L62" s="201">
        <v>300</v>
      </c>
      <c r="M62" s="202" t="str">
        <f t="shared" ref="M62:N67" si="64">A62</f>
        <v>С1</v>
      </c>
      <c r="N62" s="202" t="str">
        <f t="shared" si="64"/>
        <v>А/ц ЛВЖ+токси</v>
      </c>
      <c r="O62" s="202" t="str">
        <f t="shared" ref="O62:O67" si="65">D62</f>
        <v>Полное-пожар</v>
      </c>
      <c r="P62" s="202" t="s">
        <v>83</v>
      </c>
      <c r="Q62" s="202" t="s">
        <v>83</v>
      </c>
      <c r="R62" s="202" t="s">
        <v>83</v>
      </c>
      <c r="S62" s="202" t="s">
        <v>83</v>
      </c>
      <c r="T62" s="202" t="s">
        <v>83</v>
      </c>
      <c r="U62" s="202" t="s">
        <v>83</v>
      </c>
      <c r="V62" s="202" t="s">
        <v>83</v>
      </c>
      <c r="W62" s="202" t="s">
        <v>83</v>
      </c>
      <c r="X62" s="202" t="s">
        <v>83</v>
      </c>
      <c r="Y62" s="202" t="s">
        <v>83</v>
      </c>
      <c r="Z62" s="202" t="s">
        <v>83</v>
      </c>
      <c r="AA62" s="202" t="s">
        <v>83</v>
      </c>
      <c r="AB62" s="202" t="s">
        <v>83</v>
      </c>
      <c r="AC62" s="202" t="s">
        <v>83</v>
      </c>
      <c r="AD62" s="202" t="s">
        <v>83</v>
      </c>
      <c r="AE62" s="202" t="s">
        <v>83</v>
      </c>
      <c r="AF62" s="202" t="s">
        <v>83</v>
      </c>
      <c r="AG62" s="202" t="s">
        <v>83</v>
      </c>
      <c r="AH62" s="202" t="s">
        <v>83</v>
      </c>
      <c r="AI62" s="202" t="s">
        <v>83</v>
      </c>
      <c r="AJ62" s="203">
        <v>1</v>
      </c>
      <c r="AK62" s="203">
        <v>2</v>
      </c>
      <c r="AL62" s="204">
        <v>0.75</v>
      </c>
      <c r="AM62" s="204">
        <v>2.7E-2</v>
      </c>
      <c r="AN62" s="204">
        <v>3</v>
      </c>
      <c r="AQ62" s="205">
        <f>AM62*I62+AL62</f>
        <v>1.08372</v>
      </c>
      <c r="AR62" s="205">
        <f t="shared" ref="AR62:AR67" si="66">0.1*AQ62</f>
        <v>0.10837200000000001</v>
      </c>
      <c r="AS62" s="206">
        <f t="shared" ref="AS62:AS67" si="67">AJ62*3+0.25*AK62</f>
        <v>3.5</v>
      </c>
      <c r="AT62" s="206">
        <f t="shared" ref="AT62:AT67" si="68">SUM(AQ62:AS62)/4</f>
        <v>1.1730229999999999</v>
      </c>
      <c r="AU62" s="205">
        <f>10068.2*J62*POWER(10,-6)</f>
        <v>0.124442952</v>
      </c>
      <c r="AV62" s="206">
        <f t="shared" ref="AV62:AV67" si="69">AU62+AT62+AS62+AR62+AQ62</f>
        <v>5.9895579520000002</v>
      </c>
      <c r="AW62" s="207">
        <f t="shared" ref="AW62:AW67" si="70">AJ62*H62</f>
        <v>1.75E-6</v>
      </c>
      <c r="AX62" s="207">
        <f t="shared" ref="AX62:AX67" si="71">H62*AK62</f>
        <v>3.4999999999999999E-6</v>
      </c>
      <c r="AY62" s="207">
        <f t="shared" ref="AY62:AY67" si="72">H62*AV62</f>
        <v>1.0481726416000001E-5</v>
      </c>
    </row>
    <row r="63" spans="1:51" s="202" customFormat="1" ht="15" thickBot="1" x14ac:dyDescent="0.35">
      <c r="A63" s="193" t="s">
        <v>19</v>
      </c>
      <c r="B63" s="193" t="str">
        <f>B62</f>
        <v>А/ц ЛВЖ+токси</v>
      </c>
      <c r="C63" s="51" t="s">
        <v>202</v>
      </c>
      <c r="D63" s="195" t="s">
        <v>62</v>
      </c>
      <c r="E63" s="208">
        <f>E62</f>
        <v>3.4999999999999997E-5</v>
      </c>
      <c r="F63" s="209">
        <f>F62</f>
        <v>1</v>
      </c>
      <c r="G63" s="193">
        <v>4.7500000000000001E-2</v>
      </c>
      <c r="H63" s="197">
        <f t="shared" si="63"/>
        <v>1.6625E-6</v>
      </c>
      <c r="I63" s="210">
        <f>I62</f>
        <v>12.36</v>
      </c>
      <c r="J63" s="194">
        <v>0.625</v>
      </c>
      <c r="K63" s="200" t="s">
        <v>176</v>
      </c>
      <c r="L63" s="201">
        <v>0</v>
      </c>
      <c r="M63" s="202" t="str">
        <f t="shared" si="64"/>
        <v>С2</v>
      </c>
      <c r="N63" s="202" t="str">
        <f t="shared" si="64"/>
        <v>А/ц ЛВЖ+токси</v>
      </c>
      <c r="O63" s="202" t="str">
        <f t="shared" si="65"/>
        <v>Полное-взрыв</v>
      </c>
      <c r="P63" s="202" t="s">
        <v>83</v>
      </c>
      <c r="Q63" s="202" t="s">
        <v>83</v>
      </c>
      <c r="R63" s="202" t="s">
        <v>83</v>
      </c>
      <c r="S63" s="202" t="s">
        <v>83</v>
      </c>
      <c r="T63" s="202" t="s">
        <v>83</v>
      </c>
      <c r="U63" s="202" t="s">
        <v>83</v>
      </c>
      <c r="V63" s="202" t="s">
        <v>83</v>
      </c>
      <c r="W63" s="202" t="s">
        <v>83</v>
      </c>
      <c r="X63" s="202" t="s">
        <v>83</v>
      </c>
      <c r="Y63" s="202" t="s">
        <v>83</v>
      </c>
      <c r="Z63" s="202" t="s">
        <v>83</v>
      </c>
      <c r="AA63" s="202" t="s">
        <v>83</v>
      </c>
      <c r="AB63" s="202" t="s">
        <v>83</v>
      </c>
      <c r="AC63" s="202" t="s">
        <v>83</v>
      </c>
      <c r="AD63" s="202" t="s">
        <v>83</v>
      </c>
      <c r="AE63" s="202" t="s">
        <v>83</v>
      </c>
      <c r="AF63" s="202" t="s">
        <v>83</v>
      </c>
      <c r="AG63" s="202" t="s">
        <v>83</v>
      </c>
      <c r="AH63" s="202" t="s">
        <v>83</v>
      </c>
      <c r="AI63" s="202" t="s">
        <v>83</v>
      </c>
      <c r="AJ63" s="203">
        <v>2</v>
      </c>
      <c r="AK63" s="203">
        <v>2</v>
      </c>
      <c r="AL63" s="202">
        <f>AL62</f>
        <v>0.75</v>
      </c>
      <c r="AM63" s="202">
        <f>AM62</f>
        <v>2.7E-2</v>
      </c>
      <c r="AN63" s="202">
        <f>AN62</f>
        <v>3</v>
      </c>
      <c r="AQ63" s="205">
        <f>AM63*I63+AL63</f>
        <v>1.08372</v>
      </c>
      <c r="AR63" s="205">
        <f t="shared" si="66"/>
        <v>0.10837200000000001</v>
      </c>
      <c r="AS63" s="206">
        <f t="shared" si="67"/>
        <v>6.5</v>
      </c>
      <c r="AT63" s="206">
        <f t="shared" si="68"/>
        <v>1.9230229999999999</v>
      </c>
      <c r="AU63" s="205">
        <f>10068.2*J63*POWER(10,-6)*10</f>
        <v>6.2926249999999989E-2</v>
      </c>
      <c r="AV63" s="206">
        <f t="shared" si="69"/>
        <v>9.6780412499999997</v>
      </c>
      <c r="AW63" s="207">
        <f t="shared" si="70"/>
        <v>3.3249999999999999E-6</v>
      </c>
      <c r="AX63" s="207">
        <f t="shared" si="71"/>
        <v>3.3249999999999999E-6</v>
      </c>
      <c r="AY63" s="207">
        <f t="shared" si="72"/>
        <v>1.6089743578124998E-5</v>
      </c>
    </row>
    <row r="64" spans="1:51" s="202" customFormat="1" x14ac:dyDescent="0.3">
      <c r="A64" s="193" t="s">
        <v>20</v>
      </c>
      <c r="B64" s="193" t="str">
        <f>B62</f>
        <v>А/ц ЛВЖ+токси</v>
      </c>
      <c r="C64" s="51" t="s">
        <v>203</v>
      </c>
      <c r="D64" s="195" t="s">
        <v>171</v>
      </c>
      <c r="E64" s="208">
        <f>E62</f>
        <v>3.4999999999999997E-5</v>
      </c>
      <c r="F64" s="209">
        <f>F62</f>
        <v>1</v>
      </c>
      <c r="G64" s="193">
        <v>0.90249999999999997</v>
      </c>
      <c r="H64" s="197">
        <f t="shared" si="63"/>
        <v>3.1587499999999995E-5</v>
      </c>
      <c r="I64" s="210">
        <f>I62</f>
        <v>12.36</v>
      </c>
      <c r="J64" s="193">
        <v>0</v>
      </c>
      <c r="K64" s="200" t="s">
        <v>177</v>
      </c>
      <c r="L64" s="201">
        <v>0</v>
      </c>
      <c r="M64" s="202" t="str">
        <f t="shared" si="64"/>
        <v>С3</v>
      </c>
      <c r="N64" s="202" t="str">
        <f t="shared" si="64"/>
        <v>А/ц ЛВЖ+токси</v>
      </c>
      <c r="O64" s="202" t="str">
        <f t="shared" si="65"/>
        <v>Полное-токси</v>
      </c>
      <c r="P64" s="202" t="s">
        <v>83</v>
      </c>
      <c r="Q64" s="202" t="s">
        <v>83</v>
      </c>
      <c r="R64" s="202" t="s">
        <v>83</v>
      </c>
      <c r="S64" s="202" t="s">
        <v>83</v>
      </c>
      <c r="T64" s="202" t="s">
        <v>83</v>
      </c>
      <c r="U64" s="202" t="s">
        <v>83</v>
      </c>
      <c r="V64" s="202" t="s">
        <v>83</v>
      </c>
      <c r="W64" s="202" t="s">
        <v>83</v>
      </c>
      <c r="X64" s="202" t="s">
        <v>83</v>
      </c>
      <c r="Y64" s="202" t="s">
        <v>83</v>
      </c>
      <c r="Z64" s="202" t="s">
        <v>83</v>
      </c>
      <c r="AA64" s="202" t="s">
        <v>83</v>
      </c>
      <c r="AB64" s="202" t="s">
        <v>83</v>
      </c>
      <c r="AC64" s="202" t="s">
        <v>83</v>
      </c>
      <c r="AD64" s="202" t="s">
        <v>83</v>
      </c>
      <c r="AE64" s="202" t="s">
        <v>83</v>
      </c>
      <c r="AF64" s="202" t="s">
        <v>83</v>
      </c>
      <c r="AG64" s="202" t="s">
        <v>83</v>
      </c>
      <c r="AH64" s="202" t="s">
        <v>83</v>
      </c>
      <c r="AI64" s="202" t="s">
        <v>83</v>
      </c>
      <c r="AJ64" s="202">
        <v>0</v>
      </c>
      <c r="AK64" s="202">
        <v>1</v>
      </c>
      <c r="AL64" s="202">
        <f>AL62</f>
        <v>0.75</v>
      </c>
      <c r="AM64" s="202">
        <f>AM62</f>
        <v>2.7E-2</v>
      </c>
      <c r="AN64" s="202">
        <f>AN62</f>
        <v>3</v>
      </c>
      <c r="AQ64" s="205">
        <f>AM64*I64*0.1+AL64</f>
        <v>0.78337199999999996</v>
      </c>
      <c r="AR64" s="205">
        <f t="shared" si="66"/>
        <v>7.8337199999999996E-2</v>
      </c>
      <c r="AS64" s="206">
        <f t="shared" si="67"/>
        <v>0.25</v>
      </c>
      <c r="AT64" s="206">
        <f t="shared" si="68"/>
        <v>0.27792729999999999</v>
      </c>
      <c r="AU64" s="205">
        <f>1333*J63*POWER(10,-6)</f>
        <v>8.3312499999999999E-4</v>
      </c>
      <c r="AV64" s="206">
        <f t="shared" si="69"/>
        <v>1.3904696249999999</v>
      </c>
      <c r="AW64" s="207">
        <f t="shared" si="70"/>
        <v>0</v>
      </c>
      <c r="AX64" s="207">
        <f t="shared" si="71"/>
        <v>3.1587499999999995E-5</v>
      </c>
      <c r="AY64" s="207">
        <f t="shared" si="72"/>
        <v>4.3921459279687491E-5</v>
      </c>
    </row>
    <row r="65" spans="1:51" s="202" customFormat="1" x14ac:dyDescent="0.3">
      <c r="A65" s="193" t="s">
        <v>21</v>
      </c>
      <c r="B65" s="193" t="str">
        <f>B62</f>
        <v>А/ц ЛВЖ+токси</v>
      </c>
      <c r="C65" s="51" t="s">
        <v>199</v>
      </c>
      <c r="D65" s="195" t="s">
        <v>84</v>
      </c>
      <c r="E65" s="196">
        <v>2.2000000000000001E-4</v>
      </c>
      <c r="F65" s="209">
        <f>F62</f>
        <v>1</v>
      </c>
      <c r="G65" s="193">
        <v>0.05</v>
      </c>
      <c r="H65" s="197">
        <f t="shared" si="63"/>
        <v>1.1000000000000001E-5</v>
      </c>
      <c r="I65" s="210">
        <f>0.15*I62</f>
        <v>1.8539999999999999</v>
      </c>
      <c r="J65" s="210">
        <f>I65</f>
        <v>1.8539999999999999</v>
      </c>
      <c r="K65" s="213" t="s">
        <v>179</v>
      </c>
      <c r="L65" s="214">
        <v>45390</v>
      </c>
      <c r="M65" s="202" t="str">
        <f t="shared" si="64"/>
        <v>С4</v>
      </c>
      <c r="N65" s="202" t="str">
        <f t="shared" si="64"/>
        <v>А/ц ЛВЖ+токси</v>
      </c>
      <c r="O65" s="202" t="str">
        <f t="shared" si="65"/>
        <v>Частичное-пожар</v>
      </c>
      <c r="P65" s="202" t="s">
        <v>83</v>
      </c>
      <c r="Q65" s="202" t="s">
        <v>83</v>
      </c>
      <c r="R65" s="202" t="s">
        <v>83</v>
      </c>
      <c r="S65" s="202" t="s">
        <v>83</v>
      </c>
      <c r="T65" s="202" t="s">
        <v>83</v>
      </c>
      <c r="U65" s="202" t="s">
        <v>83</v>
      </c>
      <c r="V65" s="202" t="s">
        <v>83</v>
      </c>
      <c r="W65" s="202" t="s">
        <v>83</v>
      </c>
      <c r="X65" s="202" t="s">
        <v>83</v>
      </c>
      <c r="Y65" s="202" t="s">
        <v>83</v>
      </c>
      <c r="Z65" s="202" t="s">
        <v>83</v>
      </c>
      <c r="AA65" s="202" t="s">
        <v>83</v>
      </c>
      <c r="AB65" s="202" t="s">
        <v>83</v>
      </c>
      <c r="AC65" s="202" t="s">
        <v>83</v>
      </c>
      <c r="AD65" s="202" t="s">
        <v>83</v>
      </c>
      <c r="AE65" s="202" t="s">
        <v>83</v>
      </c>
      <c r="AF65" s="202" t="s">
        <v>83</v>
      </c>
      <c r="AG65" s="202" t="s">
        <v>83</v>
      </c>
      <c r="AH65" s="202" t="s">
        <v>83</v>
      </c>
      <c r="AI65" s="202" t="s">
        <v>83</v>
      </c>
      <c r="AJ65" s="202">
        <v>0</v>
      </c>
      <c r="AK65" s="202">
        <v>2</v>
      </c>
      <c r="AL65" s="202">
        <f>0.1*$AL$2</f>
        <v>7.5000000000000011E-2</v>
      </c>
      <c r="AM65" s="202">
        <f>AM62</f>
        <v>2.7E-2</v>
      </c>
      <c r="AN65" s="202">
        <f>ROUNDUP(AN62/3,0)</f>
        <v>1</v>
      </c>
      <c r="AQ65" s="205">
        <f>AM65*I65+AL65</f>
        <v>0.125058</v>
      </c>
      <c r="AR65" s="205">
        <f t="shared" si="66"/>
        <v>1.2505800000000001E-2</v>
      </c>
      <c r="AS65" s="206">
        <f t="shared" si="67"/>
        <v>0.5</v>
      </c>
      <c r="AT65" s="206">
        <f t="shared" si="68"/>
        <v>0.15939095</v>
      </c>
      <c r="AU65" s="205">
        <f>10068.2*J65*POWER(10,-6)</f>
        <v>1.8666442799999999E-2</v>
      </c>
      <c r="AV65" s="206">
        <f t="shared" si="69"/>
        <v>0.81562119280000001</v>
      </c>
      <c r="AW65" s="207">
        <f t="shared" si="70"/>
        <v>0</v>
      </c>
      <c r="AX65" s="207">
        <f t="shared" si="71"/>
        <v>2.2000000000000003E-5</v>
      </c>
      <c r="AY65" s="207">
        <f t="shared" si="72"/>
        <v>8.9718331208000015E-6</v>
      </c>
    </row>
    <row r="66" spans="1:51" s="202" customFormat="1" x14ac:dyDescent="0.3">
      <c r="A66" s="193" t="s">
        <v>22</v>
      </c>
      <c r="B66" s="193" t="str">
        <f>B62</f>
        <v>А/ц ЛВЖ+токси</v>
      </c>
      <c r="C66" s="51" t="s">
        <v>200</v>
      </c>
      <c r="D66" s="195" t="s">
        <v>165</v>
      </c>
      <c r="E66" s="208">
        <f>E65</f>
        <v>2.2000000000000001E-4</v>
      </c>
      <c r="F66" s="209">
        <f>F62</f>
        <v>1</v>
      </c>
      <c r="G66" s="193">
        <v>4.7500000000000001E-2</v>
      </c>
      <c r="H66" s="197">
        <f t="shared" si="63"/>
        <v>1.045E-5</v>
      </c>
      <c r="I66" s="210">
        <f>0.15*I62</f>
        <v>1.8539999999999999</v>
      </c>
      <c r="J66" s="210">
        <f>0.15*J63</f>
        <v>9.375E-2</v>
      </c>
      <c r="K66" s="213" t="s">
        <v>180</v>
      </c>
      <c r="L66" s="214">
        <v>3</v>
      </c>
      <c r="M66" s="202" t="str">
        <f t="shared" si="64"/>
        <v>С5</v>
      </c>
      <c r="N66" s="202" t="str">
        <f t="shared" si="64"/>
        <v>А/ц ЛВЖ+токси</v>
      </c>
      <c r="O66" s="202" t="str">
        <f t="shared" si="65"/>
        <v>Частичное-пожар-вспышка</v>
      </c>
      <c r="P66" s="202" t="s">
        <v>83</v>
      </c>
      <c r="Q66" s="202" t="s">
        <v>83</v>
      </c>
      <c r="R66" s="202" t="s">
        <v>83</v>
      </c>
      <c r="S66" s="202" t="s">
        <v>83</v>
      </c>
      <c r="T66" s="202" t="s">
        <v>83</v>
      </c>
      <c r="U66" s="202" t="s">
        <v>83</v>
      </c>
      <c r="V66" s="202" t="s">
        <v>83</v>
      </c>
      <c r="W66" s="202" t="s">
        <v>83</v>
      </c>
      <c r="X66" s="202" t="s">
        <v>83</v>
      </c>
      <c r="Y66" s="202" t="s">
        <v>83</v>
      </c>
      <c r="Z66" s="202" t="s">
        <v>83</v>
      </c>
      <c r="AA66" s="202" t="s">
        <v>83</v>
      </c>
      <c r="AB66" s="202" t="s">
        <v>83</v>
      </c>
      <c r="AC66" s="202" t="s">
        <v>83</v>
      </c>
      <c r="AD66" s="202" t="s">
        <v>83</v>
      </c>
      <c r="AE66" s="202" t="s">
        <v>83</v>
      </c>
      <c r="AF66" s="202" t="s">
        <v>83</v>
      </c>
      <c r="AG66" s="202" t="s">
        <v>83</v>
      </c>
      <c r="AH66" s="202" t="s">
        <v>83</v>
      </c>
      <c r="AI66" s="202" t="s">
        <v>83</v>
      </c>
      <c r="AJ66" s="202">
        <v>0</v>
      </c>
      <c r="AK66" s="202">
        <v>1</v>
      </c>
      <c r="AL66" s="202">
        <f>0.1*$AL$2</f>
        <v>7.5000000000000011E-2</v>
      </c>
      <c r="AM66" s="202">
        <f>AM62</f>
        <v>2.7E-2</v>
      </c>
      <c r="AN66" s="202">
        <f>ROUNDUP(AN62/3,0)</f>
        <v>1</v>
      </c>
      <c r="AQ66" s="205">
        <f>AM66*I66+AL66</f>
        <v>0.125058</v>
      </c>
      <c r="AR66" s="205">
        <f t="shared" si="66"/>
        <v>1.2505800000000001E-2</v>
      </c>
      <c r="AS66" s="206">
        <f t="shared" si="67"/>
        <v>0.25</v>
      </c>
      <c r="AT66" s="206">
        <f t="shared" si="68"/>
        <v>9.6890950000000003E-2</v>
      </c>
      <c r="AU66" s="205">
        <f>10068.2*J66*POWER(10,-6)*10</f>
        <v>9.4389375000000011E-3</v>
      </c>
      <c r="AV66" s="206">
        <f t="shared" si="69"/>
        <v>0.49389368750000001</v>
      </c>
      <c r="AW66" s="207">
        <f t="shared" si="70"/>
        <v>0</v>
      </c>
      <c r="AX66" s="207">
        <f t="shared" si="71"/>
        <v>1.045E-5</v>
      </c>
      <c r="AY66" s="207">
        <f t="shared" si="72"/>
        <v>5.1611890343749998E-6</v>
      </c>
    </row>
    <row r="67" spans="1:51" s="202" customFormat="1" ht="15" thickBot="1" x14ac:dyDescent="0.35">
      <c r="A67" s="193" t="s">
        <v>23</v>
      </c>
      <c r="B67" s="193" t="str">
        <f>B62</f>
        <v>А/ц ЛВЖ+токси</v>
      </c>
      <c r="C67" s="51" t="s">
        <v>204</v>
      </c>
      <c r="D67" s="195" t="s">
        <v>172</v>
      </c>
      <c r="E67" s="208">
        <f>E65</f>
        <v>2.2000000000000001E-4</v>
      </c>
      <c r="F67" s="209">
        <f>F62</f>
        <v>1</v>
      </c>
      <c r="G67" s="193">
        <v>0.90249999999999997</v>
      </c>
      <c r="H67" s="197">
        <f t="shared" si="63"/>
        <v>1.9855E-4</v>
      </c>
      <c r="I67" s="210">
        <f>0.15*I62</f>
        <v>1.8539999999999999</v>
      </c>
      <c r="J67" s="193">
        <v>0</v>
      </c>
      <c r="K67" s="215" t="s">
        <v>191</v>
      </c>
      <c r="L67" s="216">
        <v>7</v>
      </c>
      <c r="M67" s="202" t="str">
        <f t="shared" si="64"/>
        <v>С6</v>
      </c>
      <c r="N67" s="202" t="str">
        <f t="shared" si="64"/>
        <v>А/ц ЛВЖ+токси</v>
      </c>
      <c r="O67" s="202" t="str">
        <f t="shared" si="65"/>
        <v>Частичное-токси</v>
      </c>
      <c r="P67" s="202" t="s">
        <v>83</v>
      </c>
      <c r="Q67" s="202" t="s">
        <v>83</v>
      </c>
      <c r="R67" s="202" t="s">
        <v>83</v>
      </c>
      <c r="S67" s="202" t="s">
        <v>83</v>
      </c>
      <c r="T67" s="202" t="s">
        <v>83</v>
      </c>
      <c r="U67" s="202" t="s">
        <v>83</v>
      </c>
      <c r="V67" s="202" t="s">
        <v>83</v>
      </c>
      <c r="W67" s="202" t="s">
        <v>83</v>
      </c>
      <c r="X67" s="202" t="s">
        <v>83</v>
      </c>
      <c r="Y67" s="202" t="s">
        <v>83</v>
      </c>
      <c r="Z67" s="202" t="s">
        <v>83</v>
      </c>
      <c r="AA67" s="202" t="s">
        <v>83</v>
      </c>
      <c r="AB67" s="202" t="s">
        <v>83</v>
      </c>
      <c r="AC67" s="202" t="s">
        <v>83</v>
      </c>
      <c r="AD67" s="202" t="s">
        <v>83</v>
      </c>
      <c r="AE67" s="202" t="s">
        <v>83</v>
      </c>
      <c r="AF67" s="202" t="s">
        <v>83</v>
      </c>
      <c r="AG67" s="202" t="s">
        <v>83</v>
      </c>
      <c r="AH67" s="202" t="s">
        <v>83</v>
      </c>
      <c r="AI67" s="202" t="s">
        <v>83</v>
      </c>
      <c r="AJ67" s="202">
        <v>0</v>
      </c>
      <c r="AK67" s="202">
        <v>1</v>
      </c>
      <c r="AL67" s="202">
        <f>0.1*$AL$2</f>
        <v>7.5000000000000011E-2</v>
      </c>
      <c r="AM67" s="202">
        <f>AM62</f>
        <v>2.7E-2</v>
      </c>
      <c r="AN67" s="202">
        <f>ROUNDUP(AN62/3,0)</f>
        <v>1</v>
      </c>
      <c r="AQ67" s="205">
        <f>AM67*I67*0.1+AL67</f>
        <v>8.0005800000000016E-2</v>
      </c>
      <c r="AR67" s="205">
        <f t="shared" si="66"/>
        <v>8.0005800000000019E-3</v>
      </c>
      <c r="AS67" s="206">
        <f t="shared" si="67"/>
        <v>0.25</v>
      </c>
      <c r="AT67" s="206">
        <f t="shared" si="68"/>
        <v>8.4501595000000013E-2</v>
      </c>
      <c r="AU67" s="205">
        <f>1333*J66*POWER(10,-6)</f>
        <v>1.2496875E-4</v>
      </c>
      <c r="AV67" s="206">
        <f t="shared" si="69"/>
        <v>0.42263294374999999</v>
      </c>
      <c r="AW67" s="207">
        <f t="shared" si="70"/>
        <v>0</v>
      </c>
      <c r="AX67" s="207">
        <f t="shared" si="71"/>
        <v>1.9855E-4</v>
      </c>
      <c r="AY67" s="207">
        <f t="shared" si="72"/>
        <v>8.3913770981562495E-5</v>
      </c>
    </row>
    <row r="68" spans="1:51" s="202" customFormat="1" x14ac:dyDescent="0.3">
      <c r="A68" s="203"/>
      <c r="B68" s="203"/>
      <c r="D68" s="268"/>
      <c r="E68" s="269"/>
      <c r="F68" s="270"/>
      <c r="G68" s="203"/>
      <c r="H68" s="207"/>
      <c r="I68" s="206"/>
      <c r="J68" s="203"/>
      <c r="K68" s="203"/>
      <c r="L68" s="270"/>
      <c r="AQ68" s="205"/>
      <c r="AR68" s="205"/>
      <c r="AS68" s="206"/>
      <c r="AT68" s="206"/>
      <c r="AU68" s="205"/>
      <c r="AV68" s="206"/>
      <c r="AW68" s="207"/>
      <c r="AX68" s="207"/>
      <c r="AY68" s="207"/>
    </row>
    <row r="69" spans="1:51" s="202" customFormat="1" x14ac:dyDescent="0.3">
      <c r="A69" s="203"/>
      <c r="B69" s="203"/>
      <c r="D69" s="268"/>
      <c r="E69" s="269"/>
      <c r="F69" s="270"/>
      <c r="G69" s="203"/>
      <c r="H69" s="207"/>
      <c r="I69" s="206"/>
      <c r="J69" s="203"/>
      <c r="K69" s="203"/>
      <c r="L69" s="270"/>
      <c r="AQ69" s="205"/>
      <c r="AR69" s="205"/>
      <c r="AS69" s="206"/>
      <c r="AT69" s="206"/>
      <c r="AU69" s="205"/>
      <c r="AV69" s="206"/>
      <c r="AW69" s="207"/>
      <c r="AX69" s="207"/>
      <c r="AY69" s="207"/>
    </row>
    <row r="70" spans="1:51" s="202" customFormat="1" x14ac:dyDescent="0.3">
      <c r="A70" s="203"/>
      <c r="B70" s="203"/>
      <c r="D70" s="268"/>
      <c r="E70" s="269"/>
      <c r="F70" s="270"/>
      <c r="G70" s="203"/>
      <c r="H70" s="207"/>
      <c r="I70" s="206"/>
      <c r="J70" s="203"/>
      <c r="K70" s="203"/>
      <c r="L70" s="270"/>
      <c r="AQ70" s="205"/>
      <c r="AR70" s="205"/>
      <c r="AS70" s="206"/>
      <c r="AT70" s="206"/>
      <c r="AU70" s="205"/>
      <c r="AV70" s="206"/>
      <c r="AW70" s="207"/>
      <c r="AX70" s="207"/>
      <c r="AY70" s="207"/>
    </row>
    <row r="71" spans="1:51" ht="15" thickBot="1" x14ac:dyDescent="0.35"/>
    <row r="72" spans="1:51" s="202" customFormat="1" ht="15" thickBot="1" x14ac:dyDescent="0.35">
      <c r="A72" s="193" t="s">
        <v>18</v>
      </c>
      <c r="B72" s="194" t="s">
        <v>195</v>
      </c>
      <c r="C72" s="51" t="s">
        <v>196</v>
      </c>
      <c r="D72" s="195" t="s">
        <v>59</v>
      </c>
      <c r="E72" s="196">
        <v>3.4999999999999997E-5</v>
      </c>
      <c r="F72" s="194">
        <v>1</v>
      </c>
      <c r="G72" s="193">
        <v>0.05</v>
      </c>
      <c r="H72" s="197">
        <f t="shared" ref="H72:H77" si="73">E72*F72*G72</f>
        <v>1.75E-6</v>
      </c>
      <c r="I72" s="198">
        <v>12.36</v>
      </c>
      <c r="J72" s="210">
        <f>I72</f>
        <v>12.36</v>
      </c>
      <c r="K72" s="200" t="s">
        <v>175</v>
      </c>
      <c r="L72" s="201">
        <v>300</v>
      </c>
      <c r="M72" s="202" t="str">
        <f t="shared" ref="M72:M77" si="74">A72</f>
        <v>С1</v>
      </c>
      <c r="N72" s="202" t="str">
        <f t="shared" ref="N72:N77" si="75">B72</f>
        <v>А/ц ГЖ</v>
      </c>
      <c r="O72" s="202" t="str">
        <f t="shared" ref="O72:O77" si="76">D72</f>
        <v>Полное-пожар</v>
      </c>
      <c r="P72" s="202">
        <v>17.100000000000001</v>
      </c>
      <c r="Q72" s="202">
        <v>23.5</v>
      </c>
      <c r="R72" s="202">
        <v>33.1</v>
      </c>
      <c r="S72" s="202">
        <v>61.2</v>
      </c>
      <c r="T72" s="202" t="s">
        <v>83</v>
      </c>
      <c r="U72" s="202" t="s">
        <v>83</v>
      </c>
      <c r="V72" s="202" t="s">
        <v>83</v>
      </c>
      <c r="W72" s="202" t="s">
        <v>83</v>
      </c>
      <c r="X72" s="202" t="s">
        <v>83</v>
      </c>
      <c r="Y72" s="202" t="s">
        <v>83</v>
      </c>
      <c r="Z72" s="202" t="s">
        <v>83</v>
      </c>
      <c r="AA72" s="202" t="s">
        <v>83</v>
      </c>
      <c r="AB72" s="202" t="s">
        <v>83</v>
      </c>
      <c r="AC72" s="202" t="s">
        <v>83</v>
      </c>
      <c r="AD72" s="202" t="s">
        <v>83</v>
      </c>
      <c r="AE72" s="202" t="s">
        <v>83</v>
      </c>
      <c r="AF72" s="202" t="s">
        <v>83</v>
      </c>
      <c r="AG72" s="202" t="s">
        <v>83</v>
      </c>
      <c r="AH72" s="202" t="s">
        <v>83</v>
      </c>
      <c r="AI72" s="202" t="s">
        <v>83</v>
      </c>
      <c r="AJ72" s="203">
        <v>1</v>
      </c>
      <c r="AK72" s="203">
        <v>2</v>
      </c>
      <c r="AL72" s="204">
        <v>0.75</v>
      </c>
      <c r="AM72" s="204">
        <v>2.7E-2</v>
      </c>
      <c r="AN72" s="204">
        <v>3</v>
      </c>
      <c r="AQ72" s="205">
        <f>AM72*I72+AL72</f>
        <v>1.08372</v>
      </c>
      <c r="AR72" s="205">
        <f t="shared" ref="AR72:AR77" si="77">0.1*AQ72</f>
        <v>0.10837200000000001</v>
      </c>
      <c r="AS72" s="206">
        <f t="shared" ref="AS72:AS77" si="78">AJ72*3+0.25*AK72</f>
        <v>3.5</v>
      </c>
      <c r="AT72" s="206">
        <f t="shared" ref="AT72:AT77" si="79">SUM(AQ72:AS72)/4</f>
        <v>1.1730229999999999</v>
      </c>
      <c r="AU72" s="205">
        <f>10068.2*J72*POWER(10,-6)</f>
        <v>0.124442952</v>
      </c>
      <c r="AV72" s="206">
        <f t="shared" ref="AV72:AV77" si="80">AU72+AT72+AS72+AR72+AQ72</f>
        <v>5.9895579520000002</v>
      </c>
      <c r="AW72" s="207">
        <f t="shared" ref="AW72:AW77" si="81">AJ72*H72</f>
        <v>1.75E-6</v>
      </c>
      <c r="AX72" s="207">
        <f t="shared" ref="AX72:AX77" si="82">H72*AK72</f>
        <v>3.4999999999999999E-6</v>
      </c>
      <c r="AY72" s="207">
        <f t="shared" ref="AY72:AY77" si="83">H72*AV72</f>
        <v>1.0481726416000001E-5</v>
      </c>
    </row>
    <row r="73" spans="1:51" s="202" customFormat="1" ht="15" thickBot="1" x14ac:dyDescent="0.35">
      <c r="A73" s="193" t="s">
        <v>19</v>
      </c>
      <c r="B73" s="193" t="str">
        <f>B72</f>
        <v>А/ц ГЖ</v>
      </c>
      <c r="C73" s="51" t="s">
        <v>205</v>
      </c>
      <c r="D73" s="195" t="s">
        <v>59</v>
      </c>
      <c r="E73" s="208">
        <f>E72</f>
        <v>3.4999999999999997E-5</v>
      </c>
      <c r="F73" s="209">
        <f>F72</f>
        <v>1</v>
      </c>
      <c r="G73" s="193">
        <v>4.7500000000000001E-2</v>
      </c>
      <c r="H73" s="197">
        <f t="shared" si="73"/>
        <v>1.6625E-6</v>
      </c>
      <c r="I73" s="210">
        <f>I72</f>
        <v>12.36</v>
      </c>
      <c r="J73" s="210">
        <f>I72</f>
        <v>12.36</v>
      </c>
      <c r="K73" s="200" t="s">
        <v>176</v>
      </c>
      <c r="L73" s="201">
        <v>0</v>
      </c>
      <c r="M73" s="202" t="str">
        <f t="shared" si="74"/>
        <v>С2</v>
      </c>
      <c r="N73" s="202" t="str">
        <f t="shared" si="75"/>
        <v>А/ц ГЖ</v>
      </c>
      <c r="O73" s="202" t="str">
        <f t="shared" si="76"/>
        <v>Полное-пожар</v>
      </c>
      <c r="P73" s="202">
        <v>17.100000000000001</v>
      </c>
      <c r="Q73" s="202">
        <v>23.5</v>
      </c>
      <c r="R73" s="202">
        <v>33.1</v>
      </c>
      <c r="S73" s="202">
        <v>61.2</v>
      </c>
      <c r="T73" s="202" t="s">
        <v>83</v>
      </c>
      <c r="U73" s="202" t="s">
        <v>83</v>
      </c>
      <c r="V73" s="202" t="s">
        <v>83</v>
      </c>
      <c r="W73" s="202" t="s">
        <v>83</v>
      </c>
      <c r="X73" s="202" t="s">
        <v>83</v>
      </c>
      <c r="Y73" s="202" t="s">
        <v>83</v>
      </c>
      <c r="Z73" s="202" t="s">
        <v>83</v>
      </c>
      <c r="AA73" s="202" t="s">
        <v>83</v>
      </c>
      <c r="AB73" s="202" t="s">
        <v>83</v>
      </c>
      <c r="AC73" s="202" t="s">
        <v>83</v>
      </c>
      <c r="AD73" s="202" t="s">
        <v>83</v>
      </c>
      <c r="AE73" s="202" t="s">
        <v>83</v>
      </c>
      <c r="AF73" s="202" t="s">
        <v>83</v>
      </c>
      <c r="AG73" s="202" t="s">
        <v>83</v>
      </c>
      <c r="AH73" s="202" t="s">
        <v>83</v>
      </c>
      <c r="AI73" s="202" t="s">
        <v>83</v>
      </c>
      <c r="AJ73" s="203">
        <v>2</v>
      </c>
      <c r="AK73" s="203">
        <v>2</v>
      </c>
      <c r="AL73" s="202">
        <f>AL72</f>
        <v>0.75</v>
      </c>
      <c r="AM73" s="202">
        <f>AM72</f>
        <v>2.7E-2</v>
      </c>
      <c r="AN73" s="202">
        <f>AN72</f>
        <v>3</v>
      </c>
      <c r="AQ73" s="205">
        <f>AM73*I73+AL73</f>
        <v>1.08372</v>
      </c>
      <c r="AR73" s="205">
        <f t="shared" si="77"/>
        <v>0.10837200000000001</v>
      </c>
      <c r="AS73" s="206">
        <f t="shared" si="78"/>
        <v>6.5</v>
      </c>
      <c r="AT73" s="206">
        <f t="shared" si="79"/>
        <v>1.9230229999999999</v>
      </c>
      <c r="AU73" s="205">
        <f>10068.2*J73*POWER(10,-6)</f>
        <v>0.124442952</v>
      </c>
      <c r="AV73" s="206">
        <f t="shared" si="80"/>
        <v>9.7395579519999984</v>
      </c>
      <c r="AW73" s="207">
        <f t="shared" si="81"/>
        <v>3.3249999999999999E-6</v>
      </c>
      <c r="AX73" s="207">
        <f t="shared" si="82"/>
        <v>3.3249999999999999E-6</v>
      </c>
      <c r="AY73" s="207">
        <f t="shared" si="83"/>
        <v>1.6192015095199996E-5</v>
      </c>
    </row>
    <row r="74" spans="1:51" s="202" customFormat="1" x14ac:dyDescent="0.3">
      <c r="A74" s="193" t="s">
        <v>20</v>
      </c>
      <c r="B74" s="193" t="str">
        <f>B72</f>
        <v>А/ц ГЖ</v>
      </c>
      <c r="C74" s="51" t="s">
        <v>198</v>
      </c>
      <c r="D74" s="195" t="s">
        <v>60</v>
      </c>
      <c r="E74" s="208">
        <f>E72</f>
        <v>3.4999999999999997E-5</v>
      </c>
      <c r="F74" s="209">
        <f>F72</f>
        <v>1</v>
      </c>
      <c r="G74" s="193">
        <v>0.90249999999999997</v>
      </c>
      <c r="H74" s="197">
        <f t="shared" si="73"/>
        <v>3.1587499999999995E-5</v>
      </c>
      <c r="I74" s="210">
        <f>I72</f>
        <v>12.36</v>
      </c>
      <c r="J74" s="193">
        <v>0</v>
      </c>
      <c r="K74" s="200" t="s">
        <v>177</v>
      </c>
      <c r="L74" s="201">
        <v>0</v>
      </c>
      <c r="M74" s="202" t="str">
        <f t="shared" si="74"/>
        <v>С3</v>
      </c>
      <c r="N74" s="202" t="str">
        <f t="shared" si="75"/>
        <v>А/ц ГЖ</v>
      </c>
      <c r="O74" s="202" t="str">
        <f t="shared" si="76"/>
        <v>Полное-ликвидация</v>
      </c>
      <c r="P74" s="202" t="s">
        <v>83</v>
      </c>
      <c r="Q74" s="202" t="s">
        <v>83</v>
      </c>
      <c r="R74" s="202" t="s">
        <v>83</v>
      </c>
      <c r="S74" s="202" t="s">
        <v>83</v>
      </c>
      <c r="T74" s="202" t="s">
        <v>83</v>
      </c>
      <c r="U74" s="202" t="s">
        <v>83</v>
      </c>
      <c r="V74" s="202" t="s">
        <v>83</v>
      </c>
      <c r="W74" s="202" t="s">
        <v>83</v>
      </c>
      <c r="X74" s="202" t="s">
        <v>83</v>
      </c>
      <c r="Y74" s="202" t="s">
        <v>83</v>
      </c>
      <c r="Z74" s="202" t="s">
        <v>83</v>
      </c>
      <c r="AA74" s="202" t="s">
        <v>83</v>
      </c>
      <c r="AB74" s="202" t="s">
        <v>83</v>
      </c>
      <c r="AC74" s="202" t="s">
        <v>83</v>
      </c>
      <c r="AD74" s="202" t="s">
        <v>83</v>
      </c>
      <c r="AE74" s="202" t="s">
        <v>83</v>
      </c>
      <c r="AF74" s="202" t="s">
        <v>83</v>
      </c>
      <c r="AG74" s="202" t="s">
        <v>83</v>
      </c>
      <c r="AH74" s="202" t="s">
        <v>83</v>
      </c>
      <c r="AI74" s="202" t="s">
        <v>83</v>
      </c>
      <c r="AJ74" s="202">
        <v>0</v>
      </c>
      <c r="AK74" s="202">
        <v>0</v>
      </c>
      <c r="AL74" s="202">
        <f>AL72</f>
        <v>0.75</v>
      </c>
      <c r="AM74" s="202">
        <f>AM72</f>
        <v>2.7E-2</v>
      </c>
      <c r="AN74" s="202">
        <f>AN72</f>
        <v>3</v>
      </c>
      <c r="AQ74" s="205">
        <f>AM74*I74*0.1+AL74</f>
        <v>0.78337199999999996</v>
      </c>
      <c r="AR74" s="205">
        <f t="shared" si="77"/>
        <v>7.8337199999999996E-2</v>
      </c>
      <c r="AS74" s="206">
        <f t="shared" si="78"/>
        <v>0</v>
      </c>
      <c r="AT74" s="206">
        <f t="shared" si="79"/>
        <v>0.21542729999999999</v>
      </c>
      <c r="AU74" s="205">
        <f>1333*J73*POWER(10,-6)</f>
        <v>1.6475880000000002E-2</v>
      </c>
      <c r="AV74" s="206">
        <f t="shared" si="80"/>
        <v>1.0936123799999999</v>
      </c>
      <c r="AW74" s="207">
        <f t="shared" si="81"/>
        <v>0</v>
      </c>
      <c r="AX74" s="207">
        <f t="shared" si="82"/>
        <v>0</v>
      </c>
      <c r="AY74" s="207">
        <f t="shared" si="83"/>
        <v>3.4544481053249996E-5</v>
      </c>
    </row>
    <row r="75" spans="1:51" s="202" customFormat="1" x14ac:dyDescent="0.3">
      <c r="A75" s="193" t="s">
        <v>21</v>
      </c>
      <c r="B75" s="193" t="str">
        <f>B72</f>
        <v>А/ц ГЖ</v>
      </c>
      <c r="C75" s="51" t="s">
        <v>199</v>
      </c>
      <c r="D75" s="195" t="s">
        <v>84</v>
      </c>
      <c r="E75" s="196">
        <v>2.2000000000000001E-4</v>
      </c>
      <c r="F75" s="209">
        <f>F72</f>
        <v>1</v>
      </c>
      <c r="G75" s="193">
        <v>0.05</v>
      </c>
      <c r="H75" s="197">
        <f t="shared" si="73"/>
        <v>1.1000000000000001E-5</v>
      </c>
      <c r="I75" s="210">
        <f>0.15*I72</f>
        <v>1.8539999999999999</v>
      </c>
      <c r="J75" s="210">
        <f>I75</f>
        <v>1.8539999999999999</v>
      </c>
      <c r="K75" s="213" t="s">
        <v>179</v>
      </c>
      <c r="L75" s="214">
        <v>45390</v>
      </c>
      <c r="M75" s="202" t="str">
        <f t="shared" si="74"/>
        <v>С4</v>
      </c>
      <c r="N75" s="202" t="str">
        <f t="shared" si="75"/>
        <v>А/ц ГЖ</v>
      </c>
      <c r="O75" s="202" t="str">
        <f t="shared" si="76"/>
        <v>Частичное-пожар</v>
      </c>
      <c r="P75" s="202">
        <v>12.8</v>
      </c>
      <c r="Q75" s="202">
        <v>16.399999999999999</v>
      </c>
      <c r="R75" s="202">
        <v>21.7</v>
      </c>
      <c r="S75" s="202">
        <v>37.299999999999997</v>
      </c>
      <c r="T75" s="202" t="s">
        <v>83</v>
      </c>
      <c r="U75" s="202" t="s">
        <v>83</v>
      </c>
      <c r="V75" s="202" t="s">
        <v>83</v>
      </c>
      <c r="W75" s="202" t="s">
        <v>83</v>
      </c>
      <c r="X75" s="202" t="s">
        <v>83</v>
      </c>
      <c r="Y75" s="202" t="s">
        <v>83</v>
      </c>
      <c r="Z75" s="202" t="s">
        <v>83</v>
      </c>
      <c r="AA75" s="202" t="s">
        <v>83</v>
      </c>
      <c r="AB75" s="202" t="s">
        <v>83</v>
      </c>
      <c r="AC75" s="202" t="s">
        <v>83</v>
      </c>
      <c r="AD75" s="202" t="s">
        <v>83</v>
      </c>
      <c r="AE75" s="202" t="s">
        <v>83</v>
      </c>
      <c r="AF75" s="202" t="s">
        <v>83</v>
      </c>
      <c r="AG75" s="202" t="s">
        <v>83</v>
      </c>
      <c r="AH75" s="202" t="s">
        <v>83</v>
      </c>
      <c r="AI75" s="202" t="s">
        <v>83</v>
      </c>
      <c r="AJ75" s="202">
        <v>0</v>
      </c>
      <c r="AK75" s="202">
        <v>2</v>
      </c>
      <c r="AL75" s="202">
        <f>0.1*$AL$2</f>
        <v>7.5000000000000011E-2</v>
      </c>
      <c r="AM75" s="202">
        <f>AM72</f>
        <v>2.7E-2</v>
      </c>
      <c r="AN75" s="202">
        <f>ROUNDUP(AN72/3,0)</f>
        <v>1</v>
      </c>
      <c r="AQ75" s="205">
        <f>AM75*I75+AL75</f>
        <v>0.125058</v>
      </c>
      <c r="AR75" s="205">
        <f t="shared" si="77"/>
        <v>1.2505800000000001E-2</v>
      </c>
      <c r="AS75" s="206">
        <f t="shared" si="78"/>
        <v>0.5</v>
      </c>
      <c r="AT75" s="206">
        <f t="shared" si="79"/>
        <v>0.15939095</v>
      </c>
      <c r="AU75" s="205">
        <f>10068.2*J75*POWER(10,-6)</f>
        <v>1.8666442799999999E-2</v>
      </c>
      <c r="AV75" s="206">
        <f t="shared" si="80"/>
        <v>0.81562119280000001</v>
      </c>
      <c r="AW75" s="207">
        <f t="shared" si="81"/>
        <v>0</v>
      </c>
      <c r="AX75" s="207">
        <f t="shared" si="82"/>
        <v>2.2000000000000003E-5</v>
      </c>
      <c r="AY75" s="207">
        <f t="shared" si="83"/>
        <v>8.9718331208000015E-6</v>
      </c>
    </row>
    <row r="76" spans="1:51" s="202" customFormat="1" x14ac:dyDescent="0.3">
      <c r="A76" s="193" t="s">
        <v>22</v>
      </c>
      <c r="B76" s="193" t="str">
        <f>B72</f>
        <v>А/ц ГЖ</v>
      </c>
      <c r="C76" s="51" t="s">
        <v>206</v>
      </c>
      <c r="D76" s="195" t="s">
        <v>84</v>
      </c>
      <c r="E76" s="208">
        <f>E75</f>
        <v>2.2000000000000001E-4</v>
      </c>
      <c r="F76" s="209">
        <f>F72</f>
        <v>1</v>
      </c>
      <c r="G76" s="193">
        <v>4.7500000000000001E-2</v>
      </c>
      <c r="H76" s="197">
        <f t="shared" si="73"/>
        <v>1.045E-5</v>
      </c>
      <c r="I76" s="210">
        <f>0.15*I72</f>
        <v>1.8539999999999999</v>
      </c>
      <c r="J76" s="210">
        <f>I75</f>
        <v>1.8539999999999999</v>
      </c>
      <c r="K76" s="213" t="s">
        <v>180</v>
      </c>
      <c r="L76" s="214">
        <v>3</v>
      </c>
      <c r="M76" s="202" t="str">
        <f t="shared" si="74"/>
        <v>С5</v>
      </c>
      <c r="N76" s="202" t="str">
        <f t="shared" si="75"/>
        <v>А/ц ГЖ</v>
      </c>
      <c r="O76" s="202" t="str">
        <f t="shared" si="76"/>
        <v>Частичное-пожар</v>
      </c>
      <c r="P76" s="202">
        <v>12.8</v>
      </c>
      <c r="Q76" s="202">
        <v>16.399999999999999</v>
      </c>
      <c r="R76" s="202">
        <v>21.7</v>
      </c>
      <c r="S76" s="202">
        <v>37.299999999999997</v>
      </c>
      <c r="T76" s="202" t="s">
        <v>83</v>
      </c>
      <c r="U76" s="202" t="s">
        <v>83</v>
      </c>
      <c r="V76" s="202" t="s">
        <v>83</v>
      </c>
      <c r="W76" s="202" t="s">
        <v>83</v>
      </c>
      <c r="X76" s="202" t="s">
        <v>83</v>
      </c>
      <c r="Y76" s="202" t="s">
        <v>83</v>
      </c>
      <c r="Z76" s="202" t="s">
        <v>83</v>
      </c>
      <c r="AA76" s="202" t="s">
        <v>83</v>
      </c>
      <c r="AB76" s="202" t="s">
        <v>83</v>
      </c>
      <c r="AC76" s="202" t="s">
        <v>83</v>
      </c>
      <c r="AD76" s="202" t="s">
        <v>83</v>
      </c>
      <c r="AE76" s="202" t="s">
        <v>83</v>
      </c>
      <c r="AF76" s="202" t="s">
        <v>83</v>
      </c>
      <c r="AG76" s="202" t="s">
        <v>83</v>
      </c>
      <c r="AH76" s="202" t="s">
        <v>83</v>
      </c>
      <c r="AI76" s="202" t="s">
        <v>83</v>
      </c>
      <c r="AJ76" s="202">
        <v>0</v>
      </c>
      <c r="AK76" s="202">
        <v>1</v>
      </c>
      <c r="AL76" s="202">
        <f>0.1*$AL$2</f>
        <v>7.5000000000000011E-2</v>
      </c>
      <c r="AM76" s="202">
        <f>AM72</f>
        <v>2.7E-2</v>
      </c>
      <c r="AN76" s="202">
        <f>ROUNDUP(AN72/3,0)</f>
        <v>1</v>
      </c>
      <c r="AQ76" s="205">
        <f>AM76*I76+AL76</f>
        <v>0.125058</v>
      </c>
      <c r="AR76" s="205">
        <f t="shared" si="77"/>
        <v>1.2505800000000001E-2</v>
      </c>
      <c r="AS76" s="206">
        <f t="shared" si="78"/>
        <v>0.25</v>
      </c>
      <c r="AT76" s="206">
        <f t="shared" si="79"/>
        <v>9.6890950000000003E-2</v>
      </c>
      <c r="AU76" s="205">
        <f>10068.2*J76*POWER(10,-6)</f>
        <v>1.8666442799999999E-2</v>
      </c>
      <c r="AV76" s="206">
        <f t="shared" si="80"/>
        <v>0.50312119280000001</v>
      </c>
      <c r="AW76" s="207">
        <f t="shared" si="81"/>
        <v>0</v>
      </c>
      <c r="AX76" s="207">
        <f t="shared" si="82"/>
        <v>1.045E-5</v>
      </c>
      <c r="AY76" s="207">
        <f t="shared" si="83"/>
        <v>5.2576164647600002E-6</v>
      </c>
    </row>
    <row r="77" spans="1:51" s="202" customFormat="1" ht="15" thickBot="1" x14ac:dyDescent="0.35">
      <c r="A77" s="193" t="s">
        <v>23</v>
      </c>
      <c r="B77" s="193" t="str">
        <f>B72</f>
        <v>А/ц ГЖ</v>
      </c>
      <c r="C77" s="51" t="s">
        <v>201</v>
      </c>
      <c r="D77" s="195" t="s">
        <v>61</v>
      </c>
      <c r="E77" s="208">
        <f>E75</f>
        <v>2.2000000000000001E-4</v>
      </c>
      <c r="F77" s="209">
        <f>F72</f>
        <v>1</v>
      </c>
      <c r="G77" s="193">
        <v>0.90249999999999997</v>
      </c>
      <c r="H77" s="197">
        <f t="shared" si="73"/>
        <v>1.9855E-4</v>
      </c>
      <c r="I77" s="210">
        <f>0.15*I72</f>
        <v>1.8539999999999999</v>
      </c>
      <c r="J77" s="193">
        <v>0</v>
      </c>
      <c r="K77" s="215" t="s">
        <v>191</v>
      </c>
      <c r="L77" s="216">
        <v>8</v>
      </c>
      <c r="M77" s="202" t="str">
        <f t="shared" si="74"/>
        <v>С6</v>
      </c>
      <c r="N77" s="202" t="str">
        <f t="shared" si="75"/>
        <v>А/ц ГЖ</v>
      </c>
      <c r="O77" s="202" t="str">
        <f t="shared" si="76"/>
        <v>Частичное-ликвидация</v>
      </c>
      <c r="P77" s="202" t="s">
        <v>83</v>
      </c>
      <c r="Q77" s="202" t="s">
        <v>83</v>
      </c>
      <c r="R77" s="202" t="s">
        <v>83</v>
      </c>
      <c r="S77" s="202" t="s">
        <v>83</v>
      </c>
      <c r="T77" s="202" t="s">
        <v>83</v>
      </c>
      <c r="U77" s="202" t="s">
        <v>83</v>
      </c>
      <c r="V77" s="202" t="s">
        <v>83</v>
      </c>
      <c r="W77" s="202" t="s">
        <v>83</v>
      </c>
      <c r="X77" s="202" t="s">
        <v>83</v>
      </c>
      <c r="Y77" s="202" t="s">
        <v>83</v>
      </c>
      <c r="Z77" s="202" t="s">
        <v>83</v>
      </c>
      <c r="AA77" s="202" t="s">
        <v>83</v>
      </c>
      <c r="AB77" s="202" t="s">
        <v>83</v>
      </c>
      <c r="AC77" s="202" t="s">
        <v>83</v>
      </c>
      <c r="AD77" s="202" t="s">
        <v>83</v>
      </c>
      <c r="AE77" s="202" t="s">
        <v>83</v>
      </c>
      <c r="AF77" s="202" t="s">
        <v>83</v>
      </c>
      <c r="AG77" s="202" t="s">
        <v>83</v>
      </c>
      <c r="AH77" s="202" t="s">
        <v>83</v>
      </c>
      <c r="AI77" s="202" t="s">
        <v>83</v>
      </c>
      <c r="AJ77" s="202">
        <v>0</v>
      </c>
      <c r="AK77" s="202">
        <v>0</v>
      </c>
      <c r="AL77" s="202">
        <f>0.1*$AL$2</f>
        <v>7.5000000000000011E-2</v>
      </c>
      <c r="AM77" s="202">
        <f>AM72</f>
        <v>2.7E-2</v>
      </c>
      <c r="AN77" s="202">
        <f>ROUNDUP(AN72/3,0)</f>
        <v>1</v>
      </c>
      <c r="AQ77" s="205">
        <f>AM77*I77*0.1+AL77</f>
        <v>8.0005800000000016E-2</v>
      </c>
      <c r="AR77" s="205">
        <f t="shared" si="77"/>
        <v>8.0005800000000019E-3</v>
      </c>
      <c r="AS77" s="206">
        <f t="shared" si="78"/>
        <v>0</v>
      </c>
      <c r="AT77" s="206">
        <f t="shared" si="79"/>
        <v>2.2001595000000006E-2</v>
      </c>
      <c r="AU77" s="205">
        <f>1333*J76*POWER(10,-6)</f>
        <v>2.4713819999999994E-3</v>
      </c>
      <c r="AV77" s="206">
        <f t="shared" si="80"/>
        <v>0.11247935700000003</v>
      </c>
      <c r="AW77" s="207">
        <f t="shared" si="81"/>
        <v>0</v>
      </c>
      <c r="AX77" s="207">
        <f t="shared" si="82"/>
        <v>0</v>
      </c>
      <c r="AY77" s="207">
        <f t="shared" si="83"/>
        <v>2.2332776332350008E-5</v>
      </c>
    </row>
    <row r="78" spans="1:51" s="202" customFormat="1" x14ac:dyDescent="0.3">
      <c r="A78" s="203"/>
      <c r="B78" s="203"/>
      <c r="D78" s="268"/>
      <c r="E78" s="269"/>
      <c r="F78" s="270"/>
      <c r="G78" s="203"/>
      <c r="H78" s="207"/>
      <c r="I78" s="206"/>
      <c r="J78" s="203"/>
      <c r="K78" s="203"/>
      <c r="L78" s="270"/>
      <c r="AQ78" s="205"/>
      <c r="AR78" s="205"/>
      <c r="AS78" s="206"/>
      <c r="AT78" s="206"/>
      <c r="AU78" s="205"/>
      <c r="AV78" s="206"/>
      <c r="AW78" s="207"/>
      <c r="AX78" s="207"/>
      <c r="AY78" s="207"/>
    </row>
    <row r="79" spans="1:51" s="202" customFormat="1" x14ac:dyDescent="0.3">
      <c r="A79" s="203"/>
      <c r="B79" s="203"/>
      <c r="D79" s="268"/>
      <c r="E79" s="269"/>
      <c r="F79" s="270"/>
      <c r="G79" s="203"/>
      <c r="H79" s="207"/>
      <c r="I79" s="206"/>
      <c r="J79" s="203"/>
      <c r="K79" s="203"/>
      <c r="L79" s="270"/>
      <c r="AQ79" s="205"/>
      <c r="AR79" s="205"/>
      <c r="AS79" s="206"/>
      <c r="AT79" s="206"/>
      <c r="AU79" s="205"/>
      <c r="AV79" s="206"/>
      <c r="AW79" s="207"/>
      <c r="AX79" s="207"/>
      <c r="AY79" s="207"/>
    </row>
    <row r="80" spans="1:51" s="202" customFormat="1" x14ac:dyDescent="0.3">
      <c r="A80" s="203"/>
      <c r="B80" s="203"/>
      <c r="D80" s="268"/>
      <c r="E80" s="269"/>
      <c r="F80" s="270"/>
      <c r="G80" s="203"/>
      <c r="H80" s="207"/>
      <c r="I80" s="206"/>
      <c r="J80" s="203"/>
      <c r="K80" s="203"/>
      <c r="L80" s="270"/>
      <c r="AQ80" s="205"/>
      <c r="AR80" s="205"/>
      <c r="AS80" s="206"/>
      <c r="AT80" s="206"/>
      <c r="AU80" s="205"/>
      <c r="AV80" s="206"/>
      <c r="AW80" s="207"/>
      <c r="AX80" s="207"/>
      <c r="AY80" s="207"/>
    </row>
    <row r="81" spans="1:51" ht="15" thickBot="1" x14ac:dyDescent="0.35"/>
    <row r="82" spans="1:51" s="179" customFormat="1" ht="15" thickBot="1" x14ac:dyDescent="0.35">
      <c r="A82" s="169" t="s">
        <v>18</v>
      </c>
      <c r="B82" s="170" t="s">
        <v>207</v>
      </c>
      <c r="C82" s="171" t="s">
        <v>196</v>
      </c>
      <c r="D82" s="172" t="s">
        <v>59</v>
      </c>
      <c r="E82" s="173">
        <v>1.0000000000000001E-5</v>
      </c>
      <c r="F82" s="170">
        <v>1</v>
      </c>
      <c r="G82" s="169">
        <v>0.1</v>
      </c>
      <c r="H82" s="174">
        <f t="shared" ref="H82:H87" si="84">E82*F82*G82</f>
        <v>1.0000000000000002E-6</v>
      </c>
      <c r="I82" s="175">
        <v>12.36</v>
      </c>
      <c r="J82" s="176">
        <f>I82</f>
        <v>12.36</v>
      </c>
      <c r="K82" s="177" t="s">
        <v>175</v>
      </c>
      <c r="L82" s="178">
        <v>5000</v>
      </c>
      <c r="M82" s="179" t="str">
        <f t="shared" ref="M82:N87" si="85">A82</f>
        <v>С1</v>
      </c>
      <c r="N82" s="179" t="str">
        <f t="shared" si="85"/>
        <v>РВС ЛВЖ</v>
      </c>
      <c r="O82" s="179" t="str">
        <f t="shared" ref="O82:O87" si="86">D82</f>
        <v>Полное-пожар</v>
      </c>
      <c r="P82" s="179">
        <v>47.1</v>
      </c>
      <c r="Q82" s="179">
        <v>64.099999999999994</v>
      </c>
      <c r="R82" s="179">
        <v>90.1</v>
      </c>
      <c r="S82" s="179">
        <v>161.69999999999999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0.75</v>
      </c>
      <c r="AM82" s="181">
        <v>2.7E-2</v>
      </c>
      <c r="AN82" s="181">
        <v>3</v>
      </c>
      <c r="AQ82" s="182">
        <f>AM82*I82+AL82</f>
        <v>1.08372</v>
      </c>
      <c r="AR82" s="182">
        <f t="shared" ref="AR82:AR87" si="87">0.1*AQ82</f>
        <v>0.10837200000000001</v>
      </c>
      <c r="AS82" s="183">
        <f t="shared" ref="AS82:AS87" si="88">AJ82*3+0.25*AK82</f>
        <v>3.5</v>
      </c>
      <c r="AT82" s="183">
        <f t="shared" ref="AT82:AT87" si="89">SUM(AQ82:AS82)/4</f>
        <v>1.1730229999999999</v>
      </c>
      <c r="AU82" s="182">
        <f>10068.2*J82*POWER(10,-6)</f>
        <v>0.124442952</v>
      </c>
      <c r="AV82" s="183">
        <f t="shared" ref="AV82:AV87" si="90">AU82+AT82+AS82+AR82+AQ82</f>
        <v>5.9895579520000002</v>
      </c>
      <c r="AW82" s="184">
        <f t="shared" ref="AW82:AW87" si="91">AJ82*H82</f>
        <v>1.0000000000000002E-6</v>
      </c>
      <c r="AX82" s="184">
        <f t="shared" ref="AX82:AX87" si="92">H82*AK82</f>
        <v>2.0000000000000003E-6</v>
      </c>
      <c r="AY82" s="184">
        <f t="shared" ref="AY82:AY87" si="93">H82*AV82</f>
        <v>5.989557952000001E-6</v>
      </c>
    </row>
    <row r="83" spans="1:51" s="179" customFormat="1" ht="15" thickBot="1" x14ac:dyDescent="0.35">
      <c r="A83" s="169" t="s">
        <v>19</v>
      </c>
      <c r="B83" s="169" t="str">
        <f>B82</f>
        <v>РВС ЛВЖ</v>
      </c>
      <c r="C83" s="171" t="s">
        <v>197</v>
      </c>
      <c r="D83" s="172" t="s">
        <v>62</v>
      </c>
      <c r="E83" s="185">
        <f>E82</f>
        <v>1.0000000000000001E-5</v>
      </c>
      <c r="F83" s="186">
        <f>F82</f>
        <v>1</v>
      </c>
      <c r="G83" s="169">
        <v>0.18000000000000002</v>
      </c>
      <c r="H83" s="174">
        <f t="shared" si="84"/>
        <v>1.8000000000000003E-6</v>
      </c>
      <c r="I83" s="187">
        <f>I82</f>
        <v>12.36</v>
      </c>
      <c r="J83" s="188">
        <v>0.625</v>
      </c>
      <c r="K83" s="177" t="s">
        <v>176</v>
      </c>
      <c r="L83" s="178">
        <v>0</v>
      </c>
      <c r="M83" s="179" t="str">
        <f t="shared" si="85"/>
        <v>С2</v>
      </c>
      <c r="N83" s="179" t="str">
        <f t="shared" si="85"/>
        <v>РВС ЛВЖ</v>
      </c>
      <c r="O83" s="179" t="str">
        <f t="shared" si="86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64.599999999999994</v>
      </c>
      <c r="W83" s="179">
        <v>216.1</v>
      </c>
      <c r="X83" s="179">
        <v>562.6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0.75</v>
      </c>
      <c r="AM83" s="179">
        <f>AM82</f>
        <v>2.7E-2</v>
      </c>
      <c r="AN83" s="179">
        <f>AN82</f>
        <v>3</v>
      </c>
      <c r="AQ83" s="182">
        <f>AM83*I83+AL83</f>
        <v>1.08372</v>
      </c>
      <c r="AR83" s="182">
        <f t="shared" si="87"/>
        <v>0.10837200000000001</v>
      </c>
      <c r="AS83" s="183">
        <f t="shared" si="88"/>
        <v>6.5</v>
      </c>
      <c r="AT83" s="183">
        <f t="shared" si="89"/>
        <v>1.9230229999999999</v>
      </c>
      <c r="AU83" s="182">
        <f>10068.2*J83*POWER(10,-6)*10</f>
        <v>6.2926249999999989E-2</v>
      </c>
      <c r="AV83" s="183">
        <f t="shared" si="90"/>
        <v>9.6780412499999997</v>
      </c>
      <c r="AW83" s="184">
        <f t="shared" si="91"/>
        <v>3.6000000000000007E-6</v>
      </c>
      <c r="AX83" s="184">
        <f t="shared" si="92"/>
        <v>3.6000000000000007E-6</v>
      </c>
      <c r="AY83" s="184">
        <f t="shared" si="93"/>
        <v>1.7420474250000002E-5</v>
      </c>
    </row>
    <row r="84" spans="1:51" s="179" customFormat="1" x14ac:dyDescent="0.3">
      <c r="A84" s="169" t="s">
        <v>20</v>
      </c>
      <c r="B84" s="169" t="str">
        <f>B82</f>
        <v>РВС ЛВЖ</v>
      </c>
      <c r="C84" s="171" t="s">
        <v>198</v>
      </c>
      <c r="D84" s="172" t="s">
        <v>60</v>
      </c>
      <c r="E84" s="185">
        <f>E82</f>
        <v>1.0000000000000001E-5</v>
      </c>
      <c r="F84" s="186">
        <f>F82</f>
        <v>1</v>
      </c>
      <c r="G84" s="169">
        <v>0.72000000000000008</v>
      </c>
      <c r="H84" s="174">
        <f t="shared" si="84"/>
        <v>7.2000000000000014E-6</v>
      </c>
      <c r="I84" s="187">
        <f>I82</f>
        <v>12.36</v>
      </c>
      <c r="J84" s="189">
        <v>0</v>
      </c>
      <c r="K84" s="177" t="s">
        <v>177</v>
      </c>
      <c r="L84" s="178">
        <v>0</v>
      </c>
      <c r="M84" s="179" t="str">
        <f t="shared" si="85"/>
        <v>С3</v>
      </c>
      <c r="N84" s="179" t="str">
        <f t="shared" si="85"/>
        <v>РВС ЛВЖ</v>
      </c>
      <c r="O84" s="179" t="str">
        <f t="shared" si="86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0.75</v>
      </c>
      <c r="AM84" s="179">
        <f>AM82</f>
        <v>2.7E-2</v>
      </c>
      <c r="AN84" s="179">
        <f>AN82</f>
        <v>3</v>
      </c>
      <c r="AQ84" s="182">
        <f>AM84*I84*0.1+AL84</f>
        <v>0.78337199999999996</v>
      </c>
      <c r="AR84" s="182">
        <f t="shared" si="87"/>
        <v>7.8337199999999996E-2</v>
      </c>
      <c r="AS84" s="183">
        <f t="shared" si="88"/>
        <v>0</v>
      </c>
      <c r="AT84" s="183">
        <f t="shared" si="89"/>
        <v>0.21542729999999999</v>
      </c>
      <c r="AU84" s="182">
        <f>1333*J83*POWER(10,-6)</f>
        <v>8.3312499999999999E-4</v>
      </c>
      <c r="AV84" s="183">
        <f t="shared" si="90"/>
        <v>1.0779696249999999</v>
      </c>
      <c r="AW84" s="184">
        <f t="shared" si="91"/>
        <v>0</v>
      </c>
      <c r="AX84" s="184">
        <f t="shared" si="92"/>
        <v>0</v>
      </c>
      <c r="AY84" s="184">
        <f t="shared" si="93"/>
        <v>7.7613813000000011E-6</v>
      </c>
    </row>
    <row r="85" spans="1:51" s="179" customFormat="1" x14ac:dyDescent="0.3">
      <c r="A85" s="169" t="s">
        <v>21</v>
      </c>
      <c r="B85" s="169" t="str">
        <f>B82</f>
        <v>РВС ЛВЖ</v>
      </c>
      <c r="C85" s="171" t="s">
        <v>199</v>
      </c>
      <c r="D85" s="172" t="s">
        <v>84</v>
      </c>
      <c r="E85" s="173">
        <v>1E-4</v>
      </c>
      <c r="F85" s="186">
        <f>F82</f>
        <v>1</v>
      </c>
      <c r="G85" s="169">
        <v>0.1</v>
      </c>
      <c r="H85" s="174">
        <f t="shared" si="84"/>
        <v>1.0000000000000001E-5</v>
      </c>
      <c r="I85" s="187">
        <f>0.15*I82</f>
        <v>1.8539999999999999</v>
      </c>
      <c r="J85" s="176">
        <f>I85</f>
        <v>1.8539999999999999</v>
      </c>
      <c r="K85" s="190" t="s">
        <v>179</v>
      </c>
      <c r="L85" s="191">
        <v>45390</v>
      </c>
      <c r="M85" s="179" t="str">
        <f t="shared" si="85"/>
        <v>С4</v>
      </c>
      <c r="N85" s="179" t="str">
        <f t="shared" si="85"/>
        <v>РВС ЛВЖ</v>
      </c>
      <c r="O85" s="179" t="str">
        <f t="shared" si="86"/>
        <v>Частичное-пожар</v>
      </c>
      <c r="P85" s="179">
        <v>18.600000000000001</v>
      </c>
      <c r="Q85" s="179">
        <v>25.8</v>
      </c>
      <c r="R85" s="179">
        <v>36.9</v>
      </c>
      <c r="S85" s="179">
        <v>68.8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0.1*$AL$2</f>
        <v>7.5000000000000011E-2</v>
      </c>
      <c r="AM85" s="179">
        <f>AM82</f>
        <v>2.7E-2</v>
      </c>
      <c r="AN85" s="179">
        <f>ROUNDUP(AN82/3,0)</f>
        <v>1</v>
      </c>
      <c r="AQ85" s="182">
        <f>AM85*I85+AL85</f>
        <v>0.125058</v>
      </c>
      <c r="AR85" s="182">
        <f t="shared" si="87"/>
        <v>1.2505800000000001E-2</v>
      </c>
      <c r="AS85" s="183">
        <f t="shared" si="88"/>
        <v>0.5</v>
      </c>
      <c r="AT85" s="183">
        <f t="shared" si="89"/>
        <v>0.15939095</v>
      </c>
      <c r="AU85" s="182">
        <f>10068.2*J85*POWER(10,-6)</f>
        <v>1.8666442799999999E-2</v>
      </c>
      <c r="AV85" s="183">
        <f t="shared" si="90"/>
        <v>0.81562119280000001</v>
      </c>
      <c r="AW85" s="184">
        <f t="shared" si="91"/>
        <v>0</v>
      </c>
      <c r="AX85" s="184">
        <f t="shared" si="92"/>
        <v>2.0000000000000002E-5</v>
      </c>
      <c r="AY85" s="184">
        <f t="shared" si="93"/>
        <v>8.156211928E-6</v>
      </c>
    </row>
    <row r="86" spans="1:51" s="179" customFormat="1" x14ac:dyDescent="0.3">
      <c r="A86" s="169" t="s">
        <v>22</v>
      </c>
      <c r="B86" s="169" t="str">
        <f>B82</f>
        <v>РВС ЛВЖ</v>
      </c>
      <c r="C86" s="171" t="s">
        <v>200</v>
      </c>
      <c r="D86" s="172" t="s">
        <v>165</v>
      </c>
      <c r="E86" s="185">
        <f>E85</f>
        <v>1E-4</v>
      </c>
      <c r="F86" s="186">
        <f>F82</f>
        <v>1</v>
      </c>
      <c r="G86" s="169">
        <v>4.5000000000000005E-2</v>
      </c>
      <c r="H86" s="174">
        <f t="shared" si="84"/>
        <v>4.500000000000001E-6</v>
      </c>
      <c r="I86" s="187">
        <f>0.15*I82</f>
        <v>1.8539999999999999</v>
      </c>
      <c r="J86" s="176">
        <f>0.15*J83</f>
        <v>9.375E-2</v>
      </c>
      <c r="K86" s="190" t="s">
        <v>180</v>
      </c>
      <c r="L86" s="191">
        <v>3</v>
      </c>
      <c r="M86" s="179" t="str">
        <f t="shared" si="85"/>
        <v>С5</v>
      </c>
      <c r="N86" s="179" t="str">
        <f t="shared" si="85"/>
        <v>РВС ЛВЖ</v>
      </c>
      <c r="O86" s="179" t="str">
        <f t="shared" si="86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15.35</v>
      </c>
      <c r="AB86" s="179">
        <v>18.420000000000002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>0.1*$AL$2</f>
        <v>7.5000000000000011E-2</v>
      </c>
      <c r="AM86" s="179">
        <f>AM82</f>
        <v>2.7E-2</v>
      </c>
      <c r="AN86" s="179">
        <f>ROUNDUP(AN82/3,0)</f>
        <v>1</v>
      </c>
      <c r="AQ86" s="182">
        <f>AM86*I86+AL86</f>
        <v>0.125058</v>
      </c>
      <c r="AR86" s="182">
        <f t="shared" si="87"/>
        <v>1.2505800000000001E-2</v>
      </c>
      <c r="AS86" s="183">
        <f t="shared" si="88"/>
        <v>0.25</v>
      </c>
      <c r="AT86" s="183">
        <f t="shared" si="89"/>
        <v>9.6890950000000003E-2</v>
      </c>
      <c r="AU86" s="182">
        <f>10068.2*J86*POWER(10,-6)*10</f>
        <v>9.4389375000000011E-3</v>
      </c>
      <c r="AV86" s="183">
        <f t="shared" si="90"/>
        <v>0.49389368750000001</v>
      </c>
      <c r="AW86" s="184">
        <f t="shared" si="91"/>
        <v>0</v>
      </c>
      <c r="AX86" s="184">
        <f t="shared" si="92"/>
        <v>4.500000000000001E-6</v>
      </c>
      <c r="AY86" s="184">
        <f t="shared" si="93"/>
        <v>2.2225215937500004E-6</v>
      </c>
    </row>
    <row r="87" spans="1:51" s="179" customFormat="1" ht="15" thickBot="1" x14ac:dyDescent="0.35">
      <c r="A87" s="169" t="s">
        <v>23</v>
      </c>
      <c r="B87" s="169" t="str">
        <f>B82</f>
        <v>РВС ЛВЖ</v>
      </c>
      <c r="C87" s="171" t="s">
        <v>201</v>
      </c>
      <c r="D87" s="172" t="s">
        <v>61</v>
      </c>
      <c r="E87" s="185">
        <f>E85</f>
        <v>1E-4</v>
      </c>
      <c r="F87" s="186">
        <f>F82</f>
        <v>1</v>
      </c>
      <c r="G87" s="169">
        <v>0.85499999999999998</v>
      </c>
      <c r="H87" s="174">
        <f t="shared" si="84"/>
        <v>8.5500000000000005E-5</v>
      </c>
      <c r="I87" s="187">
        <f>0.15*I82</f>
        <v>1.8539999999999999</v>
      </c>
      <c r="J87" s="189">
        <v>0</v>
      </c>
      <c r="K87" s="192" t="s">
        <v>191</v>
      </c>
      <c r="L87" s="192">
        <v>9</v>
      </c>
      <c r="M87" s="179" t="str">
        <f t="shared" si="85"/>
        <v>С6</v>
      </c>
      <c r="N87" s="179" t="str">
        <f t="shared" si="85"/>
        <v>РВС ЛВЖ</v>
      </c>
      <c r="O87" s="179" t="str">
        <f t="shared" si="86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>0.1*$AL$2</f>
        <v>7.5000000000000011E-2</v>
      </c>
      <c r="AM87" s="179">
        <f>AM82</f>
        <v>2.7E-2</v>
      </c>
      <c r="AN87" s="179">
        <f>ROUNDUP(AN82/3,0)</f>
        <v>1</v>
      </c>
      <c r="AQ87" s="182">
        <f>AM87*I87*0.1+AL87</f>
        <v>8.0005800000000016E-2</v>
      </c>
      <c r="AR87" s="182">
        <f t="shared" si="87"/>
        <v>8.0005800000000019E-3</v>
      </c>
      <c r="AS87" s="183">
        <f t="shared" si="88"/>
        <v>0</v>
      </c>
      <c r="AT87" s="183">
        <f t="shared" si="89"/>
        <v>2.2001595000000006E-2</v>
      </c>
      <c r="AU87" s="182">
        <f>1333*J86*POWER(10,-6)</f>
        <v>1.2496875E-4</v>
      </c>
      <c r="AV87" s="183">
        <f t="shared" si="90"/>
        <v>0.11013294375000002</v>
      </c>
      <c r="AW87" s="184">
        <f t="shared" si="91"/>
        <v>0</v>
      </c>
      <c r="AX87" s="184">
        <f t="shared" si="92"/>
        <v>0</v>
      </c>
      <c r="AY87" s="184">
        <f t="shared" si="93"/>
        <v>9.4163666906250021E-6</v>
      </c>
    </row>
    <row r="88" spans="1:51" s="179" customFormat="1" x14ac:dyDescent="0.3">
      <c r="A88" s="180"/>
      <c r="B88" s="180"/>
      <c r="D88" s="271"/>
      <c r="E88" s="272"/>
      <c r="F88" s="273"/>
      <c r="G88" s="180"/>
      <c r="H88" s="184"/>
      <c r="I88" s="183"/>
      <c r="J88" s="180"/>
      <c r="K88" s="180"/>
      <c r="L88" s="180"/>
      <c r="AQ88" s="182"/>
      <c r="AR88" s="182"/>
      <c r="AS88" s="183"/>
      <c r="AT88" s="183"/>
      <c r="AU88" s="182"/>
      <c r="AV88" s="183"/>
      <c r="AW88" s="184"/>
      <c r="AX88" s="184"/>
      <c r="AY88" s="184"/>
    </row>
    <row r="89" spans="1:51" s="179" customFormat="1" x14ac:dyDescent="0.3">
      <c r="A89" s="180"/>
      <c r="B89" s="180"/>
      <c r="D89" s="271"/>
      <c r="E89" s="272"/>
      <c r="F89" s="273"/>
      <c r="G89" s="180"/>
      <c r="H89" s="184"/>
      <c r="I89" s="183"/>
      <c r="J89" s="180"/>
      <c r="K89" s="180"/>
      <c r="L89" s="180"/>
      <c r="AQ89" s="182"/>
      <c r="AR89" s="182"/>
      <c r="AS89" s="183"/>
      <c r="AT89" s="183"/>
      <c r="AU89" s="182"/>
      <c r="AV89" s="183"/>
      <c r="AW89" s="184"/>
      <c r="AX89" s="184"/>
      <c r="AY89" s="184"/>
    </row>
    <row r="90" spans="1:51" s="179" customFormat="1" x14ac:dyDescent="0.3">
      <c r="A90" s="180"/>
      <c r="B90" s="180"/>
      <c r="D90" s="271"/>
      <c r="E90" s="272"/>
      <c r="F90" s="273"/>
      <c r="G90" s="180"/>
      <c r="H90" s="184"/>
      <c r="I90" s="183"/>
      <c r="J90" s="180"/>
      <c r="K90" s="180"/>
      <c r="L90" s="180"/>
      <c r="AQ90" s="182"/>
      <c r="AR90" s="182"/>
      <c r="AS90" s="183"/>
      <c r="AT90" s="183"/>
      <c r="AU90" s="182"/>
      <c r="AV90" s="183"/>
      <c r="AW90" s="184"/>
      <c r="AX90" s="184"/>
      <c r="AY90" s="184"/>
    </row>
    <row r="91" spans="1:51" ht="15" thickBot="1" x14ac:dyDescent="0.35">
      <c r="E91" s="56"/>
      <c r="F91" s="56"/>
    </row>
    <row r="92" spans="1:51" s="179" customFormat="1" ht="15" thickBot="1" x14ac:dyDescent="0.35">
      <c r="A92" s="169" t="s">
        <v>18</v>
      </c>
      <c r="B92" s="170" t="s">
        <v>208</v>
      </c>
      <c r="C92" s="171" t="s">
        <v>196</v>
      </c>
      <c r="D92" s="172" t="s">
        <v>59</v>
      </c>
      <c r="E92" s="173">
        <v>1.0000000000000001E-5</v>
      </c>
      <c r="F92" s="170">
        <v>1</v>
      </c>
      <c r="G92" s="169">
        <v>0.1</v>
      </c>
      <c r="H92" s="174">
        <f t="shared" ref="H92:H97" si="94">E92*F92*G92</f>
        <v>1.0000000000000002E-6</v>
      </c>
      <c r="I92" s="175">
        <v>5.4</v>
      </c>
      <c r="J92" s="187">
        <f>I92</f>
        <v>5.4</v>
      </c>
      <c r="K92" s="177" t="s">
        <v>175</v>
      </c>
      <c r="L92" s="178">
        <v>5000</v>
      </c>
      <c r="M92" s="179" t="str">
        <f t="shared" ref="M92:N97" si="95">A92</f>
        <v>С1</v>
      </c>
      <c r="N92" s="179" t="str">
        <f t="shared" si="95"/>
        <v>РВС ЛВЖ+токси</v>
      </c>
      <c r="O92" s="179" t="str">
        <f t="shared" ref="O92:O97" si="96">D92</f>
        <v>Полное-пожар</v>
      </c>
      <c r="P92" s="179">
        <v>47.1</v>
      </c>
      <c r="Q92" s="179">
        <v>64.099999999999994</v>
      </c>
      <c r="R92" s="179">
        <v>90.1</v>
      </c>
      <c r="S92" s="179">
        <v>161.69999999999999</v>
      </c>
      <c r="T92" s="179" t="s">
        <v>83</v>
      </c>
      <c r="U92" s="179" t="s">
        <v>83</v>
      </c>
      <c r="V92" s="179" t="s">
        <v>83</v>
      </c>
      <c r="W92" s="179" t="s">
        <v>83</v>
      </c>
      <c r="X92" s="179" t="s">
        <v>83</v>
      </c>
      <c r="Y92" s="179" t="s">
        <v>83</v>
      </c>
      <c r="Z92" s="179" t="s">
        <v>83</v>
      </c>
      <c r="AA92" s="179" t="s">
        <v>83</v>
      </c>
      <c r="AB92" s="179" t="s">
        <v>83</v>
      </c>
      <c r="AC92" s="179" t="s">
        <v>83</v>
      </c>
      <c r="AD92" s="179" t="s">
        <v>83</v>
      </c>
      <c r="AE92" s="179" t="s">
        <v>83</v>
      </c>
      <c r="AF92" s="179" t="s">
        <v>83</v>
      </c>
      <c r="AG92" s="179" t="s">
        <v>83</v>
      </c>
      <c r="AH92" s="179" t="s">
        <v>83</v>
      </c>
      <c r="AI92" s="179" t="s">
        <v>83</v>
      </c>
      <c r="AJ92" s="180">
        <v>1</v>
      </c>
      <c r="AK92" s="180">
        <v>2</v>
      </c>
      <c r="AL92" s="181">
        <v>0.75</v>
      </c>
      <c r="AM92" s="181">
        <v>2.7E-2</v>
      </c>
      <c r="AN92" s="181">
        <v>3</v>
      </c>
      <c r="AQ92" s="182">
        <f>AM92*I92+AL92</f>
        <v>0.89580000000000004</v>
      </c>
      <c r="AR92" s="182">
        <f t="shared" ref="AR92:AR97" si="97">0.1*AQ92</f>
        <v>8.9580000000000007E-2</v>
      </c>
      <c r="AS92" s="183">
        <f t="shared" ref="AS92:AS97" si="98">AJ92*3+0.25*AK92</f>
        <v>3.5</v>
      </c>
      <c r="AT92" s="183">
        <f t="shared" ref="AT92:AT97" si="99">SUM(AQ92:AS92)/4</f>
        <v>1.121345</v>
      </c>
      <c r="AU92" s="182">
        <f>10068.2*J92*POWER(10,-6)</f>
        <v>5.4368280000000005E-2</v>
      </c>
      <c r="AV92" s="183">
        <f t="shared" ref="AV92:AV97" si="100">AU92+AT92+AS92+AR92+AQ92</f>
        <v>5.6610932800000002</v>
      </c>
      <c r="AW92" s="184">
        <f t="shared" ref="AW92:AW97" si="101">AJ92*H92</f>
        <v>1.0000000000000002E-6</v>
      </c>
      <c r="AX92" s="184">
        <f t="shared" ref="AX92:AX97" si="102">H92*AK92</f>
        <v>2.0000000000000003E-6</v>
      </c>
      <c r="AY92" s="184">
        <f t="shared" ref="AY92:AY97" si="103">H92*AV92</f>
        <v>5.6610932800000009E-6</v>
      </c>
    </row>
    <row r="93" spans="1:51" s="179" customFormat="1" ht="15" thickBot="1" x14ac:dyDescent="0.35">
      <c r="A93" s="169" t="s">
        <v>19</v>
      </c>
      <c r="B93" s="169" t="str">
        <f>B92</f>
        <v>РВС ЛВЖ+токси</v>
      </c>
      <c r="C93" s="171" t="s">
        <v>202</v>
      </c>
      <c r="D93" s="172" t="s">
        <v>62</v>
      </c>
      <c r="E93" s="185">
        <f>E92</f>
        <v>1.0000000000000001E-5</v>
      </c>
      <c r="F93" s="186">
        <f>F92</f>
        <v>1</v>
      </c>
      <c r="G93" s="169">
        <v>0.18000000000000002</v>
      </c>
      <c r="H93" s="174">
        <f t="shared" si="94"/>
        <v>1.8000000000000003E-6</v>
      </c>
      <c r="I93" s="187">
        <f>I92</f>
        <v>5.4</v>
      </c>
      <c r="J93" s="170">
        <v>0.12</v>
      </c>
      <c r="K93" s="177" t="s">
        <v>176</v>
      </c>
      <c r="L93" s="178">
        <v>0</v>
      </c>
      <c r="M93" s="179" t="str">
        <f t="shared" si="95"/>
        <v>С2</v>
      </c>
      <c r="N93" s="179" t="str">
        <f t="shared" si="95"/>
        <v>РВС ЛВЖ+токси</v>
      </c>
      <c r="O93" s="179" t="str">
        <f t="shared" si="96"/>
        <v>Полное-взрыв</v>
      </c>
      <c r="P93" s="179" t="s">
        <v>83</v>
      </c>
      <c r="Q93" s="179" t="s">
        <v>83</v>
      </c>
      <c r="R93" s="179" t="s">
        <v>83</v>
      </c>
      <c r="S93" s="179" t="s">
        <v>83</v>
      </c>
      <c r="T93" s="179">
        <v>0</v>
      </c>
      <c r="U93" s="179">
        <v>0</v>
      </c>
      <c r="V93" s="179">
        <v>37.6</v>
      </c>
      <c r="W93" s="179">
        <v>124.6</v>
      </c>
      <c r="X93" s="179">
        <v>324.60000000000002</v>
      </c>
      <c r="Y93" s="179" t="s">
        <v>83</v>
      </c>
      <c r="Z93" s="179" t="s">
        <v>83</v>
      </c>
      <c r="AA93" s="179" t="s">
        <v>83</v>
      </c>
      <c r="AB93" s="179" t="s">
        <v>83</v>
      </c>
      <c r="AC93" s="179" t="s">
        <v>83</v>
      </c>
      <c r="AD93" s="179" t="s">
        <v>83</v>
      </c>
      <c r="AE93" s="179" t="s">
        <v>83</v>
      </c>
      <c r="AF93" s="179" t="s">
        <v>83</v>
      </c>
      <c r="AG93" s="179" t="s">
        <v>83</v>
      </c>
      <c r="AH93" s="179" t="s">
        <v>83</v>
      </c>
      <c r="AI93" s="179" t="s">
        <v>83</v>
      </c>
      <c r="AJ93" s="180">
        <v>2</v>
      </c>
      <c r="AK93" s="180">
        <v>2</v>
      </c>
      <c r="AL93" s="179">
        <f>AL92</f>
        <v>0.75</v>
      </c>
      <c r="AM93" s="179">
        <f>AM92</f>
        <v>2.7E-2</v>
      </c>
      <c r="AN93" s="179">
        <f>AN92</f>
        <v>3</v>
      </c>
      <c r="AQ93" s="182">
        <f>AM93*I93+AL93</f>
        <v>0.89580000000000004</v>
      </c>
      <c r="AR93" s="182">
        <f t="shared" si="97"/>
        <v>8.9580000000000007E-2</v>
      </c>
      <c r="AS93" s="183">
        <f t="shared" si="98"/>
        <v>6.5</v>
      </c>
      <c r="AT93" s="183">
        <f t="shared" si="99"/>
        <v>1.871345</v>
      </c>
      <c r="AU93" s="182">
        <f>10068.2*J93*POWER(10,-6)*10</f>
        <v>1.208184E-2</v>
      </c>
      <c r="AV93" s="183">
        <f t="shared" si="100"/>
        <v>9.3688068399999995</v>
      </c>
      <c r="AW93" s="184">
        <f t="shared" si="101"/>
        <v>3.6000000000000007E-6</v>
      </c>
      <c r="AX93" s="184">
        <f t="shared" si="102"/>
        <v>3.6000000000000007E-6</v>
      </c>
      <c r="AY93" s="184">
        <f t="shared" si="103"/>
        <v>1.6863852312000004E-5</v>
      </c>
    </row>
    <row r="94" spans="1:51" s="179" customFormat="1" x14ac:dyDescent="0.3">
      <c r="A94" s="169" t="s">
        <v>20</v>
      </c>
      <c r="B94" s="169" t="str">
        <f>B92</f>
        <v>РВС ЛВЖ+токси</v>
      </c>
      <c r="C94" s="171" t="s">
        <v>203</v>
      </c>
      <c r="D94" s="172" t="s">
        <v>171</v>
      </c>
      <c r="E94" s="185">
        <f>E92</f>
        <v>1.0000000000000001E-5</v>
      </c>
      <c r="F94" s="186">
        <f>F92</f>
        <v>1</v>
      </c>
      <c r="G94" s="169">
        <v>0.72000000000000008</v>
      </c>
      <c r="H94" s="174">
        <f t="shared" si="94"/>
        <v>7.2000000000000014E-6</v>
      </c>
      <c r="I94" s="187">
        <f>I92</f>
        <v>5.4</v>
      </c>
      <c r="J94" s="169">
        <f>J93</f>
        <v>0.12</v>
      </c>
      <c r="K94" s="177" t="s">
        <v>177</v>
      </c>
      <c r="L94" s="178">
        <v>0</v>
      </c>
      <c r="M94" s="179" t="str">
        <f t="shared" si="95"/>
        <v>С3</v>
      </c>
      <c r="N94" s="179" t="str">
        <f t="shared" si="95"/>
        <v>РВС ЛВЖ+токси</v>
      </c>
      <c r="O94" s="179" t="str">
        <f t="shared" si="96"/>
        <v>Полное-токси</v>
      </c>
      <c r="P94" s="179" t="s">
        <v>83</v>
      </c>
      <c r="Q94" s="179" t="s">
        <v>83</v>
      </c>
      <c r="R94" s="179" t="s">
        <v>83</v>
      </c>
      <c r="S94" s="179" t="s">
        <v>83</v>
      </c>
      <c r="T94" s="179" t="s">
        <v>83</v>
      </c>
      <c r="U94" s="179" t="s">
        <v>83</v>
      </c>
      <c r="V94" s="179" t="s">
        <v>83</v>
      </c>
      <c r="W94" s="179" t="s">
        <v>83</v>
      </c>
      <c r="X94" s="179" t="s">
        <v>83</v>
      </c>
      <c r="Y94" s="179" t="s">
        <v>83</v>
      </c>
      <c r="Z94" s="179" t="s">
        <v>83</v>
      </c>
      <c r="AA94" s="179" t="s">
        <v>83</v>
      </c>
      <c r="AB94" s="179" t="s">
        <v>83</v>
      </c>
      <c r="AC94" s="179">
        <v>43.8</v>
      </c>
      <c r="AD94" s="179">
        <v>82.7</v>
      </c>
      <c r="AE94" s="179" t="s">
        <v>83</v>
      </c>
      <c r="AF94" s="179" t="s">
        <v>83</v>
      </c>
      <c r="AG94" s="179" t="s">
        <v>83</v>
      </c>
      <c r="AH94" s="179" t="s">
        <v>83</v>
      </c>
      <c r="AI94" s="179" t="s">
        <v>83</v>
      </c>
      <c r="AJ94" s="179">
        <v>0</v>
      </c>
      <c r="AK94" s="179">
        <v>1</v>
      </c>
      <c r="AL94" s="179">
        <f>AL92</f>
        <v>0.75</v>
      </c>
      <c r="AM94" s="179">
        <f>AM92</f>
        <v>2.7E-2</v>
      </c>
      <c r="AN94" s="179">
        <f>AN92</f>
        <v>3</v>
      </c>
      <c r="AQ94" s="182">
        <f>AM94*I94*0.1+AL94</f>
        <v>0.76458000000000004</v>
      </c>
      <c r="AR94" s="182">
        <f t="shared" si="97"/>
        <v>7.6458000000000012E-2</v>
      </c>
      <c r="AS94" s="183">
        <f t="shared" si="98"/>
        <v>0.25</v>
      </c>
      <c r="AT94" s="183">
        <f t="shared" si="99"/>
        <v>0.27275950000000004</v>
      </c>
      <c r="AU94" s="182">
        <f>1333*J93*POWER(10,-6)</f>
        <v>1.5996000000000001E-4</v>
      </c>
      <c r="AV94" s="183">
        <f t="shared" si="100"/>
        <v>1.36395746</v>
      </c>
      <c r="AW94" s="184">
        <f t="shared" si="101"/>
        <v>0</v>
      </c>
      <c r="AX94" s="184">
        <f t="shared" si="102"/>
        <v>7.2000000000000014E-6</v>
      </c>
      <c r="AY94" s="184">
        <f t="shared" si="103"/>
        <v>9.8204937120000012E-6</v>
      </c>
    </row>
    <row r="95" spans="1:51" s="179" customFormat="1" x14ac:dyDescent="0.3">
      <c r="A95" s="169" t="s">
        <v>21</v>
      </c>
      <c r="B95" s="169" t="str">
        <f>B92</f>
        <v>РВС ЛВЖ+токси</v>
      </c>
      <c r="C95" s="171" t="s">
        <v>199</v>
      </c>
      <c r="D95" s="172" t="s">
        <v>84</v>
      </c>
      <c r="E95" s="173">
        <v>1E-4</v>
      </c>
      <c r="F95" s="186">
        <f>F92</f>
        <v>1</v>
      </c>
      <c r="G95" s="169">
        <v>0.1</v>
      </c>
      <c r="H95" s="174">
        <f t="shared" si="94"/>
        <v>1.0000000000000001E-5</v>
      </c>
      <c r="I95" s="187">
        <f>0.15*I92</f>
        <v>0.81</v>
      </c>
      <c r="J95" s="187">
        <f>I95</f>
        <v>0.81</v>
      </c>
      <c r="K95" s="190" t="s">
        <v>179</v>
      </c>
      <c r="L95" s="191">
        <v>45390</v>
      </c>
      <c r="M95" s="179" t="str">
        <f t="shared" si="95"/>
        <v>С4</v>
      </c>
      <c r="N95" s="179" t="str">
        <f t="shared" si="95"/>
        <v>РВС ЛВЖ+токси</v>
      </c>
      <c r="O95" s="179" t="str">
        <f t="shared" si="96"/>
        <v>Частичное-пожар</v>
      </c>
      <c r="P95" s="179">
        <v>18.600000000000001</v>
      </c>
      <c r="Q95" s="179">
        <v>25.8</v>
      </c>
      <c r="R95" s="179">
        <v>36.9</v>
      </c>
      <c r="S95" s="179">
        <v>68.8</v>
      </c>
      <c r="T95" s="179" t="s">
        <v>83</v>
      </c>
      <c r="U95" s="179" t="s">
        <v>83</v>
      </c>
      <c r="V95" s="179" t="s">
        <v>83</v>
      </c>
      <c r="W95" s="179" t="s">
        <v>83</v>
      </c>
      <c r="X95" s="179" t="s">
        <v>83</v>
      </c>
      <c r="Y95" s="179" t="s">
        <v>83</v>
      </c>
      <c r="Z95" s="179" t="s">
        <v>83</v>
      </c>
      <c r="AA95" s="179" t="s">
        <v>83</v>
      </c>
      <c r="AB95" s="179" t="s">
        <v>83</v>
      </c>
      <c r="AC95" s="179" t="s">
        <v>83</v>
      </c>
      <c r="AD95" s="179" t="s">
        <v>83</v>
      </c>
      <c r="AE95" s="179" t="s">
        <v>83</v>
      </c>
      <c r="AF95" s="179" t="s">
        <v>83</v>
      </c>
      <c r="AG95" s="179" t="s">
        <v>83</v>
      </c>
      <c r="AH95" s="179" t="s">
        <v>83</v>
      </c>
      <c r="AI95" s="179" t="s">
        <v>83</v>
      </c>
      <c r="AJ95" s="179">
        <v>0</v>
      </c>
      <c r="AK95" s="179">
        <v>2</v>
      </c>
      <c r="AL95" s="179">
        <f>0.1*$AL$2</f>
        <v>7.5000000000000011E-2</v>
      </c>
      <c r="AM95" s="179">
        <f>AM92</f>
        <v>2.7E-2</v>
      </c>
      <c r="AN95" s="179">
        <f>ROUNDUP(AN92/3,0)</f>
        <v>1</v>
      </c>
      <c r="AQ95" s="182">
        <f>AM95*I95+AL95</f>
        <v>9.6870000000000012E-2</v>
      </c>
      <c r="AR95" s="182">
        <f t="shared" si="97"/>
        <v>9.6870000000000012E-3</v>
      </c>
      <c r="AS95" s="183">
        <f t="shared" si="98"/>
        <v>0.5</v>
      </c>
      <c r="AT95" s="183">
        <f t="shared" si="99"/>
        <v>0.15163925</v>
      </c>
      <c r="AU95" s="182">
        <f>10068.2*J95*POWER(10,-6)</f>
        <v>8.155242E-3</v>
      </c>
      <c r="AV95" s="183">
        <f t="shared" si="100"/>
        <v>0.76635149200000008</v>
      </c>
      <c r="AW95" s="184">
        <f t="shared" si="101"/>
        <v>0</v>
      </c>
      <c r="AX95" s="184">
        <f t="shared" si="102"/>
        <v>2.0000000000000002E-5</v>
      </c>
      <c r="AY95" s="184">
        <f t="shared" si="103"/>
        <v>7.6635149200000012E-6</v>
      </c>
    </row>
    <row r="96" spans="1:51" s="179" customFormat="1" x14ac:dyDescent="0.3">
      <c r="A96" s="169" t="s">
        <v>22</v>
      </c>
      <c r="B96" s="169" t="str">
        <f>B92</f>
        <v>РВС ЛВЖ+токси</v>
      </c>
      <c r="C96" s="171" t="s">
        <v>200</v>
      </c>
      <c r="D96" s="172" t="s">
        <v>165</v>
      </c>
      <c r="E96" s="185">
        <f>E95</f>
        <v>1E-4</v>
      </c>
      <c r="F96" s="186">
        <f>F92</f>
        <v>1</v>
      </c>
      <c r="G96" s="169">
        <v>4.5000000000000005E-2</v>
      </c>
      <c r="H96" s="174">
        <f t="shared" si="94"/>
        <v>4.500000000000001E-6</v>
      </c>
      <c r="I96" s="187">
        <f>0.15*I92</f>
        <v>0.81</v>
      </c>
      <c r="J96" s="187">
        <f>0.15*J93</f>
        <v>1.7999999999999999E-2</v>
      </c>
      <c r="K96" s="190" t="s">
        <v>180</v>
      </c>
      <c r="L96" s="191">
        <v>3</v>
      </c>
      <c r="M96" s="179" t="str">
        <f t="shared" si="95"/>
        <v>С5</v>
      </c>
      <c r="N96" s="179" t="str">
        <f t="shared" si="95"/>
        <v>РВС ЛВЖ+токси</v>
      </c>
      <c r="O96" s="179" t="str">
        <f t="shared" si="96"/>
        <v>Частичное-пожар-вспышка</v>
      </c>
      <c r="P96" s="179" t="s">
        <v>83</v>
      </c>
      <c r="Q96" s="179" t="s">
        <v>83</v>
      </c>
      <c r="R96" s="179" t="s">
        <v>83</v>
      </c>
      <c r="S96" s="179" t="s">
        <v>83</v>
      </c>
      <c r="T96" s="179" t="s">
        <v>83</v>
      </c>
      <c r="U96" s="179" t="s">
        <v>83</v>
      </c>
      <c r="V96" s="179" t="s">
        <v>83</v>
      </c>
      <c r="W96" s="179" t="s">
        <v>83</v>
      </c>
      <c r="X96" s="179" t="s">
        <v>83</v>
      </c>
      <c r="Y96" s="179" t="s">
        <v>83</v>
      </c>
      <c r="Z96" s="179" t="s">
        <v>83</v>
      </c>
      <c r="AA96" s="179">
        <v>8.9</v>
      </c>
      <c r="AB96" s="179">
        <v>10.68</v>
      </c>
      <c r="AC96" s="179" t="s">
        <v>83</v>
      </c>
      <c r="AD96" s="179" t="s">
        <v>83</v>
      </c>
      <c r="AE96" s="179" t="s">
        <v>83</v>
      </c>
      <c r="AF96" s="179" t="s">
        <v>83</v>
      </c>
      <c r="AG96" s="179" t="s">
        <v>83</v>
      </c>
      <c r="AH96" s="179" t="s">
        <v>83</v>
      </c>
      <c r="AI96" s="179" t="s">
        <v>83</v>
      </c>
      <c r="AJ96" s="179">
        <v>0</v>
      </c>
      <c r="AK96" s="179">
        <v>1</v>
      </c>
      <c r="AL96" s="179">
        <f>0.1*$AL$2</f>
        <v>7.5000000000000011E-2</v>
      </c>
      <c r="AM96" s="179">
        <f>AM92</f>
        <v>2.7E-2</v>
      </c>
      <c r="AN96" s="179">
        <f>ROUNDUP(AN92/3,0)</f>
        <v>1</v>
      </c>
      <c r="AQ96" s="182">
        <f>AM96*I96+AL96</f>
        <v>9.6870000000000012E-2</v>
      </c>
      <c r="AR96" s="182">
        <f t="shared" si="97"/>
        <v>9.6870000000000012E-3</v>
      </c>
      <c r="AS96" s="183">
        <f t="shared" si="98"/>
        <v>0.25</v>
      </c>
      <c r="AT96" s="183">
        <f t="shared" si="99"/>
        <v>8.9139250000000003E-2</v>
      </c>
      <c r="AU96" s="182">
        <f>10068.2*J96*POWER(10,-6)*10</f>
        <v>1.8122759999999998E-3</v>
      </c>
      <c r="AV96" s="183">
        <f t="shared" si="100"/>
        <v>0.44750852600000002</v>
      </c>
      <c r="AW96" s="184">
        <f t="shared" si="101"/>
        <v>0</v>
      </c>
      <c r="AX96" s="184">
        <f t="shared" si="102"/>
        <v>4.500000000000001E-6</v>
      </c>
      <c r="AY96" s="184">
        <f t="shared" si="103"/>
        <v>2.0137883670000004E-6</v>
      </c>
    </row>
    <row r="97" spans="1:51" s="179" customFormat="1" ht="15" thickBot="1" x14ac:dyDescent="0.35">
      <c r="A97" s="169" t="s">
        <v>23</v>
      </c>
      <c r="B97" s="169" t="str">
        <f>B92</f>
        <v>РВС ЛВЖ+токси</v>
      </c>
      <c r="C97" s="171" t="s">
        <v>204</v>
      </c>
      <c r="D97" s="172" t="s">
        <v>172</v>
      </c>
      <c r="E97" s="185">
        <f>E95</f>
        <v>1E-4</v>
      </c>
      <c r="F97" s="186">
        <f>F92</f>
        <v>1</v>
      </c>
      <c r="G97" s="169">
        <v>0.85499999999999998</v>
      </c>
      <c r="H97" s="174">
        <f t="shared" si="94"/>
        <v>8.5500000000000005E-5</v>
      </c>
      <c r="I97" s="187">
        <f>0.15*I92</f>
        <v>0.81</v>
      </c>
      <c r="J97" s="187">
        <f>J96</f>
        <v>1.7999999999999999E-2</v>
      </c>
      <c r="K97" s="192" t="s">
        <v>191</v>
      </c>
      <c r="L97" s="192">
        <v>10</v>
      </c>
      <c r="M97" s="179" t="str">
        <f t="shared" si="95"/>
        <v>С6</v>
      </c>
      <c r="N97" s="179" t="str">
        <f t="shared" si="95"/>
        <v>РВС ЛВЖ+токси</v>
      </c>
      <c r="O97" s="179" t="str">
        <f t="shared" si="96"/>
        <v>Частичное-токси</v>
      </c>
      <c r="P97" s="179" t="s">
        <v>83</v>
      </c>
      <c r="Q97" s="179" t="s">
        <v>83</v>
      </c>
      <c r="R97" s="179" t="s">
        <v>83</v>
      </c>
      <c r="S97" s="179" t="s">
        <v>83</v>
      </c>
      <c r="T97" s="179" t="s">
        <v>83</v>
      </c>
      <c r="U97" s="179" t="s">
        <v>83</v>
      </c>
      <c r="V97" s="179" t="s">
        <v>83</v>
      </c>
      <c r="W97" s="179" t="s">
        <v>83</v>
      </c>
      <c r="X97" s="179" t="s">
        <v>83</v>
      </c>
      <c r="Y97" s="179" t="s">
        <v>83</v>
      </c>
      <c r="Z97" s="179" t="s">
        <v>83</v>
      </c>
      <c r="AA97" s="179" t="s">
        <v>83</v>
      </c>
      <c r="AB97" s="179" t="s">
        <v>83</v>
      </c>
      <c r="AC97" s="179">
        <v>6.6</v>
      </c>
      <c r="AD97" s="179">
        <v>12.4</v>
      </c>
      <c r="AE97" s="179" t="s">
        <v>83</v>
      </c>
      <c r="AF97" s="179" t="s">
        <v>83</v>
      </c>
      <c r="AG97" s="179" t="s">
        <v>83</v>
      </c>
      <c r="AH97" s="179" t="s">
        <v>83</v>
      </c>
      <c r="AI97" s="179" t="s">
        <v>83</v>
      </c>
      <c r="AJ97" s="179">
        <v>0</v>
      </c>
      <c r="AK97" s="179">
        <v>1</v>
      </c>
      <c r="AL97" s="179">
        <f>0.1*$AL$2</f>
        <v>7.5000000000000011E-2</v>
      </c>
      <c r="AM97" s="179">
        <f>AM92</f>
        <v>2.7E-2</v>
      </c>
      <c r="AN97" s="179">
        <f>ROUNDUP(AN92/3,0)</f>
        <v>1</v>
      </c>
      <c r="AQ97" s="182">
        <f>AM97*I97*0.1+AL97</f>
        <v>7.7187000000000006E-2</v>
      </c>
      <c r="AR97" s="182">
        <f t="shared" si="97"/>
        <v>7.7187000000000011E-3</v>
      </c>
      <c r="AS97" s="183">
        <f t="shared" si="98"/>
        <v>0.25</v>
      </c>
      <c r="AT97" s="183">
        <f t="shared" si="99"/>
        <v>8.3726424999999993E-2</v>
      </c>
      <c r="AU97" s="182">
        <f>1333*J96*POWER(10,-6)</f>
        <v>2.3993999999999998E-5</v>
      </c>
      <c r="AV97" s="183">
        <f t="shared" si="100"/>
        <v>0.41865611900000005</v>
      </c>
      <c r="AW97" s="184">
        <f t="shared" si="101"/>
        <v>0</v>
      </c>
      <c r="AX97" s="184">
        <f t="shared" si="102"/>
        <v>8.5500000000000005E-5</v>
      </c>
      <c r="AY97" s="184">
        <f t="shared" si="103"/>
        <v>3.5795098174500009E-5</v>
      </c>
    </row>
    <row r="98" spans="1:51" s="179" customFormat="1" x14ac:dyDescent="0.3">
      <c r="A98" s="180"/>
      <c r="B98" s="180"/>
      <c r="D98" s="271"/>
      <c r="E98" s="272"/>
      <c r="F98" s="273"/>
      <c r="G98" s="180"/>
      <c r="H98" s="184"/>
      <c r="I98" s="183"/>
      <c r="J98" s="180"/>
      <c r="K98" s="180"/>
      <c r="L98" s="180"/>
      <c r="AQ98" s="182"/>
      <c r="AR98" s="182"/>
      <c r="AS98" s="183"/>
      <c r="AT98" s="183"/>
      <c r="AU98" s="182"/>
      <c r="AV98" s="183"/>
      <c r="AW98" s="184"/>
      <c r="AX98" s="184"/>
      <c r="AY98" s="184"/>
    </row>
    <row r="99" spans="1:51" s="179" customFormat="1" x14ac:dyDescent="0.3">
      <c r="A99" s="180"/>
      <c r="B99" s="180"/>
      <c r="D99" s="271"/>
      <c r="E99" s="272"/>
      <c r="F99" s="273"/>
      <c r="G99" s="180"/>
      <c r="H99" s="184"/>
      <c r="I99" s="183"/>
      <c r="J99" s="180"/>
      <c r="K99" s="180"/>
      <c r="L99" s="180"/>
      <c r="AQ99" s="182"/>
      <c r="AR99" s="182"/>
      <c r="AS99" s="183"/>
      <c r="AT99" s="183"/>
      <c r="AU99" s="182"/>
      <c r="AV99" s="183"/>
      <c r="AW99" s="184"/>
      <c r="AX99" s="184"/>
      <c r="AY99" s="184"/>
    </row>
    <row r="100" spans="1:51" s="179" customFormat="1" x14ac:dyDescent="0.3">
      <c r="A100" s="180"/>
      <c r="B100" s="180"/>
      <c r="D100" s="271"/>
      <c r="E100" s="272"/>
      <c r="F100" s="273"/>
      <c r="G100" s="180"/>
      <c r="H100" s="184"/>
      <c r="I100" s="183"/>
      <c r="J100" s="180"/>
      <c r="K100" s="180"/>
      <c r="L100" s="180"/>
      <c r="AQ100" s="182"/>
      <c r="AR100" s="182"/>
      <c r="AS100" s="183"/>
      <c r="AT100" s="183"/>
      <c r="AU100" s="182"/>
      <c r="AV100" s="183"/>
      <c r="AW100" s="184"/>
      <c r="AX100" s="184"/>
      <c r="AY100" s="184"/>
    </row>
    <row r="101" spans="1:51" ht="15" thickBot="1" x14ac:dyDescent="0.35"/>
    <row r="102" spans="1:51" s="179" customFormat="1" ht="15" thickBot="1" x14ac:dyDescent="0.35">
      <c r="A102" s="169" t="s">
        <v>18</v>
      </c>
      <c r="B102" s="170" t="s">
        <v>209</v>
      </c>
      <c r="C102" s="171" t="s">
        <v>196</v>
      </c>
      <c r="D102" s="172" t="s">
        <v>59</v>
      </c>
      <c r="E102" s="173">
        <v>1.0000000000000001E-5</v>
      </c>
      <c r="F102" s="170">
        <v>1</v>
      </c>
      <c r="G102" s="169">
        <v>0.1</v>
      </c>
      <c r="H102" s="174">
        <f t="shared" ref="H102:H107" si="104">E102*F102*G102</f>
        <v>1.0000000000000002E-6</v>
      </c>
      <c r="I102" s="175">
        <v>12.36</v>
      </c>
      <c r="J102" s="187">
        <f>I102</f>
        <v>12.36</v>
      </c>
      <c r="K102" s="177" t="s">
        <v>175</v>
      </c>
      <c r="L102" s="178">
        <v>5000</v>
      </c>
      <c r="M102" s="179" t="str">
        <f t="shared" ref="M102:M107" si="105">A102</f>
        <v>С1</v>
      </c>
      <c r="N102" s="179" t="str">
        <f t="shared" ref="N102:N107" si="106">B102</f>
        <v>РВС ГЖ</v>
      </c>
      <c r="O102" s="179" t="str">
        <f t="shared" ref="O102:O107" si="107">D102</f>
        <v>Полное-пожар</v>
      </c>
      <c r="P102" s="179" t="s">
        <v>83</v>
      </c>
      <c r="Q102" s="179" t="s">
        <v>83</v>
      </c>
      <c r="R102" s="179" t="s">
        <v>83</v>
      </c>
      <c r="S102" s="179" t="s">
        <v>83</v>
      </c>
      <c r="T102" s="179" t="s">
        <v>83</v>
      </c>
      <c r="U102" s="179" t="s">
        <v>83</v>
      </c>
      <c r="V102" s="179" t="s">
        <v>83</v>
      </c>
      <c r="W102" s="179" t="s">
        <v>83</v>
      </c>
      <c r="X102" s="179" t="s">
        <v>83</v>
      </c>
      <c r="Y102" s="179" t="s">
        <v>83</v>
      </c>
      <c r="Z102" s="179" t="s">
        <v>83</v>
      </c>
      <c r="AA102" s="179" t="s">
        <v>83</v>
      </c>
      <c r="AB102" s="179" t="s">
        <v>83</v>
      </c>
      <c r="AC102" s="179" t="s">
        <v>83</v>
      </c>
      <c r="AD102" s="179" t="s">
        <v>83</v>
      </c>
      <c r="AE102" s="179" t="s">
        <v>83</v>
      </c>
      <c r="AF102" s="179" t="s">
        <v>83</v>
      </c>
      <c r="AG102" s="179" t="s">
        <v>83</v>
      </c>
      <c r="AH102" s="179" t="s">
        <v>83</v>
      </c>
      <c r="AI102" s="179" t="s">
        <v>83</v>
      </c>
      <c r="AJ102" s="180">
        <v>1</v>
      </c>
      <c r="AK102" s="180">
        <v>2</v>
      </c>
      <c r="AL102" s="181">
        <v>0.75</v>
      </c>
      <c r="AM102" s="181">
        <v>2.7E-2</v>
      </c>
      <c r="AN102" s="181">
        <v>3</v>
      </c>
      <c r="AQ102" s="182">
        <f>AM102*I102+AL102</f>
        <v>1.08372</v>
      </c>
      <c r="AR102" s="182">
        <f t="shared" ref="AR102:AR107" si="108">0.1*AQ102</f>
        <v>0.10837200000000001</v>
      </c>
      <c r="AS102" s="183">
        <f t="shared" ref="AS102:AS107" si="109">AJ102*3+0.25*AK102</f>
        <v>3.5</v>
      </c>
      <c r="AT102" s="183">
        <f t="shared" ref="AT102:AT107" si="110">SUM(AQ102:AS102)/4</f>
        <v>1.1730229999999999</v>
      </c>
      <c r="AU102" s="182">
        <f>10068.2*J102*POWER(10,-6)</f>
        <v>0.124442952</v>
      </c>
      <c r="AV102" s="183">
        <f t="shared" ref="AV102:AV107" si="111">AU102+AT102+AS102+AR102+AQ102</f>
        <v>5.9895579520000002</v>
      </c>
      <c r="AW102" s="184">
        <f t="shared" ref="AW102:AW107" si="112">AJ102*H102</f>
        <v>1.0000000000000002E-6</v>
      </c>
      <c r="AX102" s="184">
        <f t="shared" ref="AX102:AX107" si="113">H102*AK102</f>
        <v>2.0000000000000003E-6</v>
      </c>
      <c r="AY102" s="184">
        <f t="shared" ref="AY102:AY107" si="114">H102*AV102</f>
        <v>5.989557952000001E-6</v>
      </c>
    </row>
    <row r="103" spans="1:51" s="179" customFormat="1" ht="15" thickBot="1" x14ac:dyDescent="0.35">
      <c r="A103" s="169" t="s">
        <v>19</v>
      </c>
      <c r="B103" s="169" t="str">
        <f>B102</f>
        <v>РВС ГЖ</v>
      </c>
      <c r="C103" s="171" t="s">
        <v>205</v>
      </c>
      <c r="D103" s="172" t="s">
        <v>59</v>
      </c>
      <c r="E103" s="185">
        <f>E102</f>
        <v>1.0000000000000001E-5</v>
      </c>
      <c r="F103" s="186">
        <f>F102</f>
        <v>1</v>
      </c>
      <c r="G103" s="169">
        <v>0.18000000000000002</v>
      </c>
      <c r="H103" s="174">
        <f t="shared" si="104"/>
        <v>1.8000000000000003E-6</v>
      </c>
      <c r="I103" s="187">
        <f>I102</f>
        <v>12.36</v>
      </c>
      <c r="J103" s="187">
        <f>I102</f>
        <v>12.36</v>
      </c>
      <c r="K103" s="177" t="s">
        <v>176</v>
      </c>
      <c r="L103" s="178">
        <v>0</v>
      </c>
      <c r="M103" s="179" t="str">
        <f t="shared" si="105"/>
        <v>С2</v>
      </c>
      <c r="N103" s="179" t="str">
        <f t="shared" si="106"/>
        <v>РВС ГЖ</v>
      </c>
      <c r="O103" s="179" t="str">
        <f t="shared" si="107"/>
        <v>Полное-пожар</v>
      </c>
      <c r="P103" s="179" t="s">
        <v>83</v>
      </c>
      <c r="Q103" s="179" t="s">
        <v>83</v>
      </c>
      <c r="R103" s="179" t="s">
        <v>83</v>
      </c>
      <c r="S103" s="179" t="s">
        <v>83</v>
      </c>
      <c r="T103" s="179" t="s">
        <v>83</v>
      </c>
      <c r="U103" s="179" t="s">
        <v>83</v>
      </c>
      <c r="V103" s="179" t="s">
        <v>83</v>
      </c>
      <c r="W103" s="179" t="s">
        <v>83</v>
      </c>
      <c r="X103" s="179" t="s">
        <v>83</v>
      </c>
      <c r="Y103" s="179" t="s">
        <v>83</v>
      </c>
      <c r="Z103" s="179" t="s">
        <v>83</v>
      </c>
      <c r="AA103" s="179" t="s">
        <v>83</v>
      </c>
      <c r="AB103" s="179" t="s">
        <v>83</v>
      </c>
      <c r="AC103" s="179" t="s">
        <v>83</v>
      </c>
      <c r="AD103" s="179" t="s">
        <v>83</v>
      </c>
      <c r="AE103" s="179" t="s">
        <v>83</v>
      </c>
      <c r="AF103" s="179" t="s">
        <v>83</v>
      </c>
      <c r="AG103" s="179" t="s">
        <v>83</v>
      </c>
      <c r="AH103" s="179" t="s">
        <v>83</v>
      </c>
      <c r="AI103" s="179" t="s">
        <v>83</v>
      </c>
      <c r="AJ103" s="180">
        <v>2</v>
      </c>
      <c r="AK103" s="180">
        <v>2</v>
      </c>
      <c r="AL103" s="179">
        <f>AL102</f>
        <v>0.75</v>
      </c>
      <c r="AM103" s="179">
        <f>AM102</f>
        <v>2.7E-2</v>
      </c>
      <c r="AN103" s="179">
        <f>AN102</f>
        <v>3</v>
      </c>
      <c r="AQ103" s="182">
        <f>AM103*I103+AL103</f>
        <v>1.08372</v>
      </c>
      <c r="AR103" s="182">
        <f t="shared" si="108"/>
        <v>0.10837200000000001</v>
      </c>
      <c r="AS103" s="183">
        <f t="shared" si="109"/>
        <v>6.5</v>
      </c>
      <c r="AT103" s="183">
        <f t="shared" si="110"/>
        <v>1.9230229999999999</v>
      </c>
      <c r="AU103" s="182">
        <f>10068.2*J103*POWER(10,-6)*10</f>
        <v>1.24442952</v>
      </c>
      <c r="AV103" s="183">
        <f t="shared" si="111"/>
        <v>10.859544519999998</v>
      </c>
      <c r="AW103" s="184">
        <f t="shared" si="112"/>
        <v>3.6000000000000007E-6</v>
      </c>
      <c r="AX103" s="184">
        <f t="shared" si="113"/>
        <v>3.6000000000000007E-6</v>
      </c>
      <c r="AY103" s="184">
        <f t="shared" si="114"/>
        <v>1.9547180136E-5</v>
      </c>
    </row>
    <row r="104" spans="1:51" s="179" customFormat="1" x14ac:dyDescent="0.3">
      <c r="A104" s="169" t="s">
        <v>20</v>
      </c>
      <c r="B104" s="169" t="str">
        <f>B102</f>
        <v>РВС ГЖ</v>
      </c>
      <c r="C104" s="171" t="s">
        <v>198</v>
      </c>
      <c r="D104" s="172" t="s">
        <v>60</v>
      </c>
      <c r="E104" s="185">
        <f>E102</f>
        <v>1.0000000000000001E-5</v>
      </c>
      <c r="F104" s="186">
        <f>F102</f>
        <v>1</v>
      </c>
      <c r="G104" s="169">
        <v>0.72000000000000008</v>
      </c>
      <c r="H104" s="174">
        <f t="shared" si="104"/>
        <v>7.2000000000000014E-6</v>
      </c>
      <c r="I104" s="187">
        <f>I102</f>
        <v>12.36</v>
      </c>
      <c r="J104" s="169">
        <v>0</v>
      </c>
      <c r="K104" s="177" t="s">
        <v>177</v>
      </c>
      <c r="L104" s="178">
        <v>0</v>
      </c>
      <c r="M104" s="179" t="str">
        <f t="shared" si="105"/>
        <v>С3</v>
      </c>
      <c r="N104" s="179" t="str">
        <f t="shared" si="106"/>
        <v>РВС ГЖ</v>
      </c>
      <c r="O104" s="179" t="str">
        <f t="shared" si="107"/>
        <v>Полное-ликвидация</v>
      </c>
      <c r="P104" s="179" t="s">
        <v>83</v>
      </c>
      <c r="Q104" s="179" t="s">
        <v>83</v>
      </c>
      <c r="R104" s="179" t="s">
        <v>83</v>
      </c>
      <c r="S104" s="179" t="s">
        <v>83</v>
      </c>
      <c r="T104" s="179" t="s">
        <v>83</v>
      </c>
      <c r="U104" s="179" t="s">
        <v>83</v>
      </c>
      <c r="V104" s="179" t="s">
        <v>83</v>
      </c>
      <c r="W104" s="179" t="s">
        <v>83</v>
      </c>
      <c r="X104" s="179" t="s">
        <v>83</v>
      </c>
      <c r="Y104" s="179" t="s">
        <v>83</v>
      </c>
      <c r="Z104" s="179" t="s">
        <v>83</v>
      </c>
      <c r="AA104" s="179" t="s">
        <v>83</v>
      </c>
      <c r="AB104" s="179" t="s">
        <v>83</v>
      </c>
      <c r="AC104" s="179" t="s">
        <v>83</v>
      </c>
      <c r="AD104" s="179" t="s">
        <v>83</v>
      </c>
      <c r="AE104" s="179" t="s">
        <v>83</v>
      </c>
      <c r="AF104" s="179" t="s">
        <v>83</v>
      </c>
      <c r="AG104" s="179" t="s">
        <v>83</v>
      </c>
      <c r="AH104" s="179" t="s">
        <v>83</v>
      </c>
      <c r="AI104" s="179" t="s">
        <v>83</v>
      </c>
      <c r="AJ104" s="179">
        <v>0</v>
      </c>
      <c r="AK104" s="179">
        <v>0</v>
      </c>
      <c r="AL104" s="179">
        <f>AL102</f>
        <v>0.75</v>
      </c>
      <c r="AM104" s="179">
        <f>AM102</f>
        <v>2.7E-2</v>
      </c>
      <c r="AN104" s="179">
        <f>AN102</f>
        <v>3</v>
      </c>
      <c r="AQ104" s="182">
        <f>AM104*I104*0.1+AL104</f>
        <v>0.78337199999999996</v>
      </c>
      <c r="AR104" s="182">
        <f t="shared" si="108"/>
        <v>7.8337199999999996E-2</v>
      </c>
      <c r="AS104" s="183">
        <f t="shared" si="109"/>
        <v>0</v>
      </c>
      <c r="AT104" s="183">
        <f t="shared" si="110"/>
        <v>0.21542729999999999</v>
      </c>
      <c r="AU104" s="182">
        <f>1333*J103*POWER(10,-6)</f>
        <v>1.6475880000000002E-2</v>
      </c>
      <c r="AV104" s="183">
        <f t="shared" si="111"/>
        <v>1.0936123799999999</v>
      </c>
      <c r="AW104" s="184">
        <f t="shared" si="112"/>
        <v>0</v>
      </c>
      <c r="AX104" s="184">
        <f t="shared" si="113"/>
        <v>0</v>
      </c>
      <c r="AY104" s="184">
        <f t="shared" si="114"/>
        <v>7.8740091360000004E-6</v>
      </c>
    </row>
    <row r="105" spans="1:51" s="179" customFormat="1" x14ac:dyDescent="0.3">
      <c r="A105" s="169" t="s">
        <v>21</v>
      </c>
      <c r="B105" s="169" t="str">
        <f>B102</f>
        <v>РВС ГЖ</v>
      </c>
      <c r="C105" s="171" t="s">
        <v>199</v>
      </c>
      <c r="D105" s="172" t="s">
        <v>84</v>
      </c>
      <c r="E105" s="173">
        <v>1E-4</v>
      </c>
      <c r="F105" s="186">
        <f>F102</f>
        <v>1</v>
      </c>
      <c r="G105" s="169">
        <v>0.1</v>
      </c>
      <c r="H105" s="174">
        <f t="shared" si="104"/>
        <v>1.0000000000000001E-5</v>
      </c>
      <c r="I105" s="187">
        <f>0.15*I102</f>
        <v>1.8539999999999999</v>
      </c>
      <c r="J105" s="187">
        <f>I105</f>
        <v>1.8539999999999999</v>
      </c>
      <c r="K105" s="190" t="s">
        <v>179</v>
      </c>
      <c r="L105" s="191">
        <v>45390</v>
      </c>
      <c r="M105" s="179" t="str">
        <f t="shared" si="105"/>
        <v>С4</v>
      </c>
      <c r="N105" s="179" t="str">
        <f t="shared" si="106"/>
        <v>РВС ГЖ</v>
      </c>
      <c r="O105" s="179" t="str">
        <f t="shared" si="107"/>
        <v>Частичное-пожар</v>
      </c>
      <c r="P105" s="179" t="s">
        <v>83</v>
      </c>
      <c r="Q105" s="179" t="s">
        <v>83</v>
      </c>
      <c r="R105" s="179" t="s">
        <v>83</v>
      </c>
      <c r="S105" s="179" t="s">
        <v>83</v>
      </c>
      <c r="T105" s="179" t="s">
        <v>83</v>
      </c>
      <c r="U105" s="179" t="s">
        <v>83</v>
      </c>
      <c r="V105" s="179" t="s">
        <v>83</v>
      </c>
      <c r="W105" s="179" t="s">
        <v>83</v>
      </c>
      <c r="X105" s="179" t="s">
        <v>83</v>
      </c>
      <c r="Y105" s="179" t="s">
        <v>83</v>
      </c>
      <c r="Z105" s="179" t="s">
        <v>83</v>
      </c>
      <c r="AA105" s="179" t="s">
        <v>83</v>
      </c>
      <c r="AB105" s="179" t="s">
        <v>83</v>
      </c>
      <c r="AC105" s="179" t="s">
        <v>83</v>
      </c>
      <c r="AD105" s="179" t="s">
        <v>83</v>
      </c>
      <c r="AE105" s="179" t="s">
        <v>83</v>
      </c>
      <c r="AF105" s="179" t="s">
        <v>83</v>
      </c>
      <c r="AG105" s="179" t="s">
        <v>83</v>
      </c>
      <c r="AH105" s="179" t="s">
        <v>83</v>
      </c>
      <c r="AI105" s="179" t="s">
        <v>83</v>
      </c>
      <c r="AJ105" s="179">
        <v>0</v>
      </c>
      <c r="AK105" s="179">
        <v>2</v>
      </c>
      <c r="AL105" s="179">
        <f>0.1*$AL$2</f>
        <v>7.5000000000000011E-2</v>
      </c>
      <c r="AM105" s="179">
        <f>AM102</f>
        <v>2.7E-2</v>
      </c>
      <c r="AN105" s="179">
        <f>ROUNDUP(AN102/3,0)</f>
        <v>1</v>
      </c>
      <c r="AQ105" s="182">
        <f>AM105*I105+AL105</f>
        <v>0.125058</v>
      </c>
      <c r="AR105" s="182">
        <f t="shared" si="108"/>
        <v>1.2505800000000001E-2</v>
      </c>
      <c r="AS105" s="183">
        <f t="shared" si="109"/>
        <v>0.5</v>
      </c>
      <c r="AT105" s="183">
        <f t="shared" si="110"/>
        <v>0.15939095</v>
      </c>
      <c r="AU105" s="182">
        <f>10068.2*J105*POWER(10,-6)</f>
        <v>1.8666442799999999E-2</v>
      </c>
      <c r="AV105" s="183">
        <f t="shared" si="111"/>
        <v>0.81562119280000001</v>
      </c>
      <c r="AW105" s="184">
        <f t="shared" si="112"/>
        <v>0</v>
      </c>
      <c r="AX105" s="184">
        <f t="shared" si="113"/>
        <v>2.0000000000000002E-5</v>
      </c>
      <c r="AY105" s="184">
        <f t="shared" si="114"/>
        <v>8.156211928E-6</v>
      </c>
    </row>
    <row r="106" spans="1:51" s="179" customFormat="1" x14ac:dyDescent="0.3">
      <c r="A106" s="169" t="s">
        <v>22</v>
      </c>
      <c r="B106" s="169" t="str">
        <f>B102</f>
        <v>РВС ГЖ</v>
      </c>
      <c r="C106" s="171" t="s">
        <v>206</v>
      </c>
      <c r="D106" s="172" t="s">
        <v>84</v>
      </c>
      <c r="E106" s="185">
        <f>E105</f>
        <v>1E-4</v>
      </c>
      <c r="F106" s="186">
        <f>F102</f>
        <v>1</v>
      </c>
      <c r="G106" s="169">
        <v>4.5000000000000005E-2</v>
      </c>
      <c r="H106" s="174">
        <f t="shared" si="104"/>
        <v>4.500000000000001E-6</v>
      </c>
      <c r="I106" s="187">
        <f>0.15*I102</f>
        <v>1.8539999999999999</v>
      </c>
      <c r="J106" s="187">
        <f>I105</f>
        <v>1.8539999999999999</v>
      </c>
      <c r="K106" s="190" t="s">
        <v>180</v>
      </c>
      <c r="L106" s="191">
        <v>3</v>
      </c>
      <c r="M106" s="179" t="str">
        <f t="shared" si="105"/>
        <v>С5</v>
      </c>
      <c r="N106" s="179" t="str">
        <f t="shared" si="106"/>
        <v>РВС ГЖ</v>
      </c>
      <c r="O106" s="179" t="str">
        <f t="shared" si="107"/>
        <v>Частичное-пожар</v>
      </c>
      <c r="P106" s="179" t="s">
        <v>83</v>
      </c>
      <c r="Q106" s="179" t="s">
        <v>83</v>
      </c>
      <c r="R106" s="179" t="s">
        <v>83</v>
      </c>
      <c r="S106" s="179" t="s">
        <v>83</v>
      </c>
      <c r="T106" s="179" t="s">
        <v>83</v>
      </c>
      <c r="U106" s="179" t="s">
        <v>83</v>
      </c>
      <c r="V106" s="179" t="s">
        <v>83</v>
      </c>
      <c r="W106" s="179" t="s">
        <v>83</v>
      </c>
      <c r="X106" s="179" t="s">
        <v>83</v>
      </c>
      <c r="Y106" s="179" t="s">
        <v>83</v>
      </c>
      <c r="Z106" s="179" t="s">
        <v>83</v>
      </c>
      <c r="AA106" s="179" t="s">
        <v>83</v>
      </c>
      <c r="AB106" s="179" t="s">
        <v>83</v>
      </c>
      <c r="AC106" s="179" t="s">
        <v>83</v>
      </c>
      <c r="AD106" s="179" t="s">
        <v>83</v>
      </c>
      <c r="AE106" s="179" t="s">
        <v>83</v>
      </c>
      <c r="AF106" s="179" t="s">
        <v>83</v>
      </c>
      <c r="AG106" s="179" t="s">
        <v>83</v>
      </c>
      <c r="AH106" s="179" t="s">
        <v>83</v>
      </c>
      <c r="AI106" s="179" t="s">
        <v>83</v>
      </c>
      <c r="AJ106" s="179">
        <v>0</v>
      </c>
      <c r="AK106" s="179">
        <v>1</v>
      </c>
      <c r="AL106" s="179">
        <f>0.1*$AL$2</f>
        <v>7.5000000000000011E-2</v>
      </c>
      <c r="AM106" s="179">
        <f>AM102</f>
        <v>2.7E-2</v>
      </c>
      <c r="AN106" s="179">
        <f>ROUNDUP(AN102/3,0)</f>
        <v>1</v>
      </c>
      <c r="AQ106" s="182">
        <f>AM106*I106+AL106</f>
        <v>0.125058</v>
      </c>
      <c r="AR106" s="182">
        <f t="shared" si="108"/>
        <v>1.2505800000000001E-2</v>
      </c>
      <c r="AS106" s="183">
        <f t="shared" si="109"/>
        <v>0.25</v>
      </c>
      <c r="AT106" s="183">
        <f t="shared" si="110"/>
        <v>9.6890950000000003E-2</v>
      </c>
      <c r="AU106" s="182">
        <f>10068.2*J106*POWER(10,-6)*10</f>
        <v>0.18666442799999999</v>
      </c>
      <c r="AV106" s="183">
        <f t="shared" si="111"/>
        <v>0.67111917799999998</v>
      </c>
      <c r="AW106" s="184">
        <f t="shared" si="112"/>
        <v>0</v>
      </c>
      <c r="AX106" s="184">
        <f t="shared" si="113"/>
        <v>4.500000000000001E-6</v>
      </c>
      <c r="AY106" s="184">
        <f t="shared" si="114"/>
        <v>3.0200363010000006E-6</v>
      </c>
    </row>
    <row r="107" spans="1:51" s="179" customFormat="1" ht="15" thickBot="1" x14ac:dyDescent="0.35">
      <c r="A107" s="169" t="s">
        <v>23</v>
      </c>
      <c r="B107" s="169" t="str">
        <f>B102</f>
        <v>РВС ГЖ</v>
      </c>
      <c r="C107" s="171" t="s">
        <v>201</v>
      </c>
      <c r="D107" s="172" t="s">
        <v>61</v>
      </c>
      <c r="E107" s="185">
        <f>E105</f>
        <v>1E-4</v>
      </c>
      <c r="F107" s="186">
        <f>F102</f>
        <v>1</v>
      </c>
      <c r="G107" s="169">
        <v>0.85499999999999998</v>
      </c>
      <c r="H107" s="174">
        <f t="shared" si="104"/>
        <v>8.5500000000000005E-5</v>
      </c>
      <c r="I107" s="187">
        <f>0.15*I102</f>
        <v>1.8539999999999999</v>
      </c>
      <c r="J107" s="169">
        <v>0</v>
      </c>
      <c r="K107" s="192" t="s">
        <v>191</v>
      </c>
      <c r="L107" s="192">
        <v>11</v>
      </c>
      <c r="M107" s="179" t="str">
        <f t="shared" si="105"/>
        <v>С6</v>
      </c>
      <c r="N107" s="179" t="str">
        <f t="shared" si="106"/>
        <v>РВС ГЖ</v>
      </c>
      <c r="O107" s="179" t="str">
        <f t="shared" si="107"/>
        <v>Частичное-ликвидация</v>
      </c>
      <c r="P107" s="179" t="s">
        <v>83</v>
      </c>
      <c r="Q107" s="179" t="s">
        <v>83</v>
      </c>
      <c r="R107" s="179" t="s">
        <v>83</v>
      </c>
      <c r="S107" s="179" t="s">
        <v>83</v>
      </c>
      <c r="T107" s="179" t="s">
        <v>83</v>
      </c>
      <c r="U107" s="179" t="s">
        <v>83</v>
      </c>
      <c r="V107" s="179" t="s">
        <v>83</v>
      </c>
      <c r="W107" s="179" t="s">
        <v>83</v>
      </c>
      <c r="X107" s="179" t="s">
        <v>83</v>
      </c>
      <c r="Y107" s="179" t="s">
        <v>83</v>
      </c>
      <c r="Z107" s="179" t="s">
        <v>83</v>
      </c>
      <c r="AA107" s="179" t="s">
        <v>83</v>
      </c>
      <c r="AB107" s="179" t="s">
        <v>83</v>
      </c>
      <c r="AC107" s="179" t="s">
        <v>83</v>
      </c>
      <c r="AD107" s="179" t="s">
        <v>83</v>
      </c>
      <c r="AE107" s="179" t="s">
        <v>83</v>
      </c>
      <c r="AF107" s="179" t="s">
        <v>83</v>
      </c>
      <c r="AG107" s="179" t="s">
        <v>83</v>
      </c>
      <c r="AH107" s="179" t="s">
        <v>83</v>
      </c>
      <c r="AI107" s="179" t="s">
        <v>83</v>
      </c>
      <c r="AJ107" s="179">
        <v>0</v>
      </c>
      <c r="AK107" s="179">
        <v>0</v>
      </c>
      <c r="AL107" s="179">
        <f>0.1*$AL$2</f>
        <v>7.5000000000000011E-2</v>
      </c>
      <c r="AM107" s="179">
        <f>AM102</f>
        <v>2.7E-2</v>
      </c>
      <c r="AN107" s="179">
        <f>ROUNDUP(AN102/3,0)</f>
        <v>1</v>
      </c>
      <c r="AQ107" s="182">
        <f>AM107*I107*0.1+AL107</f>
        <v>8.0005800000000016E-2</v>
      </c>
      <c r="AR107" s="182">
        <f t="shared" si="108"/>
        <v>8.0005800000000019E-3</v>
      </c>
      <c r="AS107" s="183">
        <f t="shared" si="109"/>
        <v>0</v>
      </c>
      <c r="AT107" s="183">
        <f t="shared" si="110"/>
        <v>2.2001595000000006E-2</v>
      </c>
      <c r="AU107" s="182">
        <f>1333*J106*POWER(10,-6)</f>
        <v>2.4713819999999994E-3</v>
      </c>
      <c r="AV107" s="183">
        <f t="shared" si="111"/>
        <v>0.11247935700000003</v>
      </c>
      <c r="AW107" s="184">
        <f t="shared" si="112"/>
        <v>0</v>
      </c>
      <c r="AX107" s="184">
        <f t="shared" si="113"/>
        <v>0</v>
      </c>
      <c r="AY107" s="184">
        <f t="shared" si="114"/>
        <v>9.6169850235000027E-6</v>
      </c>
    </row>
    <row r="108" spans="1:51" s="179" customFormat="1" x14ac:dyDescent="0.3">
      <c r="A108" s="180"/>
      <c r="B108" s="180"/>
      <c r="D108" s="271"/>
      <c r="E108" s="272"/>
      <c r="F108" s="273"/>
      <c r="G108" s="180"/>
      <c r="H108" s="184"/>
      <c r="I108" s="183"/>
      <c r="J108" s="180"/>
      <c r="K108" s="180"/>
      <c r="L108" s="180"/>
      <c r="AQ108" s="182"/>
      <c r="AR108" s="182"/>
      <c r="AS108" s="183"/>
      <c r="AT108" s="183"/>
      <c r="AU108" s="182"/>
      <c r="AV108" s="183"/>
      <c r="AW108" s="184"/>
      <c r="AX108" s="184"/>
      <c r="AY108" s="184"/>
    </row>
    <row r="109" spans="1:51" s="179" customFormat="1" x14ac:dyDescent="0.3">
      <c r="A109" s="180"/>
      <c r="B109" s="180"/>
      <c r="D109" s="271"/>
      <c r="E109" s="272"/>
      <c r="F109" s="273"/>
      <c r="G109" s="180"/>
      <c r="H109" s="184"/>
      <c r="I109" s="183"/>
      <c r="J109" s="180"/>
      <c r="K109" s="180"/>
      <c r="L109" s="180"/>
      <c r="AQ109" s="182"/>
      <c r="AR109" s="182"/>
      <c r="AS109" s="183"/>
      <c r="AT109" s="183"/>
      <c r="AU109" s="182"/>
      <c r="AV109" s="183"/>
      <c r="AW109" s="184"/>
      <c r="AX109" s="184"/>
      <c r="AY109" s="184"/>
    </row>
    <row r="110" spans="1:51" s="179" customFormat="1" x14ac:dyDescent="0.3">
      <c r="A110" s="180"/>
      <c r="B110" s="180"/>
      <c r="D110" s="271"/>
      <c r="E110" s="272"/>
      <c r="F110" s="273"/>
      <c r="G110" s="180"/>
      <c r="H110" s="184"/>
      <c r="I110" s="183"/>
      <c r="J110" s="180"/>
      <c r="K110" s="180"/>
      <c r="L110" s="180"/>
      <c r="AQ110" s="182"/>
      <c r="AR110" s="182"/>
      <c r="AS110" s="183"/>
      <c r="AT110" s="183"/>
      <c r="AU110" s="182"/>
      <c r="AV110" s="183"/>
      <c r="AW110" s="184"/>
      <c r="AX110" s="184"/>
      <c r="AY110" s="184"/>
    </row>
    <row r="111" spans="1:51" ht="15" thickBot="1" x14ac:dyDescent="0.35"/>
    <row r="112" spans="1:51" s="227" customFormat="1" ht="18" customHeight="1" x14ac:dyDescent="0.3">
      <c r="A112" s="218" t="s">
        <v>18</v>
      </c>
      <c r="B112" s="219" t="s">
        <v>212</v>
      </c>
      <c r="C112" s="53" t="s">
        <v>196</v>
      </c>
      <c r="D112" s="220" t="s">
        <v>59</v>
      </c>
      <c r="E112" s="221">
        <v>9.9999999999999995E-7</v>
      </c>
      <c r="F112" s="219">
        <v>1</v>
      </c>
      <c r="G112" s="218">
        <v>0.05</v>
      </c>
      <c r="H112" s="222">
        <f>E112*F112*G112</f>
        <v>4.9999999999999998E-8</v>
      </c>
      <c r="I112" s="223">
        <v>12</v>
      </c>
      <c r="J112" s="224">
        <f>I112</f>
        <v>12</v>
      </c>
      <c r="K112" s="225" t="s">
        <v>175</v>
      </c>
      <c r="L112" s="226">
        <v>2000</v>
      </c>
      <c r="M112" s="227" t="str">
        <f t="shared" ref="M112:M120" si="115">A112</f>
        <v>С1</v>
      </c>
      <c r="N112" s="227" t="str">
        <f t="shared" ref="N112:N119" si="116">B112</f>
        <v>Емкость DP ЛВЖ</v>
      </c>
      <c r="O112" s="227" t="str">
        <f t="shared" ref="O112:O119" si="117">D112</f>
        <v>Полное-пожар</v>
      </c>
      <c r="P112" s="227" t="s">
        <v>83</v>
      </c>
      <c r="Q112" s="227" t="s">
        <v>83</v>
      </c>
      <c r="R112" s="227" t="s">
        <v>83</v>
      </c>
      <c r="S112" s="227" t="s">
        <v>83</v>
      </c>
      <c r="T112" s="227" t="s">
        <v>83</v>
      </c>
      <c r="U112" s="227" t="s">
        <v>83</v>
      </c>
      <c r="V112" s="227" t="s">
        <v>83</v>
      </c>
      <c r="W112" s="227" t="s">
        <v>83</v>
      </c>
      <c r="X112" s="227" t="s">
        <v>83</v>
      </c>
      <c r="Y112" s="227" t="s">
        <v>83</v>
      </c>
      <c r="Z112" s="227" t="s">
        <v>83</v>
      </c>
      <c r="AA112" s="227" t="s">
        <v>83</v>
      </c>
      <c r="AB112" s="227" t="s">
        <v>83</v>
      </c>
      <c r="AC112" s="227" t="s">
        <v>83</v>
      </c>
      <c r="AD112" s="227" t="s">
        <v>83</v>
      </c>
      <c r="AE112" s="227" t="s">
        <v>83</v>
      </c>
      <c r="AF112" s="227" t="s">
        <v>83</v>
      </c>
      <c r="AG112" s="227" t="s">
        <v>83</v>
      </c>
      <c r="AH112" s="227" t="s">
        <v>83</v>
      </c>
      <c r="AI112" s="227" t="s">
        <v>83</v>
      </c>
      <c r="AJ112" s="228">
        <v>1</v>
      </c>
      <c r="AK112" s="228">
        <v>2</v>
      </c>
      <c r="AL112" s="229">
        <v>0.75</v>
      </c>
      <c r="AM112" s="229">
        <v>2.7E-2</v>
      </c>
      <c r="AN112" s="229">
        <v>3</v>
      </c>
      <c r="AQ112" s="230">
        <f>AM112*I112+AL112</f>
        <v>1.0740000000000001</v>
      </c>
      <c r="AR112" s="230">
        <f>0.1*AQ112</f>
        <v>0.10740000000000001</v>
      </c>
      <c r="AS112" s="231">
        <f>AJ112*3+0.25*AK112</f>
        <v>3.5</v>
      </c>
      <c r="AT112" s="231">
        <f>SUM(AQ112:AS112)/4</f>
        <v>1.17035</v>
      </c>
      <c r="AU112" s="230">
        <f>10068.2*J112*POWER(10,-6)</f>
        <v>0.12081840000000001</v>
      </c>
      <c r="AV112" s="231">
        <f t="shared" ref="AV112:AV120" si="118">AU112+AT112+AS112+AR112+AQ112</f>
        <v>5.9725684000000001</v>
      </c>
      <c r="AW112" s="232">
        <f>AJ112*H112</f>
        <v>4.9999999999999998E-8</v>
      </c>
      <c r="AX112" s="232">
        <f>H112*AK112</f>
        <v>9.9999999999999995E-8</v>
      </c>
      <c r="AY112" s="232">
        <f>H112*AV112</f>
        <v>2.9862842000000001E-7</v>
      </c>
    </row>
    <row r="113" spans="1:51" s="227" customFormat="1" x14ac:dyDescent="0.3">
      <c r="A113" s="218" t="s">
        <v>19</v>
      </c>
      <c r="B113" s="218" t="str">
        <f>B112</f>
        <v>Емкость DP ЛВЖ</v>
      </c>
      <c r="C113" s="53" t="s">
        <v>202</v>
      </c>
      <c r="D113" s="220" t="s">
        <v>62</v>
      </c>
      <c r="E113" s="233">
        <f>E112</f>
        <v>9.9999999999999995E-7</v>
      </c>
      <c r="F113" s="234">
        <f>F112</f>
        <v>1</v>
      </c>
      <c r="G113" s="218">
        <v>0.19</v>
      </c>
      <c r="H113" s="222">
        <f t="shared" ref="H113:H120" si="119">E113*F113*G113</f>
        <v>1.8999999999999998E-7</v>
      </c>
      <c r="I113" s="235">
        <f>I112</f>
        <v>12</v>
      </c>
      <c r="J113" s="243">
        <v>0.35</v>
      </c>
      <c r="K113" s="236" t="s">
        <v>176</v>
      </c>
      <c r="L113" s="237">
        <v>2</v>
      </c>
      <c r="M113" s="227" t="str">
        <f t="shared" si="115"/>
        <v>С2</v>
      </c>
      <c r="N113" s="227" t="str">
        <f t="shared" si="116"/>
        <v>Емкость DP ЛВЖ</v>
      </c>
      <c r="O113" s="227" t="str">
        <f t="shared" si="117"/>
        <v>Полное-взрыв</v>
      </c>
      <c r="P113" s="227" t="s">
        <v>83</v>
      </c>
      <c r="Q113" s="227" t="s">
        <v>83</v>
      </c>
      <c r="R113" s="227" t="s">
        <v>83</v>
      </c>
      <c r="S113" s="227" t="s">
        <v>83</v>
      </c>
      <c r="T113" s="227" t="s">
        <v>83</v>
      </c>
      <c r="U113" s="227" t="s">
        <v>83</v>
      </c>
      <c r="V113" s="227" t="s">
        <v>83</v>
      </c>
      <c r="W113" s="227" t="s">
        <v>83</v>
      </c>
      <c r="X113" s="227" t="s">
        <v>83</v>
      </c>
      <c r="Y113" s="227" t="s">
        <v>83</v>
      </c>
      <c r="Z113" s="227" t="s">
        <v>83</v>
      </c>
      <c r="AA113" s="227" t="s">
        <v>83</v>
      </c>
      <c r="AB113" s="227" t="s">
        <v>83</v>
      </c>
      <c r="AC113" s="227" t="s">
        <v>83</v>
      </c>
      <c r="AD113" s="227" t="s">
        <v>83</v>
      </c>
      <c r="AE113" s="227" t="s">
        <v>83</v>
      </c>
      <c r="AF113" s="227" t="s">
        <v>83</v>
      </c>
      <c r="AG113" s="227" t="s">
        <v>83</v>
      </c>
      <c r="AH113" s="227" t="s">
        <v>83</v>
      </c>
      <c r="AI113" s="227" t="s">
        <v>83</v>
      </c>
      <c r="AJ113" s="228">
        <v>2</v>
      </c>
      <c r="AK113" s="228">
        <v>2</v>
      </c>
      <c r="AL113" s="227">
        <f>AL112</f>
        <v>0.75</v>
      </c>
      <c r="AM113" s="227">
        <f>AM112</f>
        <v>2.7E-2</v>
      </c>
      <c r="AN113" s="227">
        <f>AN112</f>
        <v>3</v>
      </c>
      <c r="AQ113" s="230">
        <f>AM113*I113+AL113</f>
        <v>1.0740000000000001</v>
      </c>
      <c r="AR113" s="230">
        <f t="shared" ref="AR113:AR119" si="120">0.1*AQ113</f>
        <v>0.10740000000000001</v>
      </c>
      <c r="AS113" s="231">
        <f t="shared" ref="AS113:AS119" si="121">AJ113*3+0.25*AK113</f>
        <v>6.5</v>
      </c>
      <c r="AT113" s="231">
        <f t="shared" ref="AT113:AT119" si="122">SUM(AQ113:AS113)/4</f>
        <v>1.92035</v>
      </c>
      <c r="AU113" s="230">
        <f>10068.2*J113*POWER(10,-6)*10</f>
        <v>3.5238699999999998E-2</v>
      </c>
      <c r="AV113" s="231">
        <f t="shared" si="118"/>
        <v>9.6369886999999999</v>
      </c>
      <c r="AW113" s="232">
        <f t="shared" ref="AW113:AW119" si="123">AJ113*H113</f>
        <v>3.7999999999999996E-7</v>
      </c>
      <c r="AX113" s="232">
        <f t="shared" ref="AX113:AX119" si="124">H113*AK113</f>
        <v>3.7999999999999996E-7</v>
      </c>
      <c r="AY113" s="232">
        <f t="shared" ref="AY113:AY119" si="125">H113*AV113</f>
        <v>1.8310278529999998E-6</v>
      </c>
    </row>
    <row r="114" spans="1:51" s="227" customFormat="1" x14ac:dyDescent="0.3">
      <c r="A114" s="218" t="s">
        <v>20</v>
      </c>
      <c r="B114" s="218" t="str">
        <f>B112</f>
        <v>Емкость DP ЛВЖ</v>
      </c>
      <c r="C114" s="53" t="s">
        <v>241</v>
      </c>
      <c r="D114" s="220" t="s">
        <v>60</v>
      </c>
      <c r="E114" s="233">
        <f>E112</f>
        <v>9.9999999999999995E-7</v>
      </c>
      <c r="F114" s="234">
        <f>F112</f>
        <v>1</v>
      </c>
      <c r="G114" s="218">
        <v>0.76</v>
      </c>
      <c r="H114" s="222">
        <f t="shared" si="119"/>
        <v>7.5999999999999992E-7</v>
      </c>
      <c r="I114" s="235">
        <f>I112</f>
        <v>12</v>
      </c>
      <c r="J114" s="238">
        <v>0</v>
      </c>
      <c r="K114" s="236" t="s">
        <v>177</v>
      </c>
      <c r="L114" s="237">
        <v>1.05</v>
      </c>
      <c r="M114" s="227" t="str">
        <f t="shared" si="115"/>
        <v>С3</v>
      </c>
      <c r="N114" s="227" t="str">
        <f t="shared" si="116"/>
        <v>Емкость DP ЛВЖ</v>
      </c>
      <c r="O114" s="227" t="str">
        <f t="shared" si="117"/>
        <v>Полное-ликвидация</v>
      </c>
      <c r="P114" s="227" t="s">
        <v>83</v>
      </c>
      <c r="Q114" s="227" t="s">
        <v>83</v>
      </c>
      <c r="R114" s="227" t="s">
        <v>83</v>
      </c>
      <c r="S114" s="227" t="s">
        <v>83</v>
      </c>
      <c r="T114" s="227" t="s">
        <v>83</v>
      </c>
      <c r="U114" s="227" t="s">
        <v>83</v>
      </c>
      <c r="V114" s="227" t="s">
        <v>83</v>
      </c>
      <c r="W114" s="227" t="s">
        <v>83</v>
      </c>
      <c r="X114" s="227" t="s">
        <v>83</v>
      </c>
      <c r="Y114" s="227" t="s">
        <v>83</v>
      </c>
      <c r="Z114" s="227" t="s">
        <v>83</v>
      </c>
      <c r="AA114" s="227" t="s">
        <v>83</v>
      </c>
      <c r="AB114" s="227" t="s">
        <v>83</v>
      </c>
      <c r="AC114" s="227" t="s">
        <v>83</v>
      </c>
      <c r="AD114" s="227" t="s">
        <v>83</v>
      </c>
      <c r="AE114" s="227" t="s">
        <v>83</v>
      </c>
      <c r="AF114" s="227" t="s">
        <v>83</v>
      </c>
      <c r="AG114" s="227" t="s">
        <v>83</v>
      </c>
      <c r="AH114" s="227" t="s">
        <v>83</v>
      </c>
      <c r="AI114" s="227" t="s">
        <v>83</v>
      </c>
      <c r="AJ114" s="227">
        <v>0</v>
      </c>
      <c r="AK114" s="227">
        <v>0</v>
      </c>
      <c r="AL114" s="227">
        <f>AL112</f>
        <v>0.75</v>
      </c>
      <c r="AM114" s="227">
        <f>AM112</f>
        <v>2.7E-2</v>
      </c>
      <c r="AN114" s="227">
        <f>AN112</f>
        <v>3</v>
      </c>
      <c r="AQ114" s="230">
        <f>AM114*I114*0.1+AL114</f>
        <v>0.78239999999999998</v>
      </c>
      <c r="AR114" s="230">
        <f t="shared" si="120"/>
        <v>7.8240000000000004E-2</v>
      </c>
      <c r="AS114" s="231">
        <f t="shared" si="121"/>
        <v>0</v>
      </c>
      <c r="AT114" s="231">
        <f t="shared" si="122"/>
        <v>0.21515999999999999</v>
      </c>
      <c r="AU114" s="230">
        <f>1333*J112*POWER(10,-6)</f>
        <v>1.5996E-2</v>
      </c>
      <c r="AV114" s="231">
        <f t="shared" si="118"/>
        <v>1.091796</v>
      </c>
      <c r="AW114" s="232">
        <f t="shared" si="123"/>
        <v>0</v>
      </c>
      <c r="AX114" s="232">
        <f t="shared" si="124"/>
        <v>0</v>
      </c>
      <c r="AY114" s="232">
        <f>H114*AV114</f>
        <v>8.2976495999999993E-7</v>
      </c>
    </row>
    <row r="115" spans="1:51" s="227" customFormat="1" x14ac:dyDescent="0.3">
      <c r="A115" s="218" t="s">
        <v>21</v>
      </c>
      <c r="B115" s="218" t="str">
        <f>B112</f>
        <v>Емкость DP ЛВЖ</v>
      </c>
      <c r="C115" s="53" t="s">
        <v>213</v>
      </c>
      <c r="D115" s="220" t="s">
        <v>214</v>
      </c>
      <c r="E115" s="221">
        <v>1.0000000000000001E-5</v>
      </c>
      <c r="F115" s="234">
        <f>F112</f>
        <v>1</v>
      </c>
      <c r="G115" s="218">
        <v>4.0000000000000008E-2</v>
      </c>
      <c r="H115" s="222">
        <f t="shared" si="119"/>
        <v>4.0000000000000009E-7</v>
      </c>
      <c r="I115" s="235">
        <f>0.15*I112</f>
        <v>1.7999999999999998</v>
      </c>
      <c r="J115" s="224">
        <f>I115</f>
        <v>1.7999999999999998</v>
      </c>
      <c r="K115" s="236" t="s">
        <v>179</v>
      </c>
      <c r="L115" s="237">
        <v>45390</v>
      </c>
      <c r="M115" s="227" t="str">
        <f t="shared" si="115"/>
        <v>С4</v>
      </c>
      <c r="N115" s="227" t="str">
        <f t="shared" si="116"/>
        <v>Емкость DP ЛВЖ</v>
      </c>
      <c r="O115" s="227" t="str">
        <f t="shared" si="117"/>
        <v>Частичное факел</v>
      </c>
      <c r="P115" s="227" t="s">
        <v>83</v>
      </c>
      <c r="Q115" s="227" t="s">
        <v>83</v>
      </c>
      <c r="R115" s="227" t="s">
        <v>83</v>
      </c>
      <c r="S115" s="227" t="s">
        <v>83</v>
      </c>
      <c r="T115" s="227" t="s">
        <v>83</v>
      </c>
      <c r="U115" s="227" t="s">
        <v>83</v>
      </c>
      <c r="V115" s="227" t="s">
        <v>83</v>
      </c>
      <c r="W115" s="227" t="s">
        <v>83</v>
      </c>
      <c r="X115" s="227" t="s">
        <v>83</v>
      </c>
      <c r="Y115" s="227" t="s">
        <v>83</v>
      </c>
      <c r="Z115" s="227" t="s">
        <v>83</v>
      </c>
      <c r="AA115" s="227" t="s">
        <v>83</v>
      </c>
      <c r="AB115" s="227" t="s">
        <v>83</v>
      </c>
      <c r="AC115" s="227" t="s">
        <v>83</v>
      </c>
      <c r="AD115" s="227" t="s">
        <v>83</v>
      </c>
      <c r="AE115" s="227" t="s">
        <v>83</v>
      </c>
      <c r="AF115" s="227" t="s">
        <v>83</v>
      </c>
      <c r="AG115" s="227" t="s">
        <v>83</v>
      </c>
      <c r="AH115" s="227" t="s">
        <v>83</v>
      </c>
      <c r="AI115" s="227" t="s">
        <v>83</v>
      </c>
      <c r="AJ115" s="227">
        <v>0</v>
      </c>
      <c r="AK115" s="227">
        <v>1</v>
      </c>
      <c r="AL115" s="227">
        <f>0.1*$AL$2</f>
        <v>7.5000000000000011E-2</v>
      </c>
      <c r="AM115" s="227">
        <f>AM113</f>
        <v>2.7E-2</v>
      </c>
      <c r="AN115" s="227">
        <f>AN112</f>
        <v>3</v>
      </c>
      <c r="AQ115" s="230">
        <f>AM115*I115*0.1+AL115</f>
        <v>7.9860000000000014E-2</v>
      </c>
      <c r="AR115" s="230">
        <f t="shared" si="120"/>
        <v>7.9860000000000018E-3</v>
      </c>
      <c r="AS115" s="231">
        <f t="shared" si="121"/>
        <v>0.25</v>
      </c>
      <c r="AT115" s="231">
        <f t="shared" si="122"/>
        <v>8.4461500000000009E-2</v>
      </c>
      <c r="AU115" s="230">
        <f>10068.2*J115*POWER(10,-6)</f>
        <v>1.8122759999999998E-2</v>
      </c>
      <c r="AV115" s="231">
        <f t="shared" si="118"/>
        <v>0.44043025999999996</v>
      </c>
      <c r="AW115" s="232">
        <f t="shared" si="123"/>
        <v>0</v>
      </c>
      <c r="AX115" s="232">
        <f t="shared" si="124"/>
        <v>4.0000000000000009E-7</v>
      </c>
      <c r="AY115" s="232">
        <f t="shared" si="125"/>
        <v>1.7617210400000003E-7</v>
      </c>
    </row>
    <row r="116" spans="1:51" s="227" customFormat="1" x14ac:dyDescent="0.3">
      <c r="A116" s="218" t="s">
        <v>22</v>
      </c>
      <c r="B116" s="218" t="str">
        <f>B112</f>
        <v>Емкость DP ЛВЖ</v>
      </c>
      <c r="C116" s="53" t="s">
        <v>242</v>
      </c>
      <c r="D116" s="220" t="s">
        <v>61</v>
      </c>
      <c r="E116" s="233">
        <f>E115</f>
        <v>1.0000000000000001E-5</v>
      </c>
      <c r="F116" s="234">
        <f>F112</f>
        <v>1</v>
      </c>
      <c r="G116" s="218">
        <v>0.16000000000000003</v>
      </c>
      <c r="H116" s="222">
        <f t="shared" si="119"/>
        <v>1.6000000000000004E-6</v>
      </c>
      <c r="I116" s="235">
        <f>0.15*I112</f>
        <v>1.7999999999999998</v>
      </c>
      <c r="J116" s="224">
        <v>0</v>
      </c>
      <c r="K116" s="236" t="s">
        <v>180</v>
      </c>
      <c r="L116" s="237">
        <v>3</v>
      </c>
      <c r="M116" s="227" t="str">
        <f t="shared" si="115"/>
        <v>С5</v>
      </c>
      <c r="N116" s="227" t="str">
        <f t="shared" si="116"/>
        <v>Емкость DP ЛВЖ</v>
      </c>
      <c r="O116" s="227" t="str">
        <f t="shared" si="117"/>
        <v>Частичное-ликвидация</v>
      </c>
      <c r="P116" s="227" t="s">
        <v>83</v>
      </c>
      <c r="Q116" s="227" t="s">
        <v>83</v>
      </c>
      <c r="R116" s="227" t="s">
        <v>83</v>
      </c>
      <c r="S116" s="227" t="s">
        <v>83</v>
      </c>
      <c r="T116" s="227" t="s">
        <v>83</v>
      </c>
      <c r="U116" s="227" t="s">
        <v>83</v>
      </c>
      <c r="V116" s="227" t="s">
        <v>83</v>
      </c>
      <c r="W116" s="227" t="s">
        <v>83</v>
      </c>
      <c r="X116" s="227" t="s">
        <v>83</v>
      </c>
      <c r="Y116" s="227" t="s">
        <v>83</v>
      </c>
      <c r="Z116" s="227" t="s">
        <v>83</v>
      </c>
      <c r="AA116" s="227" t="s">
        <v>83</v>
      </c>
      <c r="AB116" s="227" t="s">
        <v>83</v>
      </c>
      <c r="AC116" s="227" t="s">
        <v>83</v>
      </c>
      <c r="AD116" s="227" t="s">
        <v>83</v>
      </c>
      <c r="AE116" s="227" t="s">
        <v>83</v>
      </c>
      <c r="AF116" s="227" t="s">
        <v>83</v>
      </c>
      <c r="AG116" s="227" t="s">
        <v>83</v>
      </c>
      <c r="AH116" s="227" t="s">
        <v>83</v>
      </c>
      <c r="AI116" s="227" t="s">
        <v>83</v>
      </c>
      <c r="AJ116" s="227">
        <v>0</v>
      </c>
      <c r="AK116" s="227">
        <v>1</v>
      </c>
      <c r="AL116" s="227">
        <f>0.1*$AL$2</f>
        <v>7.5000000000000011E-2</v>
      </c>
      <c r="AM116" s="227">
        <f>AM112</f>
        <v>2.7E-2</v>
      </c>
      <c r="AN116" s="227">
        <f>ROUNDUP(AN112/3,0)</f>
        <v>1</v>
      </c>
      <c r="AQ116" s="230">
        <f>AM116*I116+AL116</f>
        <v>0.12360000000000002</v>
      </c>
      <c r="AR116" s="230">
        <f t="shared" si="120"/>
        <v>1.2360000000000003E-2</v>
      </c>
      <c r="AS116" s="231">
        <f t="shared" si="121"/>
        <v>0.25</v>
      </c>
      <c r="AT116" s="231">
        <f t="shared" si="122"/>
        <v>9.6490000000000006E-2</v>
      </c>
      <c r="AU116" s="230">
        <f>1333*J113*POWER(10,-6)*10</f>
        <v>4.6654999999999995E-3</v>
      </c>
      <c r="AV116" s="231">
        <f t="shared" si="118"/>
        <v>0.48711550000000003</v>
      </c>
      <c r="AW116" s="232">
        <f t="shared" si="123"/>
        <v>0</v>
      </c>
      <c r="AX116" s="232">
        <f t="shared" si="124"/>
        <v>1.6000000000000004E-6</v>
      </c>
      <c r="AY116" s="232">
        <f t="shared" si="125"/>
        <v>7.7938480000000024E-7</v>
      </c>
    </row>
    <row r="117" spans="1:51" s="227" customFormat="1" x14ac:dyDescent="0.3">
      <c r="A117" s="218" t="s">
        <v>23</v>
      </c>
      <c r="B117" s="218" t="str">
        <f>B112</f>
        <v>Емкость DP ЛВЖ</v>
      </c>
      <c r="C117" s="53" t="s">
        <v>215</v>
      </c>
      <c r="D117" s="220" t="s">
        <v>214</v>
      </c>
      <c r="E117" s="233">
        <f>E116</f>
        <v>1.0000000000000001E-5</v>
      </c>
      <c r="F117" s="234">
        <v>1</v>
      </c>
      <c r="G117" s="218">
        <v>4.0000000000000008E-2</v>
      </c>
      <c r="H117" s="222">
        <f t="shared" si="119"/>
        <v>4.0000000000000009E-7</v>
      </c>
      <c r="I117" s="235">
        <f>I115*0.15</f>
        <v>0.26999999999999996</v>
      </c>
      <c r="J117" s="224">
        <f>I117</f>
        <v>0.26999999999999996</v>
      </c>
      <c r="K117" s="239" t="s">
        <v>191</v>
      </c>
      <c r="L117" s="240">
        <v>12</v>
      </c>
      <c r="M117" s="227" t="str">
        <f t="shared" si="115"/>
        <v>С6</v>
      </c>
      <c r="N117" s="227" t="str">
        <f t="shared" si="116"/>
        <v>Емкость DP ЛВЖ</v>
      </c>
      <c r="O117" s="227" t="str">
        <f t="shared" si="117"/>
        <v>Частичное факел</v>
      </c>
      <c r="P117" s="227" t="s">
        <v>83</v>
      </c>
      <c r="Q117" s="227" t="s">
        <v>83</v>
      </c>
      <c r="R117" s="227" t="s">
        <v>83</v>
      </c>
      <c r="S117" s="227" t="s">
        <v>83</v>
      </c>
      <c r="T117" s="227" t="s">
        <v>83</v>
      </c>
      <c r="U117" s="227" t="s">
        <v>83</v>
      </c>
      <c r="V117" s="227" t="s">
        <v>83</v>
      </c>
      <c r="W117" s="227" t="s">
        <v>83</v>
      </c>
      <c r="X117" s="227" t="s">
        <v>83</v>
      </c>
      <c r="Y117" s="227" t="s">
        <v>83</v>
      </c>
      <c r="Z117" s="227" t="s">
        <v>83</v>
      </c>
      <c r="AA117" s="227" t="s">
        <v>83</v>
      </c>
      <c r="AB117" s="227" t="s">
        <v>83</v>
      </c>
      <c r="AC117" s="227" t="s">
        <v>83</v>
      </c>
      <c r="AD117" s="227" t="s">
        <v>83</v>
      </c>
      <c r="AE117" s="227" t="s">
        <v>83</v>
      </c>
      <c r="AF117" s="227" t="s">
        <v>83</v>
      </c>
      <c r="AG117" s="227" t="s">
        <v>83</v>
      </c>
      <c r="AH117" s="227" t="s">
        <v>83</v>
      </c>
      <c r="AI117" s="227" t="s">
        <v>83</v>
      </c>
      <c r="AJ117" s="227">
        <v>0</v>
      </c>
      <c r="AK117" s="227">
        <v>1</v>
      </c>
      <c r="AL117" s="227">
        <f>0.1*$AL$2</f>
        <v>7.5000000000000011E-2</v>
      </c>
      <c r="AM117" s="227">
        <f>AM112</f>
        <v>2.7E-2</v>
      </c>
      <c r="AN117" s="227">
        <f>AN116</f>
        <v>1</v>
      </c>
      <c r="AQ117" s="230">
        <f>AM117*I117+AL117</f>
        <v>8.2290000000000016E-2</v>
      </c>
      <c r="AR117" s="230">
        <f t="shared" si="120"/>
        <v>8.2290000000000019E-3</v>
      </c>
      <c r="AS117" s="231">
        <f t="shared" si="121"/>
        <v>0.25</v>
      </c>
      <c r="AT117" s="231">
        <f t="shared" si="122"/>
        <v>8.5129750000000004E-2</v>
      </c>
      <c r="AU117" s="230">
        <f>10068.2*J117*POWER(10,-6)</f>
        <v>2.7184139999999997E-3</v>
      </c>
      <c r="AV117" s="231">
        <f t="shared" si="118"/>
        <v>0.42836716400000002</v>
      </c>
      <c r="AW117" s="232">
        <f t="shared" si="123"/>
        <v>0</v>
      </c>
      <c r="AX117" s="232">
        <f t="shared" si="124"/>
        <v>4.0000000000000009E-7</v>
      </c>
      <c r="AY117" s="232">
        <f t="shared" si="125"/>
        <v>1.7134686560000004E-7</v>
      </c>
    </row>
    <row r="118" spans="1:51" s="227" customFormat="1" x14ac:dyDescent="0.3">
      <c r="A118" s="218" t="s">
        <v>210</v>
      </c>
      <c r="B118" s="218" t="str">
        <f>B112</f>
        <v>Емкость DP ЛВЖ</v>
      </c>
      <c r="C118" s="53" t="s">
        <v>216</v>
      </c>
      <c r="D118" s="220" t="s">
        <v>165</v>
      </c>
      <c r="E118" s="233">
        <f>E116</f>
        <v>1.0000000000000001E-5</v>
      </c>
      <c r="F118" s="234">
        <f>F112</f>
        <v>1</v>
      </c>
      <c r="G118" s="218">
        <v>0.15200000000000002</v>
      </c>
      <c r="H118" s="222">
        <f t="shared" si="119"/>
        <v>1.5200000000000003E-6</v>
      </c>
      <c r="I118" s="235">
        <f>I115*0.15</f>
        <v>0.26999999999999996</v>
      </c>
      <c r="J118" s="224">
        <f>I118</f>
        <v>0.26999999999999996</v>
      </c>
      <c r="K118" s="236"/>
      <c r="L118" s="237"/>
      <c r="M118" s="227" t="str">
        <f t="shared" si="115"/>
        <v>С7</v>
      </c>
      <c r="N118" s="227" t="str">
        <f t="shared" si="116"/>
        <v>Емкость DP ЛВЖ</v>
      </c>
      <c r="O118" s="227" t="str">
        <f t="shared" si="117"/>
        <v>Частичное-пожар-вспышка</v>
      </c>
      <c r="P118" s="227" t="s">
        <v>83</v>
      </c>
      <c r="Q118" s="227" t="s">
        <v>83</v>
      </c>
      <c r="R118" s="227" t="s">
        <v>83</v>
      </c>
      <c r="S118" s="227" t="s">
        <v>83</v>
      </c>
      <c r="T118" s="227" t="s">
        <v>83</v>
      </c>
      <c r="U118" s="227" t="s">
        <v>83</v>
      </c>
      <c r="V118" s="227" t="s">
        <v>83</v>
      </c>
      <c r="W118" s="227" t="s">
        <v>83</v>
      </c>
      <c r="X118" s="227" t="s">
        <v>83</v>
      </c>
      <c r="Y118" s="227" t="s">
        <v>83</v>
      </c>
      <c r="Z118" s="227" t="s">
        <v>83</v>
      </c>
      <c r="AA118" s="227" t="s">
        <v>83</v>
      </c>
      <c r="AB118" s="227" t="s">
        <v>83</v>
      </c>
      <c r="AC118" s="227" t="s">
        <v>83</v>
      </c>
      <c r="AD118" s="227" t="s">
        <v>83</v>
      </c>
      <c r="AE118" s="227" t="s">
        <v>83</v>
      </c>
      <c r="AF118" s="227" t="s">
        <v>83</v>
      </c>
      <c r="AG118" s="227" t="s">
        <v>83</v>
      </c>
      <c r="AH118" s="227" t="s">
        <v>83</v>
      </c>
      <c r="AI118" s="227" t="s">
        <v>83</v>
      </c>
      <c r="AJ118" s="227">
        <v>0</v>
      </c>
      <c r="AK118" s="227">
        <v>1</v>
      </c>
      <c r="AL118" s="227">
        <f>0.1*$AL$2</f>
        <v>7.5000000000000011E-2</v>
      </c>
      <c r="AM118" s="227">
        <f>AM112</f>
        <v>2.7E-2</v>
      </c>
      <c r="AN118" s="227">
        <f>ROUNDUP(AN112/3,0)</f>
        <v>1</v>
      </c>
      <c r="AQ118" s="230">
        <f>AM118*I118+AL118</f>
        <v>8.2290000000000016E-2</v>
      </c>
      <c r="AR118" s="230">
        <f t="shared" si="120"/>
        <v>8.2290000000000019E-3</v>
      </c>
      <c r="AS118" s="231">
        <f t="shared" si="121"/>
        <v>0.25</v>
      </c>
      <c r="AT118" s="231">
        <f t="shared" si="122"/>
        <v>8.5129750000000004E-2</v>
      </c>
      <c r="AU118" s="230">
        <f>10068.2*J118*POWER(10,-6)</f>
        <v>2.7184139999999997E-3</v>
      </c>
      <c r="AV118" s="231">
        <f t="shared" si="118"/>
        <v>0.42836716400000002</v>
      </c>
      <c r="AW118" s="232">
        <f t="shared" si="123"/>
        <v>0</v>
      </c>
      <c r="AX118" s="232">
        <f t="shared" si="124"/>
        <v>1.5200000000000003E-6</v>
      </c>
      <c r="AY118" s="232">
        <f t="shared" si="125"/>
        <v>6.5111808928000016E-7</v>
      </c>
    </row>
    <row r="119" spans="1:51" s="227" customFormat="1" ht="15" thickBot="1" x14ac:dyDescent="0.35">
      <c r="A119" s="218" t="s">
        <v>211</v>
      </c>
      <c r="B119" s="218" t="str">
        <f>B112</f>
        <v>Емкость DP ЛВЖ</v>
      </c>
      <c r="C119" s="53" t="s">
        <v>217</v>
      </c>
      <c r="D119" s="220" t="s">
        <v>61</v>
      </c>
      <c r="E119" s="233">
        <f>E116</f>
        <v>1.0000000000000001E-5</v>
      </c>
      <c r="F119" s="234">
        <f>F112</f>
        <v>1</v>
      </c>
      <c r="G119" s="218">
        <v>0.6080000000000001</v>
      </c>
      <c r="H119" s="222">
        <f t="shared" si="119"/>
        <v>6.0800000000000011E-6</v>
      </c>
      <c r="I119" s="235">
        <f>I115*0.15</f>
        <v>0.26999999999999996</v>
      </c>
      <c r="J119" s="238">
        <v>0</v>
      </c>
      <c r="K119" s="241"/>
      <c r="L119" s="242"/>
      <c r="M119" s="227" t="str">
        <f t="shared" si="115"/>
        <v>С8</v>
      </c>
      <c r="N119" s="227" t="str">
        <f t="shared" si="116"/>
        <v>Емкость DP ЛВЖ</v>
      </c>
      <c r="O119" s="227" t="str">
        <f t="shared" si="117"/>
        <v>Частичное-ликвидация</v>
      </c>
      <c r="P119" s="227" t="s">
        <v>83</v>
      </c>
      <c r="Q119" s="227" t="s">
        <v>83</v>
      </c>
      <c r="R119" s="227" t="s">
        <v>83</v>
      </c>
      <c r="S119" s="227" t="s">
        <v>83</v>
      </c>
      <c r="T119" s="227" t="s">
        <v>83</v>
      </c>
      <c r="U119" s="227" t="s">
        <v>83</v>
      </c>
      <c r="V119" s="227" t="s">
        <v>83</v>
      </c>
      <c r="W119" s="227" t="s">
        <v>83</v>
      </c>
      <c r="X119" s="227" t="s">
        <v>83</v>
      </c>
      <c r="Y119" s="227" t="s">
        <v>83</v>
      </c>
      <c r="Z119" s="227" t="s">
        <v>83</v>
      </c>
      <c r="AA119" s="227" t="s">
        <v>83</v>
      </c>
      <c r="AB119" s="227" t="s">
        <v>83</v>
      </c>
      <c r="AC119" s="227" t="s">
        <v>83</v>
      </c>
      <c r="AD119" s="227" t="s">
        <v>83</v>
      </c>
      <c r="AE119" s="227" t="s">
        <v>83</v>
      </c>
      <c r="AF119" s="227" t="s">
        <v>83</v>
      </c>
      <c r="AG119" s="227" t="s">
        <v>83</v>
      </c>
      <c r="AH119" s="227" t="s">
        <v>83</v>
      </c>
      <c r="AI119" s="227" t="s">
        <v>83</v>
      </c>
      <c r="AJ119" s="227">
        <v>0</v>
      </c>
      <c r="AK119" s="227">
        <v>0</v>
      </c>
      <c r="AL119" s="227">
        <f>0.1*$AL$2</f>
        <v>7.5000000000000011E-2</v>
      </c>
      <c r="AM119" s="227">
        <f>AM112</f>
        <v>2.7E-2</v>
      </c>
      <c r="AN119" s="227">
        <f>ROUNDUP(AN112/3,0)</f>
        <v>1</v>
      </c>
      <c r="AQ119" s="230">
        <f>AM119*I119*0.1+AL119</f>
        <v>7.5729000000000005E-2</v>
      </c>
      <c r="AR119" s="230">
        <f t="shared" si="120"/>
        <v>7.5729000000000005E-3</v>
      </c>
      <c r="AS119" s="231">
        <f t="shared" si="121"/>
        <v>0</v>
      </c>
      <c r="AT119" s="231">
        <f t="shared" si="122"/>
        <v>2.0825475000000003E-2</v>
      </c>
      <c r="AU119" s="230">
        <f>1333*J117*POWER(10,-6)</f>
        <v>3.5990999999999996E-4</v>
      </c>
      <c r="AV119" s="231">
        <f t="shared" si="118"/>
        <v>0.10448728500000001</v>
      </c>
      <c r="AW119" s="232">
        <f t="shared" si="123"/>
        <v>0</v>
      </c>
      <c r="AX119" s="232">
        <f t="shared" si="124"/>
        <v>0</v>
      </c>
      <c r="AY119" s="232">
        <f t="shared" si="125"/>
        <v>6.3528269280000015E-7</v>
      </c>
    </row>
    <row r="120" spans="1:51" s="227" customFormat="1" x14ac:dyDescent="0.3">
      <c r="A120" s="281" t="s">
        <v>240</v>
      </c>
      <c r="B120" s="281" t="str">
        <f>B112</f>
        <v>Емкость DP ЛВЖ</v>
      </c>
      <c r="C120" s="281" t="s">
        <v>404</v>
      </c>
      <c r="D120" s="281" t="s">
        <v>405</v>
      </c>
      <c r="E120" s="282">
        <v>2.5000000000000001E-5</v>
      </c>
      <c r="F120" s="281">
        <v>1</v>
      </c>
      <c r="G120" s="281">
        <v>1</v>
      </c>
      <c r="H120" s="283">
        <f t="shared" si="119"/>
        <v>2.5000000000000001E-5</v>
      </c>
      <c r="I120" s="284">
        <f>I112</f>
        <v>12</v>
      </c>
      <c r="J120" s="284">
        <f>J112*0.6</f>
        <v>7.1999999999999993</v>
      </c>
      <c r="K120" s="281"/>
      <c r="L120" s="281"/>
      <c r="M120" s="285" t="str">
        <f t="shared" si="115"/>
        <v>С9</v>
      </c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>
        <v>1</v>
      </c>
      <c r="AK120" s="285">
        <v>2</v>
      </c>
      <c r="AL120" s="285">
        <f>AL112</f>
        <v>0.75</v>
      </c>
      <c r="AM120" s="285">
        <f>AM112</f>
        <v>2.7E-2</v>
      </c>
      <c r="AN120" s="285">
        <v>5</v>
      </c>
      <c r="AO120" s="285"/>
      <c r="AP120" s="285"/>
      <c r="AQ120" s="286">
        <f>AM120*I120+AL120</f>
        <v>1.0740000000000001</v>
      </c>
      <c r="AR120" s="286">
        <f>0.1*AQ120</f>
        <v>0.10740000000000001</v>
      </c>
      <c r="AS120" s="287">
        <f>AJ120*3+0.25*AK120</f>
        <v>3.5</v>
      </c>
      <c r="AT120" s="287">
        <f>SUM(AQ120:AS120)/4</f>
        <v>1.17035</v>
      </c>
      <c r="AU120" s="286">
        <f>10068.2*J120*POWER(10,-6)</f>
        <v>7.2491039999999993E-2</v>
      </c>
      <c r="AV120" s="287">
        <f t="shared" si="118"/>
        <v>5.9242410400000001</v>
      </c>
      <c r="AW120" s="288">
        <f>AJ120*H120</f>
        <v>2.5000000000000001E-5</v>
      </c>
      <c r="AX120" s="288">
        <f>H120*AK120</f>
        <v>5.0000000000000002E-5</v>
      </c>
      <c r="AY120" s="288">
        <f>H120*AV120</f>
        <v>1.4810602600000001E-4</v>
      </c>
    </row>
    <row r="121" spans="1:51" ht="15" thickBot="1" x14ac:dyDescent="0.35"/>
    <row r="122" spans="1:51" s="373" customFormat="1" ht="18" customHeight="1" x14ac:dyDescent="0.3">
      <c r="A122" s="363" t="s">
        <v>18</v>
      </c>
      <c r="B122" s="364" t="s">
        <v>406</v>
      </c>
      <c r="C122" s="365" t="s">
        <v>196</v>
      </c>
      <c r="D122" s="366" t="s">
        <v>59</v>
      </c>
      <c r="E122" s="367">
        <v>9.9999999999999995E-7</v>
      </c>
      <c r="F122" s="364">
        <v>1</v>
      </c>
      <c r="G122" s="363">
        <v>0.05</v>
      </c>
      <c r="H122" s="368">
        <f>E122*F122*G122</f>
        <v>4.9999999999999998E-8</v>
      </c>
      <c r="I122" s="369">
        <v>63</v>
      </c>
      <c r="J122" s="370">
        <f>I122</f>
        <v>63</v>
      </c>
      <c r="K122" s="371" t="s">
        <v>175</v>
      </c>
      <c r="L122" s="372">
        <v>600</v>
      </c>
      <c r="M122" s="373" t="str">
        <f t="shared" ref="M122:N130" si="126">A122</f>
        <v>С1</v>
      </c>
      <c r="N122" s="373" t="str">
        <f t="shared" si="126"/>
        <v>Емкость DP ЛВЖ+тоеси</v>
      </c>
      <c r="O122" s="373" t="str">
        <f t="shared" ref="O122:O130" si="127">D122</f>
        <v>Полное-пожар</v>
      </c>
      <c r="P122" s="373">
        <v>19.3</v>
      </c>
      <c r="Q122" s="373">
        <v>26.9</v>
      </c>
      <c r="R122" s="373">
        <v>38.6</v>
      </c>
      <c r="S122" s="373">
        <v>72.2</v>
      </c>
      <c r="T122" s="373" t="s">
        <v>83</v>
      </c>
      <c r="U122" s="373" t="s">
        <v>83</v>
      </c>
      <c r="V122" s="373" t="s">
        <v>83</v>
      </c>
      <c r="W122" s="373" t="s">
        <v>83</v>
      </c>
      <c r="X122" s="373" t="s">
        <v>83</v>
      </c>
      <c r="Y122" s="373" t="s">
        <v>83</v>
      </c>
      <c r="Z122" s="373" t="s">
        <v>83</v>
      </c>
      <c r="AA122" s="373" t="s">
        <v>83</v>
      </c>
      <c r="AB122" s="373" t="s">
        <v>83</v>
      </c>
      <c r="AC122" s="373" t="s">
        <v>83</v>
      </c>
      <c r="AD122" s="373" t="s">
        <v>83</v>
      </c>
      <c r="AE122" s="373" t="s">
        <v>83</v>
      </c>
      <c r="AF122" s="373" t="s">
        <v>83</v>
      </c>
      <c r="AG122" s="373" t="s">
        <v>83</v>
      </c>
      <c r="AH122" s="373" t="s">
        <v>83</v>
      </c>
      <c r="AI122" s="373" t="s">
        <v>83</v>
      </c>
      <c r="AJ122" s="374">
        <v>1</v>
      </c>
      <c r="AK122" s="374">
        <v>2</v>
      </c>
      <c r="AL122" s="375">
        <v>0.75</v>
      </c>
      <c r="AM122" s="375">
        <v>2.7E-2</v>
      </c>
      <c r="AN122" s="375">
        <v>3</v>
      </c>
      <c r="AQ122" s="376">
        <f>AM122*I122+AL122</f>
        <v>2.4510000000000001</v>
      </c>
      <c r="AR122" s="376">
        <f>0.1*AQ122</f>
        <v>0.24510000000000001</v>
      </c>
      <c r="AS122" s="377">
        <f>AJ122*3+0.25*AK122</f>
        <v>3.5</v>
      </c>
      <c r="AT122" s="377">
        <f>SUM(AQ122:AS122)/4</f>
        <v>1.5490249999999999</v>
      </c>
      <c r="AU122" s="376">
        <f>10068.2*J122*POWER(10,-6)</f>
        <v>0.6342966000000001</v>
      </c>
      <c r="AV122" s="377">
        <f t="shared" ref="AV122:AV130" si="128">AU122+AT122+AS122+AR122+AQ122</f>
        <v>8.3794216000000006</v>
      </c>
      <c r="AW122" s="378">
        <f>AJ122*H122</f>
        <v>4.9999999999999998E-8</v>
      </c>
      <c r="AX122" s="378">
        <f>H122*AK122</f>
        <v>9.9999999999999995E-8</v>
      </c>
      <c r="AY122" s="378">
        <f t="shared" ref="AY122:AY130" si="129">H122*AV122</f>
        <v>4.1897108E-7</v>
      </c>
    </row>
    <row r="123" spans="1:51" s="373" customFormat="1" x14ac:dyDescent="0.3">
      <c r="A123" s="363" t="s">
        <v>19</v>
      </c>
      <c r="B123" s="363" t="str">
        <f>B122</f>
        <v>Емкость DP ЛВЖ+тоеси</v>
      </c>
      <c r="C123" s="365" t="s">
        <v>202</v>
      </c>
      <c r="D123" s="366" t="s">
        <v>62</v>
      </c>
      <c r="E123" s="379">
        <f>E122</f>
        <v>9.9999999999999995E-7</v>
      </c>
      <c r="F123" s="380">
        <f>F122</f>
        <v>1</v>
      </c>
      <c r="G123" s="363">
        <v>0.19</v>
      </c>
      <c r="H123" s="368">
        <f t="shared" ref="H123:H130" si="130">E123*F123*G123</f>
        <v>1.8999999999999998E-7</v>
      </c>
      <c r="I123" s="381">
        <f>I122</f>
        <v>63</v>
      </c>
      <c r="J123" s="382">
        <v>0.51</v>
      </c>
      <c r="K123" s="383" t="s">
        <v>176</v>
      </c>
      <c r="L123" s="384">
        <v>1</v>
      </c>
      <c r="M123" s="373" t="str">
        <f t="shared" si="126"/>
        <v>С2</v>
      </c>
      <c r="N123" s="373" t="str">
        <f t="shared" si="126"/>
        <v>Емкость DP ЛВЖ+тоеси</v>
      </c>
      <c r="O123" s="373" t="str">
        <f t="shared" si="127"/>
        <v>Полное-взрыв</v>
      </c>
      <c r="P123" s="373" t="s">
        <v>83</v>
      </c>
      <c r="Q123" s="373" t="s">
        <v>83</v>
      </c>
      <c r="R123" s="373" t="s">
        <v>83</v>
      </c>
      <c r="S123" s="373" t="s">
        <v>83</v>
      </c>
      <c r="T123" s="373">
        <v>0</v>
      </c>
      <c r="U123" s="373">
        <v>0</v>
      </c>
      <c r="V123" s="373">
        <v>60.6</v>
      </c>
      <c r="W123" s="373">
        <v>202.1</v>
      </c>
      <c r="X123" s="373">
        <v>525.6</v>
      </c>
      <c r="Y123" s="373" t="s">
        <v>83</v>
      </c>
      <c r="Z123" s="373" t="s">
        <v>83</v>
      </c>
      <c r="AA123" s="373" t="s">
        <v>83</v>
      </c>
      <c r="AB123" s="373" t="s">
        <v>83</v>
      </c>
      <c r="AC123" s="373" t="s">
        <v>83</v>
      </c>
      <c r="AD123" s="373" t="s">
        <v>83</v>
      </c>
      <c r="AE123" s="373" t="s">
        <v>83</v>
      </c>
      <c r="AF123" s="373" t="s">
        <v>83</v>
      </c>
      <c r="AG123" s="373" t="s">
        <v>83</v>
      </c>
      <c r="AH123" s="373" t="s">
        <v>83</v>
      </c>
      <c r="AI123" s="373" t="s">
        <v>83</v>
      </c>
      <c r="AJ123" s="374">
        <v>3</v>
      </c>
      <c r="AK123" s="374">
        <v>4</v>
      </c>
      <c r="AL123" s="373">
        <f>AL122</f>
        <v>0.75</v>
      </c>
      <c r="AM123" s="373">
        <f>AM122</f>
        <v>2.7E-2</v>
      </c>
      <c r="AN123" s="373">
        <f>AN122</f>
        <v>3</v>
      </c>
      <c r="AQ123" s="376">
        <f>AM123*I123+AL123</f>
        <v>2.4510000000000001</v>
      </c>
      <c r="AR123" s="376">
        <f t="shared" ref="AR123:AR129" si="131">0.1*AQ123</f>
        <v>0.24510000000000001</v>
      </c>
      <c r="AS123" s="377">
        <f t="shared" ref="AS123:AS129" si="132">AJ123*3+0.25*AK123</f>
        <v>10</v>
      </c>
      <c r="AT123" s="377">
        <f t="shared" ref="AT123:AT129" si="133">SUM(AQ123:AS123)/4</f>
        <v>3.1740249999999999</v>
      </c>
      <c r="AU123" s="376">
        <f>10068.2*J123*POWER(10,-6)*10</f>
        <v>5.1347820000000002E-2</v>
      </c>
      <c r="AV123" s="377">
        <f t="shared" si="128"/>
        <v>15.921472820000002</v>
      </c>
      <c r="AW123" s="378">
        <f t="shared" ref="AW123:AW129" si="134">AJ123*H123</f>
        <v>5.6999999999999994E-7</v>
      </c>
      <c r="AX123" s="378">
        <f t="shared" ref="AX123:AX129" si="135">H123*AK123</f>
        <v>7.5999999999999992E-7</v>
      </c>
      <c r="AY123" s="378">
        <f t="shared" si="129"/>
        <v>3.0250798358E-6</v>
      </c>
    </row>
    <row r="124" spans="1:51" s="373" customFormat="1" x14ac:dyDescent="0.3">
      <c r="A124" s="363" t="s">
        <v>20</v>
      </c>
      <c r="B124" s="363" t="str">
        <f>B122</f>
        <v>Емкость DP ЛВЖ+тоеси</v>
      </c>
      <c r="C124" s="365" t="s">
        <v>243</v>
      </c>
      <c r="D124" s="366" t="s">
        <v>171</v>
      </c>
      <c r="E124" s="379">
        <f>E122</f>
        <v>9.9999999999999995E-7</v>
      </c>
      <c r="F124" s="380">
        <f>F122</f>
        <v>1</v>
      </c>
      <c r="G124" s="363">
        <v>0.76</v>
      </c>
      <c r="H124" s="368">
        <f t="shared" si="130"/>
        <v>7.5999999999999992E-7</v>
      </c>
      <c r="I124" s="381">
        <f>I122</f>
        <v>63</v>
      </c>
      <c r="J124" s="370">
        <f>J123</f>
        <v>0.51</v>
      </c>
      <c r="K124" s="383" t="s">
        <v>177</v>
      </c>
      <c r="L124" s="384">
        <v>3</v>
      </c>
      <c r="M124" s="373" t="str">
        <f t="shared" si="126"/>
        <v>С3</v>
      </c>
      <c r="N124" s="373" t="str">
        <f t="shared" si="126"/>
        <v>Емкость DP ЛВЖ+тоеси</v>
      </c>
      <c r="O124" s="373" t="str">
        <f t="shared" si="127"/>
        <v>Полное-токси</v>
      </c>
      <c r="P124" s="373" t="s">
        <v>83</v>
      </c>
      <c r="Q124" s="373" t="s">
        <v>83</v>
      </c>
      <c r="R124" s="373" t="s">
        <v>83</v>
      </c>
      <c r="S124" s="373" t="s">
        <v>83</v>
      </c>
      <c r="T124" s="373" t="s">
        <v>83</v>
      </c>
      <c r="U124" s="373" t="s">
        <v>83</v>
      </c>
      <c r="V124" s="373" t="s">
        <v>83</v>
      </c>
      <c r="W124" s="373" t="s">
        <v>83</v>
      </c>
      <c r="X124" s="373" t="s">
        <v>83</v>
      </c>
      <c r="Y124" s="373" t="s">
        <v>83</v>
      </c>
      <c r="Z124" s="373" t="s">
        <v>83</v>
      </c>
      <c r="AA124" s="373" t="s">
        <v>83</v>
      </c>
      <c r="AB124" s="373" t="s">
        <v>83</v>
      </c>
      <c r="AC124" s="373">
        <v>186.2</v>
      </c>
      <c r="AD124" s="373">
        <v>351.4</v>
      </c>
      <c r="AE124" s="373" t="s">
        <v>83</v>
      </c>
      <c r="AF124" s="373" t="s">
        <v>83</v>
      </c>
      <c r="AG124" s="373" t="s">
        <v>83</v>
      </c>
      <c r="AH124" s="373" t="s">
        <v>83</v>
      </c>
      <c r="AI124" s="373" t="s">
        <v>83</v>
      </c>
      <c r="AJ124" s="373">
        <v>0</v>
      </c>
      <c r="AK124" s="373">
        <v>0</v>
      </c>
      <c r="AL124" s="373">
        <f>AL122</f>
        <v>0.75</v>
      </c>
      <c r="AM124" s="373">
        <f>AM122</f>
        <v>2.7E-2</v>
      </c>
      <c r="AN124" s="373">
        <f>AN122</f>
        <v>3</v>
      </c>
      <c r="AQ124" s="376">
        <f>AM124*I124*0.1+AL124</f>
        <v>0.92010000000000003</v>
      </c>
      <c r="AR124" s="376">
        <f t="shared" si="131"/>
        <v>9.2010000000000008E-2</v>
      </c>
      <c r="AS124" s="377">
        <f t="shared" si="132"/>
        <v>0</v>
      </c>
      <c r="AT124" s="377">
        <f t="shared" si="133"/>
        <v>0.25302750000000002</v>
      </c>
      <c r="AU124" s="376">
        <f>1333*J122*POWER(10,-6)</f>
        <v>8.3978999999999998E-2</v>
      </c>
      <c r="AV124" s="377">
        <f t="shared" si="128"/>
        <v>1.3491165000000001</v>
      </c>
      <c r="AW124" s="378">
        <f t="shared" si="134"/>
        <v>0</v>
      </c>
      <c r="AX124" s="378">
        <f t="shared" si="135"/>
        <v>0</v>
      </c>
      <c r="AY124" s="378">
        <f t="shared" si="129"/>
        <v>1.0253285399999999E-6</v>
      </c>
    </row>
    <row r="125" spans="1:51" s="373" customFormat="1" x14ac:dyDescent="0.3">
      <c r="A125" s="363" t="s">
        <v>21</v>
      </c>
      <c r="B125" s="363" t="str">
        <f>B122</f>
        <v>Емкость DP ЛВЖ+тоеси</v>
      </c>
      <c r="C125" s="365" t="s">
        <v>213</v>
      </c>
      <c r="D125" s="366" t="s">
        <v>214</v>
      </c>
      <c r="E125" s="367">
        <v>1.0000000000000001E-5</v>
      </c>
      <c r="F125" s="380">
        <f>F122</f>
        <v>1</v>
      </c>
      <c r="G125" s="363">
        <v>4.0000000000000008E-2</v>
      </c>
      <c r="H125" s="368">
        <f t="shared" si="130"/>
        <v>4.0000000000000009E-7</v>
      </c>
      <c r="I125" s="381">
        <f>0.15*I122</f>
        <v>9.4499999999999993</v>
      </c>
      <c r="J125" s="370">
        <f>I125</f>
        <v>9.4499999999999993</v>
      </c>
      <c r="K125" s="383" t="s">
        <v>179</v>
      </c>
      <c r="L125" s="384">
        <v>45390</v>
      </c>
      <c r="M125" s="373" t="str">
        <f t="shared" si="126"/>
        <v>С4</v>
      </c>
      <c r="N125" s="373" t="str">
        <f t="shared" si="126"/>
        <v>Емкость DP ЛВЖ+тоеси</v>
      </c>
      <c r="O125" s="373" t="str">
        <f t="shared" si="127"/>
        <v>Частичное факел</v>
      </c>
      <c r="P125" s="373" t="s">
        <v>83</v>
      </c>
      <c r="Q125" s="373" t="s">
        <v>83</v>
      </c>
      <c r="R125" s="373" t="s">
        <v>83</v>
      </c>
      <c r="S125" s="373" t="s">
        <v>83</v>
      </c>
      <c r="T125" s="373" t="s">
        <v>83</v>
      </c>
      <c r="U125" s="373" t="s">
        <v>83</v>
      </c>
      <c r="V125" s="373" t="s">
        <v>83</v>
      </c>
      <c r="W125" s="373" t="s">
        <v>83</v>
      </c>
      <c r="X125" s="373" t="s">
        <v>83</v>
      </c>
      <c r="Y125" s="373">
        <v>23</v>
      </c>
      <c r="Z125" s="373">
        <v>4</v>
      </c>
      <c r="AA125" s="373" t="s">
        <v>83</v>
      </c>
      <c r="AB125" s="373" t="s">
        <v>83</v>
      </c>
      <c r="AC125" s="373" t="s">
        <v>83</v>
      </c>
      <c r="AD125" s="373" t="s">
        <v>83</v>
      </c>
      <c r="AE125" s="373" t="s">
        <v>83</v>
      </c>
      <c r="AF125" s="373" t="s">
        <v>83</v>
      </c>
      <c r="AG125" s="373" t="s">
        <v>83</v>
      </c>
      <c r="AH125" s="373" t="s">
        <v>83</v>
      </c>
      <c r="AI125" s="373" t="s">
        <v>83</v>
      </c>
      <c r="AJ125" s="373">
        <v>0</v>
      </c>
      <c r="AK125" s="373">
        <v>1</v>
      </c>
      <c r="AL125" s="373">
        <f>0.1*$AL$2</f>
        <v>7.5000000000000011E-2</v>
      </c>
      <c r="AM125" s="373">
        <f>AM123</f>
        <v>2.7E-2</v>
      </c>
      <c r="AN125" s="373">
        <f>AN122</f>
        <v>3</v>
      </c>
      <c r="AQ125" s="376">
        <f>AM125*I125*0.1+AL125</f>
        <v>0.10051500000000001</v>
      </c>
      <c r="AR125" s="376">
        <f t="shared" si="131"/>
        <v>1.0051500000000001E-2</v>
      </c>
      <c r="AS125" s="377">
        <f t="shared" si="132"/>
        <v>0.25</v>
      </c>
      <c r="AT125" s="377">
        <f t="shared" si="133"/>
        <v>9.0141625000000003E-2</v>
      </c>
      <c r="AU125" s="376">
        <f>10068.2*J125*POWER(10,-6)</f>
        <v>9.5144489999999998E-2</v>
      </c>
      <c r="AV125" s="377">
        <f t="shared" si="128"/>
        <v>0.54585261500000004</v>
      </c>
      <c r="AW125" s="378">
        <f t="shared" si="134"/>
        <v>0</v>
      </c>
      <c r="AX125" s="378">
        <f t="shared" si="135"/>
        <v>4.0000000000000009E-7</v>
      </c>
      <c r="AY125" s="378">
        <f t="shared" si="129"/>
        <v>2.1834104600000007E-7</v>
      </c>
    </row>
    <row r="126" spans="1:51" s="373" customFormat="1" x14ac:dyDescent="0.3">
      <c r="A126" s="363" t="s">
        <v>22</v>
      </c>
      <c r="B126" s="363" t="str">
        <f>B122</f>
        <v>Емкость DP ЛВЖ+тоеси</v>
      </c>
      <c r="C126" s="365" t="s">
        <v>244</v>
      </c>
      <c r="D126" s="366" t="s">
        <v>172</v>
      </c>
      <c r="E126" s="379">
        <f>E125</f>
        <v>1.0000000000000001E-5</v>
      </c>
      <c r="F126" s="380">
        <f>F122</f>
        <v>1</v>
      </c>
      <c r="G126" s="363">
        <v>0.16000000000000003</v>
      </c>
      <c r="H126" s="368">
        <f t="shared" si="130"/>
        <v>1.6000000000000004E-6</v>
      </c>
      <c r="I126" s="381">
        <f>0.15*I122</f>
        <v>9.4499999999999993</v>
      </c>
      <c r="J126" s="370">
        <f>J123*0.15</f>
        <v>7.6499999999999999E-2</v>
      </c>
      <c r="K126" s="383" t="s">
        <v>180</v>
      </c>
      <c r="L126" s="384">
        <v>3</v>
      </c>
      <c r="M126" s="373" t="str">
        <f t="shared" si="126"/>
        <v>С5</v>
      </c>
      <c r="N126" s="373" t="str">
        <f t="shared" si="126"/>
        <v>Емкость DP ЛВЖ+тоеси</v>
      </c>
      <c r="O126" s="373" t="str">
        <f t="shared" si="127"/>
        <v>Частичное-токси</v>
      </c>
      <c r="P126" s="373" t="s">
        <v>83</v>
      </c>
      <c r="Q126" s="373" t="s">
        <v>83</v>
      </c>
      <c r="R126" s="373" t="s">
        <v>83</v>
      </c>
      <c r="S126" s="373" t="s">
        <v>83</v>
      </c>
      <c r="T126" s="373" t="s">
        <v>83</v>
      </c>
      <c r="U126" s="373" t="s">
        <v>83</v>
      </c>
      <c r="V126" s="373" t="s">
        <v>83</v>
      </c>
      <c r="W126" s="373" t="s">
        <v>83</v>
      </c>
      <c r="X126" s="373" t="s">
        <v>83</v>
      </c>
      <c r="Y126" s="373" t="s">
        <v>83</v>
      </c>
      <c r="Z126" s="373" t="s">
        <v>83</v>
      </c>
      <c r="AA126" s="373" t="s">
        <v>83</v>
      </c>
      <c r="AB126" s="373" t="s">
        <v>83</v>
      </c>
      <c r="AC126" s="373">
        <v>27.9</v>
      </c>
      <c r="AD126" s="373">
        <v>52.7</v>
      </c>
      <c r="AE126" s="373" t="s">
        <v>83</v>
      </c>
      <c r="AF126" s="373" t="s">
        <v>83</v>
      </c>
      <c r="AG126" s="373" t="s">
        <v>83</v>
      </c>
      <c r="AH126" s="373" t="s">
        <v>83</v>
      </c>
      <c r="AI126" s="373" t="s">
        <v>83</v>
      </c>
      <c r="AJ126" s="373">
        <v>0</v>
      </c>
      <c r="AK126" s="373">
        <v>1</v>
      </c>
      <c r="AL126" s="373">
        <f>0.1*$AL$2</f>
        <v>7.5000000000000011E-2</v>
      </c>
      <c r="AM126" s="373">
        <f>AM122</f>
        <v>2.7E-2</v>
      </c>
      <c r="AN126" s="373">
        <f>ROUNDUP(AN122/3,0)</f>
        <v>1</v>
      </c>
      <c r="AQ126" s="376">
        <f>AM126*I126+AL126</f>
        <v>0.33015</v>
      </c>
      <c r="AR126" s="376">
        <f t="shared" si="131"/>
        <v>3.3015000000000003E-2</v>
      </c>
      <c r="AS126" s="377">
        <f t="shared" si="132"/>
        <v>0.25</v>
      </c>
      <c r="AT126" s="377">
        <f t="shared" si="133"/>
        <v>0.15329124999999999</v>
      </c>
      <c r="AU126" s="376">
        <f>1333*J123*POWER(10,-6)*10</f>
        <v>6.7983000000000002E-3</v>
      </c>
      <c r="AV126" s="377">
        <f t="shared" si="128"/>
        <v>0.7732545500000001</v>
      </c>
      <c r="AW126" s="378">
        <f t="shared" si="134"/>
        <v>0</v>
      </c>
      <c r="AX126" s="378">
        <f t="shared" si="135"/>
        <v>1.6000000000000004E-6</v>
      </c>
      <c r="AY126" s="378">
        <f t="shared" si="129"/>
        <v>1.2372072800000003E-6</v>
      </c>
    </row>
    <row r="127" spans="1:51" s="373" customFormat="1" x14ac:dyDescent="0.3">
      <c r="A127" s="363" t="s">
        <v>23</v>
      </c>
      <c r="B127" s="363" t="str">
        <f>B122</f>
        <v>Емкость DP ЛВЖ+тоеси</v>
      </c>
      <c r="C127" s="365" t="s">
        <v>215</v>
      </c>
      <c r="D127" s="366" t="s">
        <v>214</v>
      </c>
      <c r="E127" s="379">
        <f>E126</f>
        <v>1.0000000000000001E-5</v>
      </c>
      <c r="F127" s="380">
        <v>1</v>
      </c>
      <c r="G127" s="363">
        <v>4.0000000000000008E-2</v>
      </c>
      <c r="H127" s="368">
        <f t="shared" si="130"/>
        <v>4.0000000000000009E-7</v>
      </c>
      <c r="I127" s="381">
        <f>J123*0.6</f>
        <v>0.30599999999999999</v>
      </c>
      <c r="J127" s="370">
        <f>I127</f>
        <v>0.30599999999999999</v>
      </c>
      <c r="K127" s="385" t="s">
        <v>191</v>
      </c>
      <c r="L127" s="386">
        <v>13</v>
      </c>
      <c r="M127" s="373" t="str">
        <f t="shared" si="126"/>
        <v>С6</v>
      </c>
      <c r="N127" s="373" t="str">
        <f t="shared" si="126"/>
        <v>Емкость DP ЛВЖ+тоеси</v>
      </c>
      <c r="O127" s="373" t="str">
        <f t="shared" si="127"/>
        <v>Частичное факел</v>
      </c>
      <c r="P127" s="373" t="s">
        <v>83</v>
      </c>
      <c r="Q127" s="373" t="s">
        <v>83</v>
      </c>
      <c r="R127" s="373" t="s">
        <v>83</v>
      </c>
      <c r="S127" s="373" t="s">
        <v>83</v>
      </c>
      <c r="T127" s="373" t="s">
        <v>83</v>
      </c>
      <c r="U127" s="373" t="s">
        <v>83</v>
      </c>
      <c r="V127" s="373" t="s">
        <v>83</v>
      </c>
      <c r="W127" s="373" t="s">
        <v>83</v>
      </c>
      <c r="X127" s="373" t="s">
        <v>83</v>
      </c>
      <c r="Y127" s="373">
        <v>8</v>
      </c>
      <c r="Z127" s="373">
        <v>2</v>
      </c>
      <c r="AA127" s="373" t="s">
        <v>83</v>
      </c>
      <c r="AB127" s="373" t="s">
        <v>83</v>
      </c>
      <c r="AC127" s="373" t="s">
        <v>83</v>
      </c>
      <c r="AD127" s="373" t="s">
        <v>83</v>
      </c>
      <c r="AE127" s="373" t="s">
        <v>83</v>
      </c>
      <c r="AF127" s="373" t="s">
        <v>83</v>
      </c>
      <c r="AG127" s="373" t="s">
        <v>83</v>
      </c>
      <c r="AH127" s="373" t="s">
        <v>83</v>
      </c>
      <c r="AI127" s="373" t="s">
        <v>83</v>
      </c>
      <c r="AJ127" s="373">
        <v>0</v>
      </c>
      <c r="AK127" s="373">
        <v>1</v>
      </c>
      <c r="AL127" s="373">
        <f>0.1*$AL$2</f>
        <v>7.5000000000000011E-2</v>
      </c>
      <c r="AM127" s="373">
        <f>AM122</f>
        <v>2.7E-2</v>
      </c>
      <c r="AN127" s="373">
        <f>AN126</f>
        <v>1</v>
      </c>
      <c r="AQ127" s="376">
        <f>AM127*I127+AL127</f>
        <v>8.3262000000000017E-2</v>
      </c>
      <c r="AR127" s="376">
        <f t="shared" si="131"/>
        <v>8.3262000000000023E-3</v>
      </c>
      <c r="AS127" s="377">
        <f t="shared" si="132"/>
        <v>0.25</v>
      </c>
      <c r="AT127" s="377">
        <f t="shared" si="133"/>
        <v>8.5397050000000002E-2</v>
      </c>
      <c r="AU127" s="376">
        <f>10068.2*J127*POWER(10,-6)</f>
        <v>3.0808692E-3</v>
      </c>
      <c r="AV127" s="377">
        <f t="shared" si="128"/>
        <v>0.43006611920000004</v>
      </c>
      <c r="AW127" s="378">
        <f t="shared" si="134"/>
        <v>0</v>
      </c>
      <c r="AX127" s="378">
        <f t="shared" si="135"/>
        <v>4.0000000000000009E-7</v>
      </c>
      <c r="AY127" s="378">
        <f t="shared" si="129"/>
        <v>1.7202644768000005E-7</v>
      </c>
    </row>
    <row r="128" spans="1:51" s="373" customFormat="1" x14ac:dyDescent="0.3">
      <c r="A128" s="363" t="s">
        <v>210</v>
      </c>
      <c r="B128" s="363" t="str">
        <f>B122</f>
        <v>Емкость DP ЛВЖ+тоеси</v>
      </c>
      <c r="C128" s="365" t="s">
        <v>216</v>
      </c>
      <c r="D128" s="366" t="s">
        <v>165</v>
      </c>
      <c r="E128" s="379">
        <f>E126</f>
        <v>1.0000000000000001E-5</v>
      </c>
      <c r="F128" s="380">
        <f>F122</f>
        <v>1</v>
      </c>
      <c r="G128" s="363">
        <v>0.15200000000000002</v>
      </c>
      <c r="H128" s="368">
        <f t="shared" si="130"/>
        <v>1.5200000000000003E-6</v>
      </c>
      <c r="I128" s="381">
        <f>I127</f>
        <v>0.30599999999999999</v>
      </c>
      <c r="J128" s="370">
        <f>I128</f>
        <v>0.30599999999999999</v>
      </c>
      <c r="K128" s="383"/>
      <c r="L128" s="384"/>
      <c r="M128" s="373" t="str">
        <f t="shared" si="126"/>
        <v>С7</v>
      </c>
      <c r="N128" s="373" t="str">
        <f t="shared" si="126"/>
        <v>Емкость DP ЛВЖ+тоеси</v>
      </c>
      <c r="O128" s="373" t="str">
        <f t="shared" si="127"/>
        <v>Частичное-пожар-вспышка</v>
      </c>
      <c r="P128" s="373" t="s">
        <v>83</v>
      </c>
      <c r="Q128" s="373" t="s">
        <v>83</v>
      </c>
      <c r="R128" s="373" t="s">
        <v>83</v>
      </c>
      <c r="S128" s="373" t="s">
        <v>83</v>
      </c>
      <c r="T128" s="373" t="s">
        <v>83</v>
      </c>
      <c r="U128" s="373" t="s">
        <v>83</v>
      </c>
      <c r="V128" s="373" t="s">
        <v>83</v>
      </c>
      <c r="W128" s="373" t="s">
        <v>83</v>
      </c>
      <c r="X128" s="373" t="s">
        <v>83</v>
      </c>
      <c r="Y128" s="373" t="s">
        <v>83</v>
      </c>
      <c r="Z128" s="373" t="s">
        <v>83</v>
      </c>
      <c r="AA128" s="373">
        <v>22.68</v>
      </c>
      <c r="AB128" s="373">
        <v>27.22</v>
      </c>
      <c r="AC128" s="373" t="s">
        <v>83</v>
      </c>
      <c r="AD128" s="373" t="s">
        <v>83</v>
      </c>
      <c r="AE128" s="373" t="s">
        <v>83</v>
      </c>
      <c r="AF128" s="373" t="s">
        <v>83</v>
      </c>
      <c r="AG128" s="373" t="s">
        <v>83</v>
      </c>
      <c r="AH128" s="373" t="s">
        <v>83</v>
      </c>
      <c r="AI128" s="373" t="s">
        <v>83</v>
      </c>
      <c r="AJ128" s="373">
        <v>0</v>
      </c>
      <c r="AK128" s="373">
        <v>1</v>
      </c>
      <c r="AL128" s="373">
        <f>0.1*$AL$2</f>
        <v>7.5000000000000011E-2</v>
      </c>
      <c r="AM128" s="373">
        <f>AM122</f>
        <v>2.7E-2</v>
      </c>
      <c r="AN128" s="373">
        <f>ROUNDUP(AN122/3,0)</f>
        <v>1</v>
      </c>
      <c r="AQ128" s="376">
        <f>AM128*I128+AL128</f>
        <v>8.3262000000000017E-2</v>
      </c>
      <c r="AR128" s="376">
        <f t="shared" si="131"/>
        <v>8.3262000000000023E-3</v>
      </c>
      <c r="AS128" s="377">
        <f t="shared" si="132"/>
        <v>0.25</v>
      </c>
      <c r="AT128" s="377">
        <f t="shared" si="133"/>
        <v>8.5397050000000002E-2</v>
      </c>
      <c r="AU128" s="376">
        <f>10068.2*J128*POWER(10,-6)</f>
        <v>3.0808692E-3</v>
      </c>
      <c r="AV128" s="377">
        <f t="shared" si="128"/>
        <v>0.43006611920000004</v>
      </c>
      <c r="AW128" s="378">
        <f t="shared" si="134"/>
        <v>0</v>
      </c>
      <c r="AX128" s="378">
        <f t="shared" si="135"/>
        <v>1.5200000000000003E-6</v>
      </c>
      <c r="AY128" s="378">
        <f t="shared" si="129"/>
        <v>6.5370050118400023E-7</v>
      </c>
    </row>
    <row r="129" spans="1:51" s="373" customFormat="1" ht="15" thickBot="1" x14ac:dyDescent="0.35">
      <c r="A129" s="363" t="s">
        <v>211</v>
      </c>
      <c r="B129" s="363" t="str">
        <f>B122</f>
        <v>Емкость DP ЛВЖ+тоеси</v>
      </c>
      <c r="C129" s="365" t="s">
        <v>218</v>
      </c>
      <c r="D129" s="366" t="s">
        <v>172</v>
      </c>
      <c r="E129" s="379">
        <f>E126</f>
        <v>1.0000000000000001E-5</v>
      </c>
      <c r="F129" s="380">
        <f>F122</f>
        <v>1</v>
      </c>
      <c r="G129" s="363">
        <v>0.6080000000000001</v>
      </c>
      <c r="H129" s="368">
        <f t="shared" si="130"/>
        <v>6.0800000000000011E-6</v>
      </c>
      <c r="I129" s="381">
        <f>I127</f>
        <v>0.30599999999999999</v>
      </c>
      <c r="J129" s="370">
        <f>J127</f>
        <v>0.30599999999999999</v>
      </c>
      <c r="K129" s="387"/>
      <c r="L129" s="388"/>
      <c r="M129" s="373" t="str">
        <f t="shared" si="126"/>
        <v>С8</v>
      </c>
      <c r="N129" s="373" t="str">
        <f t="shared" si="126"/>
        <v>Емкость DP ЛВЖ+тоеси</v>
      </c>
      <c r="O129" s="373" t="str">
        <f t="shared" si="127"/>
        <v>Частичное-токси</v>
      </c>
      <c r="P129" s="373" t="s">
        <v>83</v>
      </c>
      <c r="Q129" s="373" t="s">
        <v>83</v>
      </c>
      <c r="R129" s="373" t="s">
        <v>83</v>
      </c>
      <c r="S129" s="373" t="s">
        <v>83</v>
      </c>
      <c r="T129" s="373" t="s">
        <v>83</v>
      </c>
      <c r="U129" s="373" t="s">
        <v>83</v>
      </c>
      <c r="V129" s="373" t="s">
        <v>83</v>
      </c>
      <c r="W129" s="373" t="s">
        <v>83</v>
      </c>
      <c r="X129" s="373" t="s">
        <v>83</v>
      </c>
      <c r="Y129" s="373" t="s">
        <v>83</v>
      </c>
      <c r="Z129" s="373" t="s">
        <v>83</v>
      </c>
      <c r="AA129" s="373" t="s">
        <v>83</v>
      </c>
      <c r="AB129" s="373" t="s">
        <v>83</v>
      </c>
      <c r="AC129" s="373">
        <v>111.7</v>
      </c>
      <c r="AD129" s="373">
        <v>210.8</v>
      </c>
      <c r="AE129" s="373" t="s">
        <v>83</v>
      </c>
      <c r="AF129" s="373" t="s">
        <v>83</v>
      </c>
      <c r="AG129" s="373" t="s">
        <v>83</v>
      </c>
      <c r="AH129" s="373" t="s">
        <v>83</v>
      </c>
      <c r="AI129" s="373" t="s">
        <v>83</v>
      </c>
      <c r="AJ129" s="373">
        <v>0</v>
      </c>
      <c r="AK129" s="373">
        <v>0</v>
      </c>
      <c r="AL129" s="373">
        <f>0.1*$AL$2</f>
        <v>7.5000000000000011E-2</v>
      </c>
      <c r="AM129" s="373">
        <f>AM122</f>
        <v>2.7E-2</v>
      </c>
      <c r="AN129" s="373">
        <f>ROUNDUP(AN122/3,0)</f>
        <v>1</v>
      </c>
      <c r="AQ129" s="376">
        <f>AM129*I129*0.1+AL129</f>
        <v>7.582620000000001E-2</v>
      </c>
      <c r="AR129" s="376">
        <f t="shared" si="131"/>
        <v>7.5826200000000017E-3</v>
      </c>
      <c r="AS129" s="377">
        <f t="shared" si="132"/>
        <v>0</v>
      </c>
      <c r="AT129" s="377">
        <f t="shared" si="133"/>
        <v>2.0852205000000002E-2</v>
      </c>
      <c r="AU129" s="376">
        <f>1333*J127*POWER(10,-6)</f>
        <v>4.0789799999999996E-4</v>
      </c>
      <c r="AV129" s="377">
        <f t="shared" si="128"/>
        <v>0.10466892300000001</v>
      </c>
      <c r="AW129" s="378">
        <f t="shared" si="134"/>
        <v>0</v>
      </c>
      <c r="AX129" s="378">
        <f t="shared" si="135"/>
        <v>0</v>
      </c>
      <c r="AY129" s="378">
        <f t="shared" si="129"/>
        <v>6.3638705184000013E-7</v>
      </c>
    </row>
    <row r="130" spans="1:51" s="373" customFormat="1" x14ac:dyDescent="0.3">
      <c r="A130" s="389" t="s">
        <v>240</v>
      </c>
      <c r="B130" s="389" t="str">
        <f>B122</f>
        <v>Емкость DP ЛВЖ+тоеси</v>
      </c>
      <c r="C130" s="389" t="s">
        <v>404</v>
      </c>
      <c r="D130" s="389" t="s">
        <v>405</v>
      </c>
      <c r="E130" s="390">
        <v>2.5000000000000001E-5</v>
      </c>
      <c r="F130" s="389">
        <v>1</v>
      </c>
      <c r="G130" s="389">
        <v>1</v>
      </c>
      <c r="H130" s="391">
        <f t="shared" si="130"/>
        <v>2.5000000000000001E-5</v>
      </c>
      <c r="I130" s="392">
        <f>I122</f>
        <v>63</v>
      </c>
      <c r="J130" s="392">
        <f>J122*0.3</f>
        <v>18.899999999999999</v>
      </c>
      <c r="K130" s="389"/>
      <c r="L130" s="389"/>
      <c r="M130" s="393" t="str">
        <f t="shared" si="126"/>
        <v>С9</v>
      </c>
      <c r="N130" s="373" t="str">
        <f t="shared" si="126"/>
        <v>Емкость DP ЛВЖ+тоеси</v>
      </c>
      <c r="O130" s="373" t="str">
        <f t="shared" si="127"/>
        <v>Частичное-шар+пожар</v>
      </c>
      <c r="P130" s="393">
        <v>19.3</v>
      </c>
      <c r="Q130" s="393">
        <v>26.9</v>
      </c>
      <c r="R130" s="393">
        <v>38.6</v>
      </c>
      <c r="S130" s="393">
        <v>72.2</v>
      </c>
      <c r="T130" s="393"/>
      <c r="U130" s="393"/>
      <c r="V130" s="393"/>
      <c r="W130" s="393"/>
      <c r="X130" s="393"/>
      <c r="Y130" s="393"/>
      <c r="Z130" s="393"/>
      <c r="AA130" s="393"/>
      <c r="AB130" s="393"/>
      <c r="AC130" s="393"/>
      <c r="AD130" s="393"/>
      <c r="AE130" s="393">
        <v>123</v>
      </c>
      <c r="AF130" s="393">
        <v>176.5</v>
      </c>
      <c r="AG130" s="393">
        <v>210</v>
      </c>
      <c r="AH130" s="393">
        <v>269.5</v>
      </c>
      <c r="AI130" s="393"/>
      <c r="AJ130" s="393">
        <v>1</v>
      </c>
      <c r="AK130" s="393">
        <v>2</v>
      </c>
      <c r="AL130" s="393">
        <f>AL122</f>
        <v>0.75</v>
      </c>
      <c r="AM130" s="393">
        <f>AM122</f>
        <v>2.7E-2</v>
      </c>
      <c r="AN130" s="393">
        <v>5</v>
      </c>
      <c r="AO130" s="393"/>
      <c r="AP130" s="393"/>
      <c r="AQ130" s="394">
        <f>AM130*I130+AL130</f>
        <v>2.4510000000000001</v>
      </c>
      <c r="AR130" s="394">
        <f>0.1*AQ130</f>
        <v>0.24510000000000001</v>
      </c>
      <c r="AS130" s="395">
        <f>AJ130*3+0.25*AK130</f>
        <v>3.5</v>
      </c>
      <c r="AT130" s="395">
        <f>SUM(AQ130:AS130)/4</f>
        <v>1.5490249999999999</v>
      </c>
      <c r="AU130" s="394">
        <f>10068.2*J130*POWER(10,-6)</f>
        <v>0.19028898</v>
      </c>
      <c r="AV130" s="395">
        <f t="shared" si="128"/>
        <v>7.9354139799999999</v>
      </c>
      <c r="AW130" s="396">
        <f>AJ130*H130</f>
        <v>2.5000000000000001E-5</v>
      </c>
      <c r="AX130" s="396">
        <f>H130*AK130</f>
        <v>5.0000000000000002E-5</v>
      </c>
      <c r="AY130" s="396">
        <f t="shared" si="129"/>
        <v>1.9838534950000002E-4</v>
      </c>
    </row>
    <row r="131" spans="1:51" ht="15" thickBot="1" x14ac:dyDescent="0.35"/>
    <row r="132" spans="1:51" s="227" customFormat="1" ht="18" customHeight="1" x14ac:dyDescent="0.3">
      <c r="A132" s="218" t="s">
        <v>18</v>
      </c>
      <c r="B132" s="219" t="s">
        <v>225</v>
      </c>
      <c r="C132" s="53" t="s">
        <v>196</v>
      </c>
      <c r="D132" s="220" t="s">
        <v>59</v>
      </c>
      <c r="E132" s="221">
        <v>1.0000000000000001E-5</v>
      </c>
      <c r="F132" s="219">
        <v>1</v>
      </c>
      <c r="G132" s="218">
        <v>0.05</v>
      </c>
      <c r="H132" s="222">
        <f>E132*F132*G132</f>
        <v>5.0000000000000008E-7</v>
      </c>
      <c r="I132" s="223">
        <v>12</v>
      </c>
      <c r="J132" s="224">
        <f>I132</f>
        <v>12</v>
      </c>
      <c r="K132" s="225" t="s">
        <v>175</v>
      </c>
      <c r="L132" s="226">
        <v>200</v>
      </c>
      <c r="M132" s="227" t="str">
        <f t="shared" ref="M132:N134" si="136">A132</f>
        <v>С1</v>
      </c>
      <c r="N132" s="227" t="str">
        <f t="shared" si="136"/>
        <v>Емкость подземная ЛВЖ</v>
      </c>
      <c r="O132" s="227" t="str">
        <f>D132</f>
        <v>Полное-пожар</v>
      </c>
      <c r="P132" s="227" t="s">
        <v>83</v>
      </c>
      <c r="Q132" s="227" t="s">
        <v>83</v>
      </c>
      <c r="R132" s="227" t="s">
        <v>83</v>
      </c>
      <c r="S132" s="227" t="s">
        <v>83</v>
      </c>
      <c r="T132" s="227" t="s">
        <v>83</v>
      </c>
      <c r="U132" s="227" t="s">
        <v>83</v>
      </c>
      <c r="V132" s="227" t="s">
        <v>83</v>
      </c>
      <c r="W132" s="227" t="s">
        <v>83</v>
      </c>
      <c r="X132" s="227" t="s">
        <v>83</v>
      </c>
      <c r="Y132" s="227" t="s">
        <v>83</v>
      </c>
      <c r="Z132" s="227" t="s">
        <v>83</v>
      </c>
      <c r="AA132" s="227" t="s">
        <v>83</v>
      </c>
      <c r="AB132" s="227" t="s">
        <v>83</v>
      </c>
      <c r="AC132" s="227" t="s">
        <v>83</v>
      </c>
      <c r="AD132" s="227" t="s">
        <v>83</v>
      </c>
      <c r="AE132" s="227" t="s">
        <v>83</v>
      </c>
      <c r="AF132" s="227" t="s">
        <v>83</v>
      </c>
      <c r="AG132" s="227" t="s">
        <v>83</v>
      </c>
      <c r="AH132" s="227" t="s">
        <v>83</v>
      </c>
      <c r="AI132" s="227" t="s">
        <v>83</v>
      </c>
      <c r="AJ132" s="228">
        <v>1</v>
      </c>
      <c r="AK132" s="228">
        <v>2</v>
      </c>
      <c r="AL132" s="229">
        <v>0.75</v>
      </c>
      <c r="AM132" s="229">
        <v>2.7E-2</v>
      </c>
      <c r="AN132" s="229">
        <v>3</v>
      </c>
      <c r="AQ132" s="230">
        <f>AM132*I132+AL132</f>
        <v>1.0740000000000001</v>
      </c>
      <c r="AR132" s="230">
        <f>0.1*AQ132</f>
        <v>0.10740000000000001</v>
      </c>
      <c r="AS132" s="231">
        <f>AJ132*3+0.25*AK132</f>
        <v>3.5</v>
      </c>
      <c r="AT132" s="231">
        <f>SUM(AQ132:AS132)/4</f>
        <v>1.17035</v>
      </c>
      <c r="AU132" s="230">
        <f>10068.2*J132*POWER(10,-6)</f>
        <v>0.12081840000000001</v>
      </c>
      <c r="AV132" s="231">
        <f>AU132+AT132+AS132+AR132+AQ132</f>
        <v>5.9725684000000001</v>
      </c>
      <c r="AW132" s="232">
        <f>AJ132*H132</f>
        <v>5.0000000000000008E-7</v>
      </c>
      <c r="AX132" s="232">
        <f>H132*AK132</f>
        <v>1.0000000000000002E-6</v>
      </c>
      <c r="AY132" s="232">
        <f>H132*AV132</f>
        <v>2.9862842000000004E-6</v>
      </c>
    </row>
    <row r="133" spans="1:51" s="227" customFormat="1" x14ac:dyDescent="0.3">
      <c r="A133" s="218" t="s">
        <v>19</v>
      </c>
      <c r="B133" s="218" t="str">
        <f>B132</f>
        <v>Емкость подземная ЛВЖ</v>
      </c>
      <c r="C133" s="53" t="s">
        <v>202</v>
      </c>
      <c r="D133" s="220" t="s">
        <v>62</v>
      </c>
      <c r="E133" s="233">
        <f>E132</f>
        <v>1.0000000000000001E-5</v>
      </c>
      <c r="F133" s="234">
        <f>F132</f>
        <v>1</v>
      </c>
      <c r="G133" s="218">
        <v>4.7500000000000001E-2</v>
      </c>
      <c r="H133" s="222">
        <f>E133*F133*G133</f>
        <v>4.7500000000000006E-7</v>
      </c>
      <c r="I133" s="235">
        <f>I132</f>
        <v>12</v>
      </c>
      <c r="J133" s="243">
        <v>0.35</v>
      </c>
      <c r="K133" s="236" t="s">
        <v>176</v>
      </c>
      <c r="L133" s="237">
        <v>0</v>
      </c>
      <c r="M133" s="227" t="str">
        <f t="shared" si="136"/>
        <v>С2</v>
      </c>
      <c r="N133" s="227" t="str">
        <f t="shared" si="136"/>
        <v>Емкость подземная ЛВЖ</v>
      </c>
      <c r="O133" s="227" t="str">
        <f>D133</f>
        <v>Полное-взрыв</v>
      </c>
      <c r="P133" s="227" t="s">
        <v>83</v>
      </c>
      <c r="Q133" s="227" t="s">
        <v>83</v>
      </c>
      <c r="R133" s="227" t="s">
        <v>83</v>
      </c>
      <c r="S133" s="227" t="s">
        <v>83</v>
      </c>
      <c r="T133" s="227" t="s">
        <v>83</v>
      </c>
      <c r="U133" s="227" t="s">
        <v>83</v>
      </c>
      <c r="V133" s="227" t="s">
        <v>83</v>
      </c>
      <c r="W133" s="227" t="s">
        <v>83</v>
      </c>
      <c r="X133" s="227" t="s">
        <v>83</v>
      </c>
      <c r="Y133" s="227" t="s">
        <v>83</v>
      </c>
      <c r="Z133" s="227" t="s">
        <v>83</v>
      </c>
      <c r="AA133" s="227" t="s">
        <v>83</v>
      </c>
      <c r="AB133" s="227" t="s">
        <v>83</v>
      </c>
      <c r="AC133" s="227" t="s">
        <v>83</v>
      </c>
      <c r="AD133" s="227" t="s">
        <v>83</v>
      </c>
      <c r="AE133" s="227" t="s">
        <v>83</v>
      </c>
      <c r="AF133" s="227" t="s">
        <v>83</v>
      </c>
      <c r="AG133" s="227" t="s">
        <v>83</v>
      </c>
      <c r="AH133" s="227" t="s">
        <v>83</v>
      </c>
      <c r="AI133" s="227" t="s">
        <v>83</v>
      </c>
      <c r="AJ133" s="228">
        <v>2</v>
      </c>
      <c r="AK133" s="228">
        <v>2</v>
      </c>
      <c r="AL133" s="227">
        <f>AL132</f>
        <v>0.75</v>
      </c>
      <c r="AM133" s="227">
        <f>AM132</f>
        <v>2.7E-2</v>
      </c>
      <c r="AN133" s="227">
        <f>AN132</f>
        <v>3</v>
      </c>
      <c r="AQ133" s="230">
        <f>AM133*I133+AL133</f>
        <v>1.0740000000000001</v>
      </c>
      <c r="AR133" s="230">
        <f>0.1*AQ133</f>
        <v>0.10740000000000001</v>
      </c>
      <c r="AS133" s="231">
        <f>AJ133*3+0.25*AK133</f>
        <v>6.5</v>
      </c>
      <c r="AT133" s="231">
        <f>SUM(AQ133:AS133)/4</f>
        <v>1.92035</v>
      </c>
      <c r="AU133" s="230">
        <f>10068.2*J133*POWER(10,-6)*10</f>
        <v>3.5238699999999998E-2</v>
      </c>
      <c r="AV133" s="231">
        <f>AU133+AT133+AS133+AR133+AQ133</f>
        <v>9.6369886999999999</v>
      </c>
      <c r="AW133" s="232">
        <f>AJ133*H133</f>
        <v>9.5000000000000012E-7</v>
      </c>
      <c r="AX133" s="232">
        <f>H133*AK133</f>
        <v>9.5000000000000012E-7</v>
      </c>
      <c r="AY133" s="232">
        <f>H133*AV133</f>
        <v>4.5775696325000001E-6</v>
      </c>
    </row>
    <row r="134" spans="1:51" s="227" customFormat="1" x14ac:dyDescent="0.3">
      <c r="A134" s="218" t="s">
        <v>20</v>
      </c>
      <c r="B134" s="218" t="str">
        <f>B132</f>
        <v>Емкость подземная ЛВЖ</v>
      </c>
      <c r="C134" s="53" t="s">
        <v>241</v>
      </c>
      <c r="D134" s="220" t="s">
        <v>60</v>
      </c>
      <c r="E134" s="233">
        <f>E132</f>
        <v>1.0000000000000001E-5</v>
      </c>
      <c r="F134" s="234">
        <f>F132</f>
        <v>1</v>
      </c>
      <c r="G134" s="218">
        <v>0.90249999999999997</v>
      </c>
      <c r="H134" s="222">
        <f>E134*F134*G134</f>
        <v>9.0250000000000008E-6</v>
      </c>
      <c r="I134" s="235">
        <f>I132</f>
        <v>12</v>
      </c>
      <c r="J134" s="238">
        <v>0</v>
      </c>
      <c r="K134" s="236" t="s">
        <v>177</v>
      </c>
      <c r="L134" s="237">
        <v>0</v>
      </c>
      <c r="M134" s="227" t="str">
        <f t="shared" si="136"/>
        <v>С3</v>
      </c>
      <c r="N134" s="227" t="str">
        <f t="shared" si="136"/>
        <v>Емкость подземная ЛВЖ</v>
      </c>
      <c r="O134" s="227" t="str">
        <f>D134</f>
        <v>Полное-ликвидация</v>
      </c>
      <c r="P134" s="227" t="s">
        <v>83</v>
      </c>
      <c r="Q134" s="227" t="s">
        <v>83</v>
      </c>
      <c r="R134" s="227" t="s">
        <v>83</v>
      </c>
      <c r="S134" s="227" t="s">
        <v>83</v>
      </c>
      <c r="T134" s="227" t="s">
        <v>83</v>
      </c>
      <c r="U134" s="227" t="s">
        <v>83</v>
      </c>
      <c r="V134" s="227" t="s">
        <v>83</v>
      </c>
      <c r="W134" s="227" t="s">
        <v>83</v>
      </c>
      <c r="X134" s="227" t="s">
        <v>83</v>
      </c>
      <c r="Y134" s="227" t="s">
        <v>83</v>
      </c>
      <c r="Z134" s="227" t="s">
        <v>83</v>
      </c>
      <c r="AA134" s="227" t="s">
        <v>83</v>
      </c>
      <c r="AB134" s="227" t="s">
        <v>83</v>
      </c>
      <c r="AC134" s="227" t="s">
        <v>83</v>
      </c>
      <c r="AD134" s="227" t="s">
        <v>83</v>
      </c>
      <c r="AE134" s="227" t="s">
        <v>83</v>
      </c>
      <c r="AF134" s="227" t="s">
        <v>83</v>
      </c>
      <c r="AG134" s="227" t="s">
        <v>83</v>
      </c>
      <c r="AH134" s="227" t="s">
        <v>83</v>
      </c>
      <c r="AI134" s="227" t="s">
        <v>83</v>
      </c>
      <c r="AJ134" s="227">
        <v>0</v>
      </c>
      <c r="AK134" s="227">
        <v>0</v>
      </c>
      <c r="AL134" s="227">
        <f>AL132</f>
        <v>0.75</v>
      </c>
      <c r="AM134" s="227">
        <f>AM132</f>
        <v>2.7E-2</v>
      </c>
      <c r="AN134" s="227">
        <f>AN132</f>
        <v>3</v>
      </c>
      <c r="AQ134" s="230">
        <f>AM134*I134*0.1+AL134</f>
        <v>0.78239999999999998</v>
      </c>
      <c r="AR134" s="230">
        <f>0.1*AQ134</f>
        <v>7.8240000000000004E-2</v>
      </c>
      <c r="AS134" s="231">
        <f>AJ134*3+0.25*AK134</f>
        <v>0</v>
      </c>
      <c r="AT134" s="231">
        <f>SUM(AQ134:AS134)/4</f>
        <v>0.21515999999999999</v>
      </c>
      <c r="AU134" s="230">
        <f>1333*J132*POWER(10,-6)</f>
        <v>1.5996E-2</v>
      </c>
      <c r="AV134" s="231">
        <f>AU134+AT134+AS134+AR134+AQ134</f>
        <v>1.091796</v>
      </c>
      <c r="AW134" s="232">
        <f>AJ134*H134</f>
        <v>0</v>
      </c>
      <c r="AX134" s="232">
        <f>H134*AK134</f>
        <v>0</v>
      </c>
      <c r="AY134" s="232">
        <f>H134*AV134</f>
        <v>9.853458900000001E-6</v>
      </c>
    </row>
    <row r="135" spans="1:51" s="227" customFormat="1" x14ac:dyDescent="0.3">
      <c r="A135" s="218"/>
      <c r="B135" s="218"/>
      <c r="C135" s="53"/>
      <c r="D135" s="220"/>
      <c r="E135" s="221"/>
      <c r="F135" s="234"/>
      <c r="G135" s="218"/>
      <c r="H135" s="222"/>
      <c r="I135" s="235"/>
      <c r="J135" s="224"/>
      <c r="K135" s="236" t="s">
        <v>179</v>
      </c>
      <c r="L135" s="237">
        <v>45390</v>
      </c>
      <c r="AQ135" s="230"/>
      <c r="AR135" s="230"/>
      <c r="AS135" s="231"/>
      <c r="AT135" s="231"/>
      <c r="AU135" s="230"/>
      <c r="AV135" s="231"/>
      <c r="AW135" s="232"/>
      <c r="AX135" s="232"/>
      <c r="AY135" s="232"/>
    </row>
    <row r="136" spans="1:51" s="227" customFormat="1" x14ac:dyDescent="0.3">
      <c r="A136" s="218"/>
      <c r="B136" s="218"/>
      <c r="C136" s="53"/>
      <c r="D136" s="220"/>
      <c r="E136" s="233"/>
      <c r="F136" s="234"/>
      <c r="G136" s="218"/>
      <c r="H136" s="222"/>
      <c r="I136" s="235"/>
      <c r="J136" s="224"/>
      <c r="K136" s="236" t="s">
        <v>180</v>
      </c>
      <c r="L136" s="237">
        <v>3</v>
      </c>
      <c r="AQ136" s="230"/>
      <c r="AR136" s="230"/>
      <c r="AS136" s="231"/>
      <c r="AT136" s="231"/>
      <c r="AU136" s="230"/>
      <c r="AV136" s="231"/>
      <c r="AW136" s="232"/>
      <c r="AX136" s="232"/>
      <c r="AY136" s="232"/>
    </row>
    <row r="137" spans="1:51" s="227" customFormat="1" ht="15" thickBot="1" x14ac:dyDescent="0.35">
      <c r="A137" s="218"/>
      <c r="B137" s="218"/>
      <c r="C137" s="53"/>
      <c r="D137" s="220"/>
      <c r="E137" s="233"/>
      <c r="F137" s="234"/>
      <c r="G137" s="218"/>
      <c r="H137" s="222"/>
      <c r="I137" s="235"/>
      <c r="J137" s="224"/>
      <c r="K137" s="241" t="s">
        <v>191</v>
      </c>
      <c r="L137" s="253">
        <v>14</v>
      </c>
      <c r="AQ137" s="230"/>
      <c r="AR137" s="230"/>
      <c r="AS137" s="231"/>
      <c r="AT137" s="231"/>
      <c r="AU137" s="230"/>
      <c r="AV137" s="231"/>
      <c r="AW137" s="232"/>
      <c r="AX137" s="232"/>
      <c r="AY137" s="232"/>
    </row>
    <row r="138" spans="1:51" s="227" customFormat="1" x14ac:dyDescent="0.3">
      <c r="A138" s="228"/>
      <c r="B138" s="228"/>
      <c r="D138" s="274"/>
      <c r="E138" s="275"/>
      <c r="F138" s="276"/>
      <c r="G138" s="228"/>
      <c r="H138" s="232"/>
      <c r="I138" s="231"/>
      <c r="J138" s="231"/>
      <c r="K138" s="228"/>
      <c r="L138" s="276"/>
      <c r="AQ138" s="230"/>
      <c r="AR138" s="230"/>
      <c r="AS138" s="231"/>
      <c r="AT138" s="231"/>
      <c r="AU138" s="230"/>
      <c r="AV138" s="231"/>
      <c r="AW138" s="232"/>
      <c r="AX138" s="232"/>
      <c r="AY138" s="232"/>
    </row>
    <row r="139" spans="1:51" s="227" customFormat="1" x14ac:dyDescent="0.3">
      <c r="A139" s="228"/>
      <c r="B139" s="228"/>
      <c r="D139" s="274"/>
      <c r="E139" s="275"/>
      <c r="F139" s="276"/>
      <c r="G139" s="228"/>
      <c r="H139" s="232"/>
      <c r="I139" s="231"/>
      <c r="J139" s="231"/>
      <c r="K139" s="228"/>
      <c r="L139" s="276"/>
      <c r="AQ139" s="230"/>
      <c r="AR139" s="230"/>
      <c r="AS139" s="231"/>
      <c r="AT139" s="231"/>
      <c r="AU139" s="230"/>
      <c r="AV139" s="231"/>
      <c r="AW139" s="232"/>
      <c r="AX139" s="232"/>
      <c r="AY139" s="232"/>
    </row>
    <row r="140" spans="1:51" s="227" customFormat="1" x14ac:dyDescent="0.3">
      <c r="A140" s="228"/>
      <c r="B140" s="228"/>
      <c r="D140" s="274"/>
      <c r="E140" s="275"/>
      <c r="F140" s="276"/>
      <c r="G140" s="228"/>
      <c r="H140" s="232"/>
      <c r="I140" s="231"/>
      <c r="J140" s="231"/>
      <c r="K140" s="228"/>
      <c r="L140" s="276"/>
      <c r="AQ140" s="230"/>
      <c r="AR140" s="230"/>
      <c r="AS140" s="231"/>
      <c r="AT140" s="231"/>
      <c r="AU140" s="230"/>
      <c r="AV140" s="231"/>
      <c r="AW140" s="232"/>
      <c r="AX140" s="232"/>
      <c r="AY140" s="232"/>
    </row>
    <row r="141" spans="1:51" ht="15" thickBot="1" x14ac:dyDescent="0.35"/>
    <row r="142" spans="1:51" s="227" customFormat="1" ht="18" customHeight="1" x14ac:dyDescent="0.3">
      <c r="A142" s="218" t="s">
        <v>18</v>
      </c>
      <c r="B142" s="219" t="s">
        <v>233</v>
      </c>
      <c r="C142" s="53" t="s">
        <v>196</v>
      </c>
      <c r="D142" s="220" t="s">
        <v>59</v>
      </c>
      <c r="E142" s="221">
        <v>1.0000000000000001E-5</v>
      </c>
      <c r="F142" s="219">
        <v>1</v>
      </c>
      <c r="G142" s="218">
        <v>0.05</v>
      </c>
      <c r="H142" s="222">
        <f>E142*F142*G142</f>
        <v>5.0000000000000008E-7</v>
      </c>
      <c r="I142" s="223">
        <v>12</v>
      </c>
      <c r="J142" s="280">
        <f>I142</f>
        <v>12</v>
      </c>
      <c r="K142" s="225" t="s">
        <v>175</v>
      </c>
      <c r="L142" s="226">
        <v>200</v>
      </c>
      <c r="M142" s="227" t="str">
        <f t="shared" ref="M142:N144" si="137">A142</f>
        <v>С1</v>
      </c>
      <c r="N142" s="227" t="str">
        <f t="shared" si="137"/>
        <v>Емкость подземная ГЖ</v>
      </c>
      <c r="O142" s="227" t="str">
        <f>D142</f>
        <v>Полное-пожар</v>
      </c>
      <c r="P142" s="227" t="s">
        <v>83</v>
      </c>
      <c r="Q142" s="227" t="s">
        <v>83</v>
      </c>
      <c r="R142" s="227" t="s">
        <v>83</v>
      </c>
      <c r="S142" s="227" t="s">
        <v>83</v>
      </c>
      <c r="T142" s="227" t="s">
        <v>83</v>
      </c>
      <c r="U142" s="227" t="s">
        <v>83</v>
      </c>
      <c r="V142" s="227" t="s">
        <v>83</v>
      </c>
      <c r="W142" s="227" t="s">
        <v>83</v>
      </c>
      <c r="X142" s="227" t="s">
        <v>83</v>
      </c>
      <c r="Y142" s="227" t="s">
        <v>83</v>
      </c>
      <c r="Z142" s="227" t="s">
        <v>83</v>
      </c>
      <c r="AA142" s="227" t="s">
        <v>83</v>
      </c>
      <c r="AB142" s="227" t="s">
        <v>83</v>
      </c>
      <c r="AC142" s="227" t="s">
        <v>83</v>
      </c>
      <c r="AD142" s="227" t="s">
        <v>83</v>
      </c>
      <c r="AE142" s="227" t="s">
        <v>83</v>
      </c>
      <c r="AF142" s="227" t="s">
        <v>83</v>
      </c>
      <c r="AG142" s="227" t="s">
        <v>83</v>
      </c>
      <c r="AH142" s="227" t="s">
        <v>83</v>
      </c>
      <c r="AI142" s="227" t="s">
        <v>83</v>
      </c>
      <c r="AJ142" s="228">
        <v>1</v>
      </c>
      <c r="AK142" s="228">
        <v>2</v>
      </c>
      <c r="AL142" s="229">
        <v>0.75</v>
      </c>
      <c r="AM142" s="229">
        <v>2.7E-2</v>
      </c>
      <c r="AN142" s="229">
        <v>3</v>
      </c>
      <c r="AQ142" s="230">
        <f>AM142*I142+AL142</f>
        <v>1.0740000000000001</v>
      </c>
      <c r="AR142" s="230">
        <f>0.1*AQ142</f>
        <v>0.10740000000000001</v>
      </c>
      <c r="AS142" s="231">
        <f>AJ142*3+0.25*AK142</f>
        <v>3.5</v>
      </c>
      <c r="AT142" s="231">
        <f>SUM(AQ142:AS142)/4</f>
        <v>1.17035</v>
      </c>
      <c r="AU142" s="230">
        <f>10068.2*J142*POWER(10,-6)</f>
        <v>0.12081840000000001</v>
      </c>
      <c r="AV142" s="231">
        <f>AU142+AT142+AS142+AR142+AQ142</f>
        <v>5.9725684000000001</v>
      </c>
      <c r="AW142" s="232">
        <f>AJ142*H142</f>
        <v>5.0000000000000008E-7</v>
      </c>
      <c r="AX142" s="232">
        <f>H142*AK142</f>
        <v>1.0000000000000002E-6</v>
      </c>
      <c r="AY142" s="232">
        <f>H142*AV142</f>
        <v>2.9862842000000004E-6</v>
      </c>
    </row>
    <row r="143" spans="1:51" s="227" customFormat="1" x14ac:dyDescent="0.3">
      <c r="A143" s="218" t="s">
        <v>19</v>
      </c>
      <c r="B143" s="218" t="str">
        <f>B142</f>
        <v>Емкость подземная ГЖ</v>
      </c>
      <c r="C143" s="53" t="s">
        <v>245</v>
      </c>
      <c r="D143" s="220" t="s">
        <v>62</v>
      </c>
      <c r="E143" s="233">
        <f>E142</f>
        <v>1.0000000000000001E-5</v>
      </c>
      <c r="F143" s="234">
        <f>F142</f>
        <v>1</v>
      </c>
      <c r="G143" s="218">
        <v>4.7500000000000001E-2</v>
      </c>
      <c r="H143" s="222">
        <f>E143*F143*G143</f>
        <v>4.7500000000000006E-7</v>
      </c>
      <c r="I143" s="235">
        <f>I142</f>
        <v>12</v>
      </c>
      <c r="J143" s="280">
        <f>I142</f>
        <v>12</v>
      </c>
      <c r="K143" s="236" t="s">
        <v>176</v>
      </c>
      <c r="L143" s="237">
        <v>0</v>
      </c>
      <c r="M143" s="227" t="str">
        <f t="shared" si="137"/>
        <v>С2</v>
      </c>
      <c r="N143" s="227" t="str">
        <f t="shared" si="137"/>
        <v>Емкость подземная ГЖ</v>
      </c>
      <c r="O143" s="227" t="str">
        <f>D143</f>
        <v>Полное-взрыв</v>
      </c>
      <c r="P143" s="227" t="s">
        <v>83</v>
      </c>
      <c r="Q143" s="227" t="s">
        <v>83</v>
      </c>
      <c r="R143" s="227" t="s">
        <v>83</v>
      </c>
      <c r="S143" s="227" t="s">
        <v>83</v>
      </c>
      <c r="T143" s="227" t="s">
        <v>83</v>
      </c>
      <c r="U143" s="227" t="s">
        <v>83</v>
      </c>
      <c r="V143" s="227" t="s">
        <v>83</v>
      </c>
      <c r="W143" s="227" t="s">
        <v>83</v>
      </c>
      <c r="X143" s="227" t="s">
        <v>83</v>
      </c>
      <c r="Y143" s="227" t="s">
        <v>83</v>
      </c>
      <c r="Z143" s="227" t="s">
        <v>83</v>
      </c>
      <c r="AA143" s="227" t="s">
        <v>83</v>
      </c>
      <c r="AB143" s="227" t="s">
        <v>83</v>
      </c>
      <c r="AC143" s="227" t="s">
        <v>83</v>
      </c>
      <c r="AD143" s="227" t="s">
        <v>83</v>
      </c>
      <c r="AE143" s="227" t="s">
        <v>83</v>
      </c>
      <c r="AF143" s="227" t="s">
        <v>83</v>
      </c>
      <c r="AG143" s="227" t="s">
        <v>83</v>
      </c>
      <c r="AH143" s="227" t="s">
        <v>83</v>
      </c>
      <c r="AI143" s="227" t="s">
        <v>83</v>
      </c>
      <c r="AJ143" s="228">
        <v>2</v>
      </c>
      <c r="AK143" s="228">
        <v>2</v>
      </c>
      <c r="AL143" s="227">
        <f>AL142</f>
        <v>0.75</v>
      </c>
      <c r="AM143" s="227">
        <f>AM142</f>
        <v>2.7E-2</v>
      </c>
      <c r="AN143" s="227">
        <f>AN142</f>
        <v>3</v>
      </c>
      <c r="AQ143" s="230">
        <f>AM143*I143+AL143</f>
        <v>1.0740000000000001</v>
      </c>
      <c r="AR143" s="230">
        <f>0.1*AQ143</f>
        <v>0.10740000000000001</v>
      </c>
      <c r="AS143" s="231">
        <f>AJ143*3+0.25*AK143</f>
        <v>6.5</v>
      </c>
      <c r="AT143" s="231">
        <f>SUM(AQ143:AS143)/4</f>
        <v>1.92035</v>
      </c>
      <c r="AU143" s="230">
        <f>10068.2*J143*POWER(10,-6)*10</f>
        <v>1.2081840000000001</v>
      </c>
      <c r="AV143" s="231">
        <f>AU143+AT143+AS143+AR143+AQ143</f>
        <v>10.809934</v>
      </c>
      <c r="AW143" s="232">
        <f>AJ143*H143</f>
        <v>9.5000000000000012E-7</v>
      </c>
      <c r="AX143" s="232">
        <f>H143*AK143</f>
        <v>9.5000000000000012E-7</v>
      </c>
      <c r="AY143" s="232">
        <f>H143*AV143</f>
        <v>5.1347186500000007E-6</v>
      </c>
    </row>
    <row r="144" spans="1:51" s="227" customFormat="1" x14ac:dyDescent="0.3">
      <c r="A144" s="218" t="s">
        <v>20</v>
      </c>
      <c r="B144" s="218" t="str">
        <f>B142</f>
        <v>Емкость подземная ГЖ</v>
      </c>
      <c r="C144" s="53" t="s">
        <v>246</v>
      </c>
      <c r="D144" s="220" t="s">
        <v>60</v>
      </c>
      <c r="E144" s="233">
        <f>E142</f>
        <v>1.0000000000000001E-5</v>
      </c>
      <c r="F144" s="234">
        <f>F142</f>
        <v>1</v>
      </c>
      <c r="G144" s="218">
        <v>0.90249999999999997</v>
      </c>
      <c r="H144" s="222">
        <f>E144*F144*G144</f>
        <v>9.0250000000000008E-6</v>
      </c>
      <c r="I144" s="235">
        <f>I142</f>
        <v>12</v>
      </c>
      <c r="J144" s="238">
        <v>0</v>
      </c>
      <c r="K144" s="236" t="s">
        <v>177</v>
      </c>
      <c r="L144" s="237">
        <v>0</v>
      </c>
      <c r="M144" s="227" t="str">
        <f t="shared" si="137"/>
        <v>С3</v>
      </c>
      <c r="N144" s="227" t="str">
        <f t="shared" si="137"/>
        <v>Емкость подземная ГЖ</v>
      </c>
      <c r="O144" s="227" t="str">
        <f>D144</f>
        <v>Полное-ликвидация</v>
      </c>
      <c r="P144" s="227" t="s">
        <v>83</v>
      </c>
      <c r="Q144" s="227" t="s">
        <v>83</v>
      </c>
      <c r="R144" s="227" t="s">
        <v>83</v>
      </c>
      <c r="S144" s="227" t="s">
        <v>83</v>
      </c>
      <c r="T144" s="227" t="s">
        <v>83</v>
      </c>
      <c r="U144" s="227" t="s">
        <v>83</v>
      </c>
      <c r="V144" s="227" t="s">
        <v>83</v>
      </c>
      <c r="W144" s="227" t="s">
        <v>83</v>
      </c>
      <c r="X144" s="227" t="s">
        <v>83</v>
      </c>
      <c r="Y144" s="227" t="s">
        <v>83</v>
      </c>
      <c r="Z144" s="227" t="s">
        <v>83</v>
      </c>
      <c r="AA144" s="227" t="s">
        <v>83</v>
      </c>
      <c r="AB144" s="227" t="s">
        <v>83</v>
      </c>
      <c r="AC144" s="227" t="s">
        <v>83</v>
      </c>
      <c r="AD144" s="227" t="s">
        <v>83</v>
      </c>
      <c r="AE144" s="227" t="s">
        <v>83</v>
      </c>
      <c r="AF144" s="227" t="s">
        <v>83</v>
      </c>
      <c r="AG144" s="227" t="s">
        <v>83</v>
      </c>
      <c r="AH144" s="227" t="s">
        <v>83</v>
      </c>
      <c r="AI144" s="227" t="s">
        <v>83</v>
      </c>
      <c r="AJ144" s="227">
        <v>0</v>
      </c>
      <c r="AK144" s="227">
        <v>0</v>
      </c>
      <c r="AL144" s="227">
        <f>AL142</f>
        <v>0.75</v>
      </c>
      <c r="AM144" s="227">
        <f>AM142</f>
        <v>2.7E-2</v>
      </c>
      <c r="AN144" s="227">
        <f>AN142</f>
        <v>3</v>
      </c>
      <c r="AQ144" s="230">
        <f>AM144*I144*0.1+AL144</f>
        <v>0.78239999999999998</v>
      </c>
      <c r="AR144" s="230">
        <f>0.1*AQ144</f>
        <v>7.8240000000000004E-2</v>
      </c>
      <c r="AS144" s="231">
        <f>AJ144*3+0.25*AK144</f>
        <v>0</v>
      </c>
      <c r="AT144" s="231">
        <f>SUM(AQ144:AS144)/4</f>
        <v>0.21515999999999999</v>
      </c>
      <c r="AU144" s="230">
        <f>1333*J142*POWER(10,-6)</f>
        <v>1.5996E-2</v>
      </c>
      <c r="AV144" s="231">
        <f>AU144+AT144+AS144+AR144+AQ144</f>
        <v>1.091796</v>
      </c>
      <c r="AW144" s="232">
        <f>AJ144*H144</f>
        <v>0</v>
      </c>
      <c r="AX144" s="232">
        <f>H144*AK144</f>
        <v>0</v>
      </c>
      <c r="AY144" s="232">
        <f>H144*AV144</f>
        <v>9.853458900000001E-6</v>
      </c>
    </row>
    <row r="145" spans="1:51" s="227" customFormat="1" x14ac:dyDescent="0.3">
      <c r="A145" s="218"/>
      <c r="B145" s="218"/>
      <c r="C145" s="53"/>
      <c r="D145" s="220"/>
      <c r="E145" s="221"/>
      <c r="F145" s="234"/>
      <c r="G145" s="218"/>
      <c r="H145" s="222"/>
      <c r="I145" s="235"/>
      <c r="J145" s="224"/>
      <c r="K145" s="236" t="s">
        <v>179</v>
      </c>
      <c r="L145" s="237">
        <v>45390</v>
      </c>
      <c r="AQ145" s="230"/>
      <c r="AR145" s="230"/>
      <c r="AS145" s="231"/>
      <c r="AT145" s="231"/>
      <c r="AU145" s="230"/>
      <c r="AV145" s="231"/>
      <c r="AW145" s="232"/>
      <c r="AX145" s="232"/>
      <c r="AY145" s="232"/>
    </row>
    <row r="146" spans="1:51" s="227" customFormat="1" x14ac:dyDescent="0.3">
      <c r="A146" s="218"/>
      <c r="B146" s="218"/>
      <c r="C146" s="53"/>
      <c r="D146" s="220"/>
      <c r="E146" s="233"/>
      <c r="F146" s="234"/>
      <c r="G146" s="218"/>
      <c r="H146" s="222"/>
      <c r="I146" s="235"/>
      <c r="J146" s="224"/>
      <c r="K146" s="236" t="s">
        <v>180</v>
      </c>
      <c r="L146" s="237">
        <v>3</v>
      </c>
      <c r="AQ146" s="230"/>
      <c r="AR146" s="230"/>
      <c r="AS146" s="231"/>
      <c r="AT146" s="231"/>
      <c r="AU146" s="230"/>
      <c r="AV146" s="231"/>
      <c r="AW146" s="232"/>
      <c r="AX146" s="232"/>
      <c r="AY146" s="232"/>
    </row>
    <row r="147" spans="1:51" s="227" customFormat="1" ht="15" thickBot="1" x14ac:dyDescent="0.35">
      <c r="A147" s="218"/>
      <c r="B147" s="218"/>
      <c r="C147" s="53"/>
      <c r="D147" s="220"/>
      <c r="E147" s="233"/>
      <c r="F147" s="234"/>
      <c r="G147" s="218"/>
      <c r="H147" s="222"/>
      <c r="I147" s="235"/>
      <c r="J147" s="224"/>
      <c r="K147" s="241" t="s">
        <v>191</v>
      </c>
      <c r="L147" s="253">
        <v>15</v>
      </c>
      <c r="AQ147" s="230"/>
      <c r="AR147" s="230"/>
      <c r="AS147" s="231"/>
      <c r="AT147" s="231"/>
      <c r="AU147" s="230"/>
      <c r="AV147" s="231"/>
      <c r="AW147" s="232"/>
      <c r="AX147" s="232"/>
      <c r="AY147" s="232"/>
    </row>
    <row r="148" spans="1:51" s="227" customFormat="1" x14ac:dyDescent="0.3">
      <c r="A148" s="228"/>
      <c r="B148" s="228"/>
      <c r="D148" s="274"/>
      <c r="E148" s="275"/>
      <c r="F148" s="276"/>
      <c r="G148" s="228"/>
      <c r="H148" s="232"/>
      <c r="I148" s="231"/>
      <c r="J148" s="231"/>
      <c r="K148" s="228"/>
      <c r="L148" s="276"/>
      <c r="AQ148" s="230"/>
      <c r="AR148" s="230"/>
      <c r="AS148" s="231"/>
      <c r="AT148" s="231"/>
      <c r="AU148" s="230"/>
      <c r="AV148" s="231"/>
      <c r="AW148" s="232"/>
      <c r="AX148" s="232"/>
      <c r="AY148" s="232"/>
    </row>
    <row r="149" spans="1:51" s="227" customFormat="1" x14ac:dyDescent="0.3">
      <c r="A149" s="228"/>
      <c r="B149" s="228"/>
      <c r="D149" s="274"/>
      <c r="E149" s="275"/>
      <c r="F149" s="276"/>
      <c r="G149" s="228"/>
      <c r="H149" s="232"/>
      <c r="I149" s="231"/>
      <c r="J149" s="231"/>
      <c r="K149" s="228"/>
      <c r="L149" s="276"/>
      <c r="AQ149" s="230"/>
      <c r="AR149" s="230"/>
      <c r="AS149" s="231"/>
      <c r="AT149" s="231"/>
      <c r="AU149" s="230"/>
      <c r="AV149" s="231"/>
      <c r="AW149" s="232"/>
      <c r="AX149" s="232"/>
      <c r="AY149" s="232"/>
    </row>
    <row r="150" spans="1:51" s="227" customFormat="1" x14ac:dyDescent="0.3">
      <c r="A150" s="228"/>
      <c r="B150" s="228"/>
      <c r="D150" s="274"/>
      <c r="E150" s="275"/>
      <c r="F150" s="276"/>
      <c r="G150" s="228"/>
      <c r="H150" s="232"/>
      <c r="I150" s="231"/>
      <c r="J150" s="231"/>
      <c r="K150" s="228"/>
      <c r="L150" s="276"/>
      <c r="AQ150" s="230"/>
      <c r="AR150" s="230"/>
      <c r="AS150" s="231"/>
      <c r="AT150" s="231"/>
      <c r="AU150" s="230"/>
      <c r="AV150" s="231"/>
      <c r="AW150" s="232"/>
      <c r="AX150" s="232"/>
      <c r="AY150" s="232"/>
    </row>
    <row r="151" spans="1:51" ht="15" thickBot="1" x14ac:dyDescent="0.35"/>
    <row r="152" spans="1:51" s="179" customFormat="1" ht="15" thickBot="1" x14ac:dyDescent="0.35">
      <c r="A152" s="169" t="s">
        <v>18</v>
      </c>
      <c r="B152" s="170" t="s">
        <v>517</v>
      </c>
      <c r="C152" s="171" t="s">
        <v>227</v>
      </c>
      <c r="D152" s="172" t="s">
        <v>183</v>
      </c>
      <c r="E152" s="173">
        <v>1.0000000000000001E-5</v>
      </c>
      <c r="F152" s="170">
        <v>1</v>
      </c>
      <c r="G152" s="169">
        <v>1.4999999999999999E-2</v>
      </c>
      <c r="H152" s="174">
        <f t="shared" ref="H152:H157" si="138">E152*F152*G152</f>
        <v>1.5000000000000002E-7</v>
      </c>
      <c r="I152" s="175">
        <v>1.2</v>
      </c>
      <c r="J152" s="187">
        <f>I152</f>
        <v>1.2</v>
      </c>
      <c r="K152" s="177" t="s">
        <v>175</v>
      </c>
      <c r="L152" s="178">
        <f>J152*36</f>
        <v>43.199999999999996</v>
      </c>
      <c r="M152" s="179" t="str">
        <f t="shared" ref="M152:N157" si="139">A152</f>
        <v>С1</v>
      </c>
      <c r="N152" s="179" t="str">
        <f t="shared" si="139"/>
        <v xml:space="preserve">Система измерений количества и показателей качества нефти (СИКНС) </v>
      </c>
      <c r="O152" s="179" t="str">
        <f t="shared" ref="O152:O157" si="140">D152</f>
        <v>Полное-факел</v>
      </c>
      <c r="P152" s="179" t="s">
        <v>83</v>
      </c>
      <c r="Q152" s="179" t="s">
        <v>83</v>
      </c>
      <c r="R152" s="179" t="s">
        <v>83</v>
      </c>
      <c r="S152" s="179" t="s">
        <v>83</v>
      </c>
      <c r="T152" s="179" t="s">
        <v>83</v>
      </c>
      <c r="U152" s="179" t="s">
        <v>83</v>
      </c>
      <c r="V152" s="179" t="s">
        <v>83</v>
      </c>
      <c r="W152" s="179" t="s">
        <v>83</v>
      </c>
      <c r="X152" s="179" t="s">
        <v>83</v>
      </c>
      <c r="Y152" s="179" t="s">
        <v>83</v>
      </c>
      <c r="Z152" s="179" t="s">
        <v>83</v>
      </c>
      <c r="AA152" s="179" t="s">
        <v>83</v>
      </c>
      <c r="AB152" s="179" t="s">
        <v>83</v>
      </c>
      <c r="AC152" s="179" t="s">
        <v>83</v>
      </c>
      <c r="AD152" s="179" t="s">
        <v>83</v>
      </c>
      <c r="AE152" s="179" t="s">
        <v>83</v>
      </c>
      <c r="AF152" s="179" t="s">
        <v>83</v>
      </c>
      <c r="AG152" s="179" t="s">
        <v>83</v>
      </c>
      <c r="AH152" s="179" t="s">
        <v>83</v>
      </c>
      <c r="AI152" s="179" t="s">
        <v>83</v>
      </c>
      <c r="AJ152" s="180">
        <v>1</v>
      </c>
      <c r="AK152" s="180">
        <v>1</v>
      </c>
      <c r="AL152" s="181">
        <v>0.75</v>
      </c>
      <c r="AM152" s="181">
        <v>2.7E-2</v>
      </c>
      <c r="AN152" s="181">
        <v>3</v>
      </c>
      <c r="AQ152" s="182">
        <f>AM152*I152+AL152</f>
        <v>0.78239999999999998</v>
      </c>
      <c r="AR152" s="182">
        <f t="shared" ref="AR152:AR157" si="141">0.1*AQ152</f>
        <v>7.8240000000000004E-2</v>
      </c>
      <c r="AS152" s="183">
        <f t="shared" ref="AS152:AS157" si="142">AJ152*3+0.25*AK152</f>
        <v>3.25</v>
      </c>
      <c r="AT152" s="183">
        <f t="shared" ref="AT152:AT157" si="143">SUM(AQ152:AS152)/4</f>
        <v>1.02766</v>
      </c>
      <c r="AU152" s="182">
        <f>10068.2*J152*POWER(10,-6)</f>
        <v>1.208184E-2</v>
      </c>
      <c r="AV152" s="183">
        <f t="shared" ref="AV152:AV157" si="144">AU152+AT152+AS152+AR152+AQ152</f>
        <v>5.1503818399999997</v>
      </c>
      <c r="AW152" s="184">
        <f t="shared" ref="AW152:AW157" si="145">AJ152*H152</f>
        <v>1.5000000000000002E-7</v>
      </c>
      <c r="AX152" s="184">
        <f t="shared" ref="AX152:AX157" si="146">H152*AK152</f>
        <v>1.5000000000000002E-7</v>
      </c>
      <c r="AY152" s="184">
        <f t="shared" ref="AY152:AY157" si="147">H152*AV152</f>
        <v>7.7255727600000005E-7</v>
      </c>
    </row>
    <row r="153" spans="1:51" s="179" customFormat="1" ht="15" thickBot="1" x14ac:dyDescent="0.35">
      <c r="A153" s="169" t="s">
        <v>19</v>
      </c>
      <c r="B153" s="169" t="str">
        <f>B152</f>
        <v xml:space="preserve">Система измерений количества и показателей качества нефти (СИКНС) </v>
      </c>
      <c r="C153" s="171" t="s">
        <v>228</v>
      </c>
      <c r="D153" s="172" t="s">
        <v>226</v>
      </c>
      <c r="E153" s="185">
        <f>E152</f>
        <v>1.0000000000000001E-5</v>
      </c>
      <c r="F153" s="186">
        <f>F152</f>
        <v>1</v>
      </c>
      <c r="G153" s="169">
        <v>1.4249999999999999E-2</v>
      </c>
      <c r="H153" s="174">
        <f t="shared" si="138"/>
        <v>1.4250000000000001E-7</v>
      </c>
      <c r="I153" s="187">
        <f>I152</f>
        <v>1.2</v>
      </c>
      <c r="J153" s="277">
        <f>POWER(10,-6)*35*SQRT(100)*3600*L152/1000*0.1</f>
        <v>5.4431999999999987E-3</v>
      </c>
      <c r="K153" s="177" t="s">
        <v>176</v>
      </c>
      <c r="L153" s="178">
        <v>0</v>
      </c>
      <c r="M153" s="179" t="str">
        <f t="shared" si="139"/>
        <v>С2</v>
      </c>
      <c r="N153" s="179" t="str">
        <f t="shared" si="139"/>
        <v xml:space="preserve">Система измерений количества и показателей качества нефти (СИКНС) </v>
      </c>
      <c r="O153" s="179" t="str">
        <f t="shared" si="140"/>
        <v>Полное-взрыв облака ТВС</v>
      </c>
      <c r="P153" s="179" t="s">
        <v>83</v>
      </c>
      <c r="Q153" s="179" t="s">
        <v>83</v>
      </c>
      <c r="R153" s="179" t="s">
        <v>83</v>
      </c>
      <c r="S153" s="179" t="s">
        <v>83</v>
      </c>
      <c r="T153" s="179" t="s">
        <v>83</v>
      </c>
      <c r="U153" s="179" t="s">
        <v>83</v>
      </c>
      <c r="V153" s="179" t="s">
        <v>83</v>
      </c>
      <c r="W153" s="179" t="s">
        <v>83</v>
      </c>
      <c r="X153" s="179" t="s">
        <v>83</v>
      </c>
      <c r="Y153" s="179" t="s">
        <v>83</v>
      </c>
      <c r="Z153" s="179" t="s">
        <v>83</v>
      </c>
      <c r="AA153" s="179" t="s">
        <v>83</v>
      </c>
      <c r="AB153" s="179" t="s">
        <v>83</v>
      </c>
      <c r="AC153" s="179" t="s">
        <v>83</v>
      </c>
      <c r="AD153" s="179" t="s">
        <v>83</v>
      </c>
      <c r="AE153" s="179" t="s">
        <v>83</v>
      </c>
      <c r="AF153" s="179" t="s">
        <v>83</v>
      </c>
      <c r="AG153" s="179" t="s">
        <v>83</v>
      </c>
      <c r="AH153" s="179" t="s">
        <v>83</v>
      </c>
      <c r="AI153" s="179" t="s">
        <v>83</v>
      </c>
      <c r="AJ153" s="180">
        <v>1</v>
      </c>
      <c r="AK153" s="180">
        <v>1</v>
      </c>
      <c r="AL153" s="179">
        <f>AL152</f>
        <v>0.75</v>
      </c>
      <c r="AM153" s="179">
        <f>AM152</f>
        <v>2.7E-2</v>
      </c>
      <c r="AN153" s="179">
        <f>AN152</f>
        <v>3</v>
      </c>
      <c r="AQ153" s="182">
        <f>AM153*I153+AL153</f>
        <v>0.78239999999999998</v>
      </c>
      <c r="AR153" s="182">
        <f t="shared" si="141"/>
        <v>7.8240000000000004E-2</v>
      </c>
      <c r="AS153" s="183">
        <f t="shared" si="142"/>
        <v>3.25</v>
      </c>
      <c r="AT153" s="183">
        <f t="shared" si="143"/>
        <v>1.02766</v>
      </c>
      <c r="AU153" s="182">
        <f>10068.2*J153*POWER(10,-6)*10</f>
        <v>5.480322623999999E-4</v>
      </c>
      <c r="AV153" s="183">
        <f t="shared" si="144"/>
        <v>5.1388480322624002</v>
      </c>
      <c r="AW153" s="184">
        <f t="shared" si="145"/>
        <v>1.4250000000000001E-7</v>
      </c>
      <c r="AX153" s="184">
        <f t="shared" si="146"/>
        <v>1.4250000000000001E-7</v>
      </c>
      <c r="AY153" s="184">
        <f t="shared" si="147"/>
        <v>7.3228584459739208E-7</v>
      </c>
    </row>
    <row r="154" spans="1:51" s="179" customFormat="1" x14ac:dyDescent="0.3">
      <c r="A154" s="169" t="s">
        <v>20</v>
      </c>
      <c r="B154" s="169" t="str">
        <f>B152</f>
        <v xml:space="preserve">Система измерений количества и показателей качества нефти (СИКНС) </v>
      </c>
      <c r="C154" s="171" t="s">
        <v>229</v>
      </c>
      <c r="D154" s="172" t="s">
        <v>60</v>
      </c>
      <c r="E154" s="185">
        <f>E152</f>
        <v>1.0000000000000001E-5</v>
      </c>
      <c r="F154" s="186">
        <f>F152</f>
        <v>1</v>
      </c>
      <c r="G154" s="169">
        <v>0.27074999999999999</v>
      </c>
      <c r="H154" s="174">
        <f t="shared" si="138"/>
        <v>2.7075000000000003E-6</v>
      </c>
      <c r="I154" s="187">
        <f>I152</f>
        <v>1.2</v>
      </c>
      <c r="J154" s="169">
        <v>0</v>
      </c>
      <c r="K154" s="177" t="s">
        <v>177</v>
      </c>
      <c r="L154" s="178">
        <v>1</v>
      </c>
      <c r="M154" s="179" t="str">
        <f t="shared" si="139"/>
        <v>С3</v>
      </c>
      <c r="N154" s="179" t="str">
        <f t="shared" si="139"/>
        <v xml:space="preserve">Система измерений количества и показателей качества нефти (СИКНС) </v>
      </c>
      <c r="O154" s="179" t="str">
        <f t="shared" si="140"/>
        <v>Полное-ликвидация</v>
      </c>
      <c r="P154" s="179" t="s">
        <v>83</v>
      </c>
      <c r="Q154" s="179" t="s">
        <v>83</v>
      </c>
      <c r="R154" s="179" t="s">
        <v>83</v>
      </c>
      <c r="S154" s="179" t="s">
        <v>83</v>
      </c>
      <c r="T154" s="179" t="s">
        <v>83</v>
      </c>
      <c r="U154" s="179" t="s">
        <v>83</v>
      </c>
      <c r="V154" s="179" t="s">
        <v>83</v>
      </c>
      <c r="W154" s="179" t="s">
        <v>83</v>
      </c>
      <c r="X154" s="179" t="s">
        <v>83</v>
      </c>
      <c r="Y154" s="179" t="s">
        <v>83</v>
      </c>
      <c r="Z154" s="179" t="s">
        <v>83</v>
      </c>
      <c r="AA154" s="179" t="s">
        <v>83</v>
      </c>
      <c r="AB154" s="179" t="s">
        <v>83</v>
      </c>
      <c r="AC154" s="179" t="s">
        <v>83</v>
      </c>
      <c r="AD154" s="179" t="s">
        <v>83</v>
      </c>
      <c r="AE154" s="179" t="s">
        <v>83</v>
      </c>
      <c r="AF154" s="179" t="s">
        <v>83</v>
      </c>
      <c r="AG154" s="179" t="s">
        <v>83</v>
      </c>
      <c r="AH154" s="179" t="s">
        <v>83</v>
      </c>
      <c r="AI154" s="179" t="s">
        <v>83</v>
      </c>
      <c r="AJ154" s="179">
        <v>0</v>
      </c>
      <c r="AK154" s="179">
        <v>0</v>
      </c>
      <c r="AL154" s="179">
        <f>AL152</f>
        <v>0.75</v>
      </c>
      <c r="AM154" s="179">
        <f>AM152</f>
        <v>2.7E-2</v>
      </c>
      <c r="AN154" s="179">
        <f>AN152</f>
        <v>3</v>
      </c>
      <c r="AQ154" s="182">
        <f>AM154*I154*0.1+AL154</f>
        <v>0.75324000000000002</v>
      </c>
      <c r="AR154" s="182">
        <f t="shared" si="141"/>
        <v>7.5324000000000002E-2</v>
      </c>
      <c r="AS154" s="183">
        <f t="shared" si="142"/>
        <v>0</v>
      </c>
      <c r="AT154" s="183">
        <f t="shared" si="143"/>
        <v>0.20714100000000002</v>
      </c>
      <c r="AU154" s="182">
        <f>1333*J153*POWER(10,-6)</f>
        <v>7.2557855999999978E-6</v>
      </c>
      <c r="AV154" s="183">
        <f t="shared" si="144"/>
        <v>1.0357122557856</v>
      </c>
      <c r="AW154" s="184">
        <f t="shared" si="145"/>
        <v>0</v>
      </c>
      <c r="AX154" s="184">
        <f t="shared" si="146"/>
        <v>0</v>
      </c>
      <c r="AY154" s="184">
        <f t="shared" si="147"/>
        <v>2.8041909325395125E-6</v>
      </c>
    </row>
    <row r="155" spans="1:51" s="179" customFormat="1" x14ac:dyDescent="0.3">
      <c r="A155" s="169" t="s">
        <v>21</v>
      </c>
      <c r="B155" s="169" t="str">
        <f>B152</f>
        <v xml:space="preserve">Система измерений количества и показателей качества нефти (СИКНС) </v>
      </c>
      <c r="C155" s="171" t="s">
        <v>230</v>
      </c>
      <c r="D155" s="172" t="s">
        <v>84</v>
      </c>
      <c r="E155" s="185">
        <f>E153</f>
        <v>1.0000000000000001E-5</v>
      </c>
      <c r="F155" s="186">
        <f>F152</f>
        <v>1</v>
      </c>
      <c r="G155" s="169">
        <v>3.4999999999999996E-2</v>
      </c>
      <c r="H155" s="174">
        <f t="shared" si="138"/>
        <v>3.4999999999999998E-7</v>
      </c>
      <c r="I155" s="187">
        <f>0.15*I152</f>
        <v>0.18</v>
      </c>
      <c r="J155" s="187">
        <f>I155</f>
        <v>0.18</v>
      </c>
      <c r="K155" s="190" t="s">
        <v>179</v>
      </c>
      <c r="L155" s="191">
        <v>45390</v>
      </c>
      <c r="M155" s="179" t="str">
        <f t="shared" si="139"/>
        <v>С4</v>
      </c>
      <c r="N155" s="179" t="str">
        <f t="shared" si="139"/>
        <v xml:space="preserve">Система измерений количества и показателей качества нефти (СИКНС) </v>
      </c>
      <c r="O155" s="179" t="str">
        <f t="shared" si="140"/>
        <v>Частичное-пожар</v>
      </c>
      <c r="P155" s="179" t="s">
        <v>83</v>
      </c>
      <c r="Q155" s="179" t="s">
        <v>83</v>
      </c>
      <c r="R155" s="179" t="s">
        <v>83</v>
      </c>
      <c r="S155" s="179" t="s">
        <v>83</v>
      </c>
      <c r="T155" s="179" t="s">
        <v>83</v>
      </c>
      <c r="U155" s="179" t="s">
        <v>83</v>
      </c>
      <c r="V155" s="179" t="s">
        <v>83</v>
      </c>
      <c r="W155" s="179" t="s">
        <v>83</v>
      </c>
      <c r="X155" s="179" t="s">
        <v>83</v>
      </c>
      <c r="Y155" s="179" t="s">
        <v>83</v>
      </c>
      <c r="Z155" s="179" t="s">
        <v>83</v>
      </c>
      <c r="AA155" s="179" t="s">
        <v>83</v>
      </c>
      <c r="AB155" s="179" t="s">
        <v>83</v>
      </c>
      <c r="AC155" s="179" t="s">
        <v>83</v>
      </c>
      <c r="AD155" s="179" t="s">
        <v>83</v>
      </c>
      <c r="AE155" s="179" t="s">
        <v>83</v>
      </c>
      <c r="AF155" s="179" t="s">
        <v>83</v>
      </c>
      <c r="AG155" s="179" t="s">
        <v>83</v>
      </c>
      <c r="AH155" s="179" t="s">
        <v>83</v>
      </c>
      <c r="AI155" s="179" t="s">
        <v>83</v>
      </c>
      <c r="AJ155" s="179">
        <v>0</v>
      </c>
      <c r="AK155" s="179">
        <v>1</v>
      </c>
      <c r="AL155" s="179">
        <f>0.1*$AL$2</f>
        <v>7.5000000000000011E-2</v>
      </c>
      <c r="AM155" s="179">
        <f>AM152</f>
        <v>2.7E-2</v>
      </c>
      <c r="AN155" s="179">
        <f>ROUNDUP(AN152/3,0)</f>
        <v>1</v>
      </c>
      <c r="AQ155" s="182">
        <f>AM155*I155+AL155</f>
        <v>7.9860000000000014E-2</v>
      </c>
      <c r="AR155" s="182">
        <f t="shared" si="141"/>
        <v>7.9860000000000018E-3</v>
      </c>
      <c r="AS155" s="183">
        <f t="shared" si="142"/>
        <v>0.25</v>
      </c>
      <c r="AT155" s="183">
        <f t="shared" si="143"/>
        <v>8.4461500000000009E-2</v>
      </c>
      <c r="AU155" s="182">
        <f>10068.2*J155*POWER(10,-6)</f>
        <v>1.812276E-3</v>
      </c>
      <c r="AV155" s="183">
        <f t="shared" si="144"/>
        <v>0.42411977600000006</v>
      </c>
      <c r="AW155" s="184">
        <f t="shared" si="145"/>
        <v>0</v>
      </c>
      <c r="AX155" s="184">
        <f t="shared" si="146"/>
        <v>3.4999999999999998E-7</v>
      </c>
      <c r="AY155" s="184">
        <f t="shared" si="147"/>
        <v>1.484419216E-7</v>
      </c>
    </row>
    <row r="156" spans="1:51" s="179" customFormat="1" x14ac:dyDescent="0.3">
      <c r="A156" s="169" t="s">
        <v>22</v>
      </c>
      <c r="B156" s="169" t="str">
        <f>B152</f>
        <v xml:space="preserve">Система измерений количества и показателей качества нефти (СИКНС) </v>
      </c>
      <c r="C156" s="171" t="s">
        <v>519</v>
      </c>
      <c r="D156" s="172" t="s">
        <v>518</v>
      </c>
      <c r="E156" s="185">
        <f>E154</f>
        <v>1.0000000000000001E-5</v>
      </c>
      <c r="F156" s="186">
        <f>F152</f>
        <v>1</v>
      </c>
      <c r="G156" s="169">
        <v>3.3249999999999995E-2</v>
      </c>
      <c r="H156" s="174">
        <f t="shared" si="138"/>
        <v>3.3249999999999999E-7</v>
      </c>
      <c r="I156" s="187">
        <f>0.15*I152</f>
        <v>0.18</v>
      </c>
      <c r="J156" s="187">
        <v>0.01</v>
      </c>
      <c r="K156" s="190" t="s">
        <v>180</v>
      </c>
      <c r="L156" s="191">
        <v>3</v>
      </c>
      <c r="M156" s="179" t="str">
        <f t="shared" si="139"/>
        <v>С5</v>
      </c>
      <c r="N156" s="179" t="str">
        <f t="shared" si="139"/>
        <v xml:space="preserve">Система измерений количества и показателей качества нефти (СИКНС) </v>
      </c>
      <c r="O156" s="179" t="str">
        <f t="shared" si="140"/>
        <v>Частичное-вспышка</v>
      </c>
      <c r="P156" s="179" t="s">
        <v>83</v>
      </c>
      <c r="Q156" s="179" t="s">
        <v>83</v>
      </c>
      <c r="R156" s="179" t="s">
        <v>83</v>
      </c>
      <c r="S156" s="179" t="s">
        <v>83</v>
      </c>
      <c r="T156" s="179" t="s">
        <v>83</v>
      </c>
      <c r="U156" s="179" t="s">
        <v>83</v>
      </c>
      <c r="V156" s="179" t="s">
        <v>83</v>
      </c>
      <c r="W156" s="179" t="s">
        <v>83</v>
      </c>
      <c r="X156" s="179" t="s">
        <v>83</v>
      </c>
      <c r="Y156" s="179" t="s">
        <v>83</v>
      </c>
      <c r="Z156" s="179" t="s">
        <v>83</v>
      </c>
      <c r="AA156" s="179" t="s">
        <v>83</v>
      </c>
      <c r="AB156" s="179" t="s">
        <v>83</v>
      </c>
      <c r="AC156" s="179" t="s">
        <v>83</v>
      </c>
      <c r="AD156" s="179" t="s">
        <v>83</v>
      </c>
      <c r="AE156" s="179" t="s">
        <v>83</v>
      </c>
      <c r="AF156" s="179" t="s">
        <v>83</v>
      </c>
      <c r="AG156" s="179" t="s">
        <v>83</v>
      </c>
      <c r="AH156" s="179" t="s">
        <v>83</v>
      </c>
      <c r="AI156" s="179" t="s">
        <v>83</v>
      </c>
      <c r="AJ156" s="179">
        <v>0</v>
      </c>
      <c r="AK156" s="179">
        <v>1</v>
      </c>
      <c r="AL156" s="179">
        <f>0.1*$AL$2</f>
        <v>7.5000000000000011E-2</v>
      </c>
      <c r="AM156" s="179">
        <f>AM152</f>
        <v>2.7E-2</v>
      </c>
      <c r="AN156" s="179">
        <f>ROUNDUP(AN152/3,0)</f>
        <v>1</v>
      </c>
      <c r="AQ156" s="182">
        <f>AM156*I156+AL156</f>
        <v>7.9860000000000014E-2</v>
      </c>
      <c r="AR156" s="182">
        <f t="shared" si="141"/>
        <v>7.9860000000000018E-3</v>
      </c>
      <c r="AS156" s="183">
        <f t="shared" si="142"/>
        <v>0.25</v>
      </c>
      <c r="AT156" s="183">
        <f t="shared" si="143"/>
        <v>8.4461500000000009E-2</v>
      </c>
      <c r="AU156" s="182">
        <f>10068.2*J156*POWER(10,-6)*10</f>
        <v>1.0068200000000001E-3</v>
      </c>
      <c r="AV156" s="183">
        <f t="shared" si="144"/>
        <v>0.42331432000000002</v>
      </c>
      <c r="AW156" s="184">
        <f t="shared" si="145"/>
        <v>0</v>
      </c>
      <c r="AX156" s="184">
        <f t="shared" si="146"/>
        <v>3.3249999999999999E-7</v>
      </c>
      <c r="AY156" s="184">
        <f t="shared" si="147"/>
        <v>1.4075201140000001E-7</v>
      </c>
    </row>
    <row r="157" spans="1:51" s="179" customFormat="1" ht="15" thickBot="1" x14ac:dyDescent="0.35">
      <c r="A157" s="169" t="s">
        <v>23</v>
      </c>
      <c r="B157" s="169" t="str">
        <f>B152</f>
        <v xml:space="preserve">Система измерений количества и показателей качества нефти (СИКНС) </v>
      </c>
      <c r="C157" s="171" t="s">
        <v>231</v>
      </c>
      <c r="D157" s="172" t="s">
        <v>61</v>
      </c>
      <c r="E157" s="185">
        <f>E155</f>
        <v>1.0000000000000001E-5</v>
      </c>
      <c r="F157" s="186">
        <f>F152</f>
        <v>1</v>
      </c>
      <c r="G157" s="169">
        <v>0.63174999999999992</v>
      </c>
      <c r="H157" s="174">
        <f t="shared" si="138"/>
        <v>6.3175000000000001E-6</v>
      </c>
      <c r="I157" s="187">
        <f>0.15*I152</f>
        <v>0.18</v>
      </c>
      <c r="J157" s="169">
        <v>0</v>
      </c>
      <c r="K157" s="192" t="s">
        <v>191</v>
      </c>
      <c r="L157" s="192">
        <v>16</v>
      </c>
      <c r="M157" s="179" t="str">
        <f t="shared" si="139"/>
        <v>С6</v>
      </c>
      <c r="N157" s="179" t="str">
        <f t="shared" si="139"/>
        <v xml:space="preserve">Система измерений количества и показателей качества нефти (СИКНС) </v>
      </c>
      <c r="O157" s="179" t="str">
        <f t="shared" si="140"/>
        <v>Частичное-ликвидация</v>
      </c>
      <c r="P157" s="179" t="s">
        <v>83</v>
      </c>
      <c r="Q157" s="179" t="s">
        <v>83</v>
      </c>
      <c r="R157" s="179" t="s">
        <v>83</v>
      </c>
      <c r="S157" s="179" t="s">
        <v>83</v>
      </c>
      <c r="T157" s="179" t="s">
        <v>83</v>
      </c>
      <c r="U157" s="179" t="s">
        <v>83</v>
      </c>
      <c r="V157" s="179" t="s">
        <v>83</v>
      </c>
      <c r="W157" s="179" t="s">
        <v>83</v>
      </c>
      <c r="X157" s="179" t="s">
        <v>83</v>
      </c>
      <c r="Y157" s="179" t="s">
        <v>83</v>
      </c>
      <c r="Z157" s="179" t="s">
        <v>83</v>
      </c>
      <c r="AA157" s="179" t="s">
        <v>83</v>
      </c>
      <c r="AB157" s="179" t="s">
        <v>83</v>
      </c>
      <c r="AC157" s="179" t="s">
        <v>83</v>
      </c>
      <c r="AD157" s="179" t="s">
        <v>83</v>
      </c>
      <c r="AE157" s="179" t="s">
        <v>83</v>
      </c>
      <c r="AF157" s="179" t="s">
        <v>83</v>
      </c>
      <c r="AG157" s="179" t="s">
        <v>83</v>
      </c>
      <c r="AH157" s="179" t="s">
        <v>83</v>
      </c>
      <c r="AI157" s="179" t="s">
        <v>83</v>
      </c>
      <c r="AJ157" s="179">
        <v>0</v>
      </c>
      <c r="AK157" s="179">
        <v>0</v>
      </c>
      <c r="AL157" s="179">
        <f>0.1*$AL$2</f>
        <v>7.5000000000000011E-2</v>
      </c>
      <c r="AM157" s="179">
        <f>AM152</f>
        <v>2.7E-2</v>
      </c>
      <c r="AN157" s="179">
        <f>ROUNDUP(AN152/3,0)</f>
        <v>1</v>
      </c>
      <c r="AQ157" s="182">
        <f>AM157*I157*0.1+AL157</f>
        <v>7.5486000000000011E-2</v>
      </c>
      <c r="AR157" s="182">
        <f t="shared" si="141"/>
        <v>7.5486000000000017E-3</v>
      </c>
      <c r="AS157" s="183">
        <f t="shared" si="142"/>
        <v>0</v>
      </c>
      <c r="AT157" s="183">
        <f t="shared" si="143"/>
        <v>2.0758650000000003E-2</v>
      </c>
      <c r="AU157" s="182">
        <f>1333*J156*POWER(10,-6)</f>
        <v>1.3329999999999999E-5</v>
      </c>
      <c r="AV157" s="183">
        <f t="shared" si="144"/>
        <v>0.10380658000000001</v>
      </c>
      <c r="AW157" s="184">
        <f t="shared" si="145"/>
        <v>0</v>
      </c>
      <c r="AX157" s="184">
        <f t="shared" si="146"/>
        <v>0</v>
      </c>
      <c r="AY157" s="184">
        <f t="shared" si="147"/>
        <v>6.5579806915000002E-7</v>
      </c>
    </row>
    <row r="158" spans="1:51" s="179" customFormat="1" x14ac:dyDescent="0.3">
      <c r="A158" s="180"/>
      <c r="B158" s="180"/>
      <c r="D158" s="271"/>
      <c r="E158" s="272"/>
      <c r="F158" s="273"/>
      <c r="G158" s="180"/>
      <c r="H158" s="184"/>
      <c r="I158" s="183"/>
      <c r="J158" s="180"/>
      <c r="K158" s="180"/>
      <c r="L158" s="180"/>
      <c r="AQ158" s="182"/>
      <c r="AR158" s="182"/>
      <c r="AS158" s="183"/>
      <c r="AT158" s="183"/>
      <c r="AU158" s="182"/>
      <c r="AV158" s="183"/>
      <c r="AW158" s="184"/>
      <c r="AX158" s="184"/>
      <c r="AY158" s="184"/>
    </row>
    <row r="159" spans="1:51" s="179" customFormat="1" x14ac:dyDescent="0.3">
      <c r="A159" s="180"/>
      <c r="B159" s="180"/>
      <c r="D159" s="271"/>
      <c r="E159" s="272"/>
      <c r="F159" s="273"/>
      <c r="G159" s="180"/>
      <c r="H159" s="184"/>
      <c r="I159" s="183"/>
      <c r="J159" s="180"/>
      <c r="K159" s="180"/>
      <c r="L159" s="180"/>
      <c r="AQ159" s="182"/>
      <c r="AR159" s="182"/>
      <c r="AS159" s="183"/>
      <c r="AT159" s="183"/>
      <c r="AU159" s="182"/>
      <c r="AV159" s="183"/>
      <c r="AW159" s="184"/>
      <c r="AX159" s="184"/>
      <c r="AY159" s="184"/>
    </row>
    <row r="160" spans="1:51" s="179" customFormat="1" x14ac:dyDescent="0.3">
      <c r="A160" s="180"/>
      <c r="B160" s="180"/>
      <c r="D160" s="271"/>
      <c r="E160" s="272"/>
      <c r="F160" s="273"/>
      <c r="G160" s="180"/>
      <c r="H160" s="184"/>
      <c r="I160" s="183"/>
      <c r="J160" s="180"/>
      <c r="K160" s="180"/>
      <c r="L160" s="180"/>
      <c r="AQ160" s="182"/>
      <c r="AR160" s="182"/>
      <c r="AS160" s="183"/>
      <c r="AT160" s="183"/>
      <c r="AU160" s="182"/>
      <c r="AV160" s="183"/>
      <c r="AW160" s="184"/>
      <c r="AX160" s="184"/>
      <c r="AY160" s="184"/>
    </row>
    <row r="161" spans="1:51" ht="15" thickBot="1" x14ac:dyDescent="0.35"/>
    <row r="162" spans="1:51" s="179" customFormat="1" ht="15" thickBot="1" x14ac:dyDescent="0.35">
      <c r="A162" s="169" t="s">
        <v>18</v>
      </c>
      <c r="B162" s="170" t="s">
        <v>234</v>
      </c>
      <c r="C162" s="171" t="s">
        <v>227</v>
      </c>
      <c r="D162" s="172" t="s">
        <v>183</v>
      </c>
      <c r="E162" s="173">
        <v>1.0000000000000001E-5</v>
      </c>
      <c r="F162" s="170">
        <v>1</v>
      </c>
      <c r="G162" s="169">
        <v>1.4999999999999999E-2</v>
      </c>
      <c r="H162" s="174">
        <f t="shared" ref="H162:H167" si="148">E162*F162*G162</f>
        <v>1.5000000000000002E-7</v>
      </c>
      <c r="I162" s="175">
        <v>1.1599999999999999</v>
      </c>
      <c r="J162" s="187">
        <f>I162</f>
        <v>1.1599999999999999</v>
      </c>
      <c r="K162" s="177" t="s">
        <v>175</v>
      </c>
      <c r="L162" s="178">
        <v>7</v>
      </c>
      <c r="M162" s="179" t="str">
        <f t="shared" ref="M162:M167" si="149">A162</f>
        <v>С1</v>
      </c>
      <c r="N162" s="179" t="str">
        <f t="shared" ref="N162:N167" si="150">B162</f>
        <v>Насос ЛВЖ+токси</v>
      </c>
      <c r="O162" s="179" t="str">
        <f t="shared" ref="O162:O167" si="151">D162</f>
        <v>Полное-факел</v>
      </c>
      <c r="P162" s="179" t="s">
        <v>83</v>
      </c>
      <c r="Q162" s="179" t="s">
        <v>83</v>
      </c>
      <c r="R162" s="179" t="s">
        <v>83</v>
      </c>
      <c r="S162" s="179" t="s">
        <v>83</v>
      </c>
      <c r="T162" s="179" t="s">
        <v>83</v>
      </c>
      <c r="U162" s="179" t="s">
        <v>83</v>
      </c>
      <c r="V162" s="179" t="s">
        <v>83</v>
      </c>
      <c r="W162" s="179" t="s">
        <v>83</v>
      </c>
      <c r="X162" s="179" t="s">
        <v>83</v>
      </c>
      <c r="Y162" s="179" t="s">
        <v>83</v>
      </c>
      <c r="Z162" s="179" t="s">
        <v>83</v>
      </c>
      <c r="AA162" s="179" t="s">
        <v>83</v>
      </c>
      <c r="AB162" s="179" t="s">
        <v>83</v>
      </c>
      <c r="AC162" s="179" t="s">
        <v>83</v>
      </c>
      <c r="AD162" s="179" t="s">
        <v>83</v>
      </c>
      <c r="AE162" s="179" t="s">
        <v>83</v>
      </c>
      <c r="AF162" s="179" t="s">
        <v>83</v>
      </c>
      <c r="AG162" s="179" t="s">
        <v>83</v>
      </c>
      <c r="AH162" s="179" t="s">
        <v>83</v>
      </c>
      <c r="AI162" s="179" t="s">
        <v>83</v>
      </c>
      <c r="AJ162" s="180">
        <v>1</v>
      </c>
      <c r="AK162" s="180">
        <v>2</v>
      </c>
      <c r="AL162" s="181">
        <v>0.75</v>
      </c>
      <c r="AM162" s="181">
        <v>2.7E-2</v>
      </c>
      <c r="AN162" s="181">
        <v>3</v>
      </c>
      <c r="AQ162" s="182">
        <f>AM162*I162+AL162</f>
        <v>0.78132000000000001</v>
      </c>
      <c r="AR162" s="182">
        <f t="shared" ref="AR162:AR167" si="152">0.1*AQ162</f>
        <v>7.8132000000000007E-2</v>
      </c>
      <c r="AS162" s="183">
        <f t="shared" ref="AS162:AS167" si="153">AJ162*3+0.25*AK162</f>
        <v>3.5</v>
      </c>
      <c r="AT162" s="183">
        <f t="shared" ref="AT162:AT167" si="154">SUM(AQ162:AS162)/4</f>
        <v>1.089863</v>
      </c>
      <c r="AU162" s="182">
        <f>10068.2*J162*POWER(10,-6)</f>
        <v>1.1679111999999998E-2</v>
      </c>
      <c r="AV162" s="183">
        <f t="shared" ref="AV162:AV167" si="155">AU162+AT162+AS162+AR162+AQ162</f>
        <v>5.4609941119999998</v>
      </c>
      <c r="AW162" s="184">
        <f t="shared" ref="AW162:AW167" si="156">AJ162*H162</f>
        <v>1.5000000000000002E-7</v>
      </c>
      <c r="AX162" s="184">
        <f t="shared" ref="AX162:AX167" si="157">H162*AK162</f>
        <v>3.0000000000000004E-7</v>
      </c>
      <c r="AY162" s="184">
        <f t="shared" ref="AY162:AY167" si="158">H162*AV162</f>
        <v>8.1914911680000006E-7</v>
      </c>
    </row>
    <row r="163" spans="1:51" s="179" customFormat="1" ht="15" thickBot="1" x14ac:dyDescent="0.35">
      <c r="A163" s="169" t="s">
        <v>19</v>
      </c>
      <c r="B163" s="169" t="str">
        <f>B162</f>
        <v>Насос ЛВЖ+токси</v>
      </c>
      <c r="C163" s="171" t="s">
        <v>228</v>
      </c>
      <c r="D163" s="172" t="s">
        <v>226</v>
      </c>
      <c r="E163" s="185">
        <f>E162</f>
        <v>1.0000000000000001E-5</v>
      </c>
      <c r="F163" s="186">
        <f>F162</f>
        <v>1</v>
      </c>
      <c r="G163" s="169">
        <v>1.4249999999999999E-2</v>
      </c>
      <c r="H163" s="174">
        <f t="shared" si="148"/>
        <v>1.4250000000000001E-7</v>
      </c>
      <c r="I163" s="187">
        <f>I162</f>
        <v>1.1599999999999999</v>
      </c>
      <c r="J163" s="277">
        <f>0.001</f>
        <v>1E-3</v>
      </c>
      <c r="K163" s="177" t="s">
        <v>176</v>
      </c>
      <c r="L163" s="178">
        <v>0</v>
      </c>
      <c r="M163" s="179" t="str">
        <f t="shared" si="149"/>
        <v>С2</v>
      </c>
      <c r="N163" s="179" t="str">
        <f t="shared" si="150"/>
        <v>Насос ЛВЖ+токси</v>
      </c>
      <c r="O163" s="179" t="str">
        <f t="shared" si="151"/>
        <v>Полное-взрыв облака ТВС</v>
      </c>
      <c r="P163" s="179" t="s">
        <v>83</v>
      </c>
      <c r="Q163" s="179" t="s">
        <v>83</v>
      </c>
      <c r="R163" s="179" t="s">
        <v>83</v>
      </c>
      <c r="S163" s="179" t="s">
        <v>83</v>
      </c>
      <c r="T163" s="179" t="s">
        <v>83</v>
      </c>
      <c r="U163" s="179" t="s">
        <v>83</v>
      </c>
      <c r="V163" s="179" t="s">
        <v>83</v>
      </c>
      <c r="W163" s="179" t="s">
        <v>83</v>
      </c>
      <c r="X163" s="179" t="s">
        <v>83</v>
      </c>
      <c r="Y163" s="179" t="s">
        <v>83</v>
      </c>
      <c r="Z163" s="179" t="s">
        <v>83</v>
      </c>
      <c r="AA163" s="179" t="s">
        <v>83</v>
      </c>
      <c r="AB163" s="179" t="s">
        <v>83</v>
      </c>
      <c r="AC163" s="179" t="s">
        <v>83</v>
      </c>
      <c r="AD163" s="179" t="s">
        <v>83</v>
      </c>
      <c r="AE163" s="179" t="s">
        <v>83</v>
      </c>
      <c r="AF163" s="179" t="s">
        <v>83</v>
      </c>
      <c r="AG163" s="179" t="s">
        <v>83</v>
      </c>
      <c r="AH163" s="179" t="s">
        <v>83</v>
      </c>
      <c r="AI163" s="179" t="s">
        <v>83</v>
      </c>
      <c r="AJ163" s="180">
        <v>2</v>
      </c>
      <c r="AK163" s="180">
        <v>2</v>
      </c>
      <c r="AL163" s="179">
        <f>AL162</f>
        <v>0.75</v>
      </c>
      <c r="AM163" s="179">
        <f>AM162</f>
        <v>2.7E-2</v>
      </c>
      <c r="AN163" s="179">
        <f>AN162</f>
        <v>3</v>
      </c>
      <c r="AQ163" s="182">
        <f>AM163*I163+AL163</f>
        <v>0.78132000000000001</v>
      </c>
      <c r="AR163" s="182">
        <f t="shared" si="152"/>
        <v>7.8132000000000007E-2</v>
      </c>
      <c r="AS163" s="183">
        <f t="shared" si="153"/>
        <v>6.5</v>
      </c>
      <c r="AT163" s="183">
        <f t="shared" si="154"/>
        <v>1.839863</v>
      </c>
      <c r="AU163" s="182">
        <f>10068.2*J163*POWER(10,-6)*10</f>
        <v>1.0068200000000001E-4</v>
      </c>
      <c r="AV163" s="183">
        <f t="shared" si="155"/>
        <v>9.1994156820000015</v>
      </c>
      <c r="AW163" s="184">
        <f t="shared" si="156"/>
        <v>2.8500000000000002E-7</v>
      </c>
      <c r="AX163" s="184">
        <f t="shared" si="157"/>
        <v>2.8500000000000002E-7</v>
      </c>
      <c r="AY163" s="184">
        <f t="shared" si="158"/>
        <v>1.3109167346850004E-6</v>
      </c>
    </row>
    <row r="164" spans="1:51" s="179" customFormat="1" x14ac:dyDescent="0.3">
      <c r="A164" s="169" t="s">
        <v>20</v>
      </c>
      <c r="B164" s="169" t="str">
        <f>B162</f>
        <v>Насос ЛВЖ+токси</v>
      </c>
      <c r="C164" s="171" t="s">
        <v>235</v>
      </c>
      <c r="D164" s="172" t="s">
        <v>171</v>
      </c>
      <c r="E164" s="185">
        <f>E162</f>
        <v>1.0000000000000001E-5</v>
      </c>
      <c r="F164" s="186">
        <f>F162</f>
        <v>1</v>
      </c>
      <c r="G164" s="169">
        <v>0.27074999999999999</v>
      </c>
      <c r="H164" s="174">
        <f t="shared" si="148"/>
        <v>2.7075000000000003E-6</v>
      </c>
      <c r="I164" s="187">
        <f>I162</f>
        <v>1.1599999999999999</v>
      </c>
      <c r="J164" s="169">
        <v>0</v>
      </c>
      <c r="K164" s="177" t="s">
        <v>177</v>
      </c>
      <c r="L164" s="178">
        <v>1</v>
      </c>
      <c r="M164" s="179" t="str">
        <f t="shared" si="149"/>
        <v>С3</v>
      </c>
      <c r="N164" s="179" t="str">
        <f t="shared" si="150"/>
        <v>Насос ЛВЖ+токси</v>
      </c>
      <c r="O164" s="179" t="str">
        <f t="shared" si="151"/>
        <v>Полное-токси</v>
      </c>
      <c r="P164" s="179" t="s">
        <v>83</v>
      </c>
      <c r="Q164" s="179" t="s">
        <v>83</v>
      </c>
      <c r="R164" s="179" t="s">
        <v>83</v>
      </c>
      <c r="S164" s="179" t="s">
        <v>83</v>
      </c>
      <c r="T164" s="179" t="s">
        <v>83</v>
      </c>
      <c r="U164" s="179" t="s">
        <v>83</v>
      </c>
      <c r="V164" s="179" t="s">
        <v>83</v>
      </c>
      <c r="W164" s="179" t="s">
        <v>83</v>
      </c>
      <c r="X164" s="179" t="s">
        <v>83</v>
      </c>
      <c r="Y164" s="179" t="s">
        <v>83</v>
      </c>
      <c r="Z164" s="179" t="s">
        <v>83</v>
      </c>
      <c r="AA164" s="179" t="s">
        <v>83</v>
      </c>
      <c r="AB164" s="179" t="s">
        <v>83</v>
      </c>
      <c r="AC164" s="179" t="s">
        <v>83</v>
      </c>
      <c r="AD164" s="179" t="s">
        <v>83</v>
      </c>
      <c r="AE164" s="179" t="s">
        <v>83</v>
      </c>
      <c r="AF164" s="179" t="s">
        <v>83</v>
      </c>
      <c r="AG164" s="179" t="s">
        <v>83</v>
      </c>
      <c r="AH164" s="179" t="s">
        <v>83</v>
      </c>
      <c r="AI164" s="179" t="s">
        <v>83</v>
      </c>
      <c r="AJ164" s="179">
        <v>0</v>
      </c>
      <c r="AK164" s="179">
        <v>0</v>
      </c>
      <c r="AL164" s="179">
        <f>AL162</f>
        <v>0.75</v>
      </c>
      <c r="AM164" s="179">
        <f>AM162</f>
        <v>2.7E-2</v>
      </c>
      <c r="AN164" s="179">
        <f>AN162</f>
        <v>3</v>
      </c>
      <c r="AQ164" s="182">
        <f>AM164*I164*0.1+AL164</f>
        <v>0.75313200000000002</v>
      </c>
      <c r="AR164" s="182">
        <f t="shared" si="152"/>
        <v>7.5313200000000011E-2</v>
      </c>
      <c r="AS164" s="183">
        <f t="shared" si="153"/>
        <v>0</v>
      </c>
      <c r="AT164" s="183">
        <f t="shared" si="154"/>
        <v>0.2071113</v>
      </c>
      <c r="AU164" s="182">
        <f>1333*J163*POWER(10,-6)</f>
        <v>1.333E-6</v>
      </c>
      <c r="AV164" s="183">
        <f t="shared" si="155"/>
        <v>1.0355578329999999</v>
      </c>
      <c r="AW164" s="184">
        <f t="shared" si="156"/>
        <v>0</v>
      </c>
      <c r="AX164" s="184">
        <f t="shared" si="157"/>
        <v>0</v>
      </c>
      <c r="AY164" s="184">
        <f t="shared" si="158"/>
        <v>2.8037728328474999E-6</v>
      </c>
    </row>
    <row r="165" spans="1:51" s="179" customFormat="1" x14ac:dyDescent="0.3">
      <c r="A165" s="169" t="s">
        <v>21</v>
      </c>
      <c r="B165" s="169" t="str">
        <f>B162</f>
        <v>Насос ЛВЖ+токси</v>
      </c>
      <c r="C165" s="171" t="s">
        <v>230</v>
      </c>
      <c r="D165" s="172" t="s">
        <v>84</v>
      </c>
      <c r="E165" s="185">
        <f>E163</f>
        <v>1.0000000000000001E-5</v>
      </c>
      <c r="F165" s="186">
        <f>F162</f>
        <v>1</v>
      </c>
      <c r="G165" s="169">
        <v>3.4999999999999996E-2</v>
      </c>
      <c r="H165" s="174">
        <f t="shared" si="148"/>
        <v>3.4999999999999998E-7</v>
      </c>
      <c r="I165" s="187">
        <f>0.15*I162</f>
        <v>0.17399999999999999</v>
      </c>
      <c r="J165" s="187">
        <f>I165</f>
        <v>0.17399999999999999</v>
      </c>
      <c r="K165" s="190" t="s">
        <v>179</v>
      </c>
      <c r="L165" s="191">
        <v>45390</v>
      </c>
      <c r="M165" s="179" t="str">
        <f t="shared" si="149"/>
        <v>С4</v>
      </c>
      <c r="N165" s="179" t="str">
        <f t="shared" si="150"/>
        <v>Насос ЛВЖ+токси</v>
      </c>
      <c r="O165" s="179" t="str">
        <f t="shared" si="151"/>
        <v>Частичное-пожар</v>
      </c>
      <c r="P165" s="179" t="s">
        <v>83</v>
      </c>
      <c r="Q165" s="179" t="s">
        <v>83</v>
      </c>
      <c r="R165" s="179" t="s">
        <v>83</v>
      </c>
      <c r="S165" s="179" t="s">
        <v>83</v>
      </c>
      <c r="T165" s="179" t="s">
        <v>83</v>
      </c>
      <c r="U165" s="179" t="s">
        <v>83</v>
      </c>
      <c r="V165" s="179" t="s">
        <v>83</v>
      </c>
      <c r="W165" s="179" t="s">
        <v>83</v>
      </c>
      <c r="X165" s="179" t="s">
        <v>83</v>
      </c>
      <c r="Y165" s="179" t="s">
        <v>83</v>
      </c>
      <c r="Z165" s="179" t="s">
        <v>83</v>
      </c>
      <c r="AA165" s="179" t="s">
        <v>83</v>
      </c>
      <c r="AB165" s="179" t="s">
        <v>83</v>
      </c>
      <c r="AC165" s="179" t="s">
        <v>83</v>
      </c>
      <c r="AD165" s="179" t="s">
        <v>83</v>
      </c>
      <c r="AE165" s="179" t="s">
        <v>83</v>
      </c>
      <c r="AF165" s="179" t="s">
        <v>83</v>
      </c>
      <c r="AG165" s="179" t="s">
        <v>83</v>
      </c>
      <c r="AH165" s="179" t="s">
        <v>83</v>
      </c>
      <c r="AI165" s="179" t="s">
        <v>83</v>
      </c>
      <c r="AJ165" s="179">
        <v>0</v>
      </c>
      <c r="AK165" s="179">
        <v>2</v>
      </c>
      <c r="AL165" s="179">
        <f>0.1*$AL$2</f>
        <v>7.5000000000000011E-2</v>
      </c>
      <c r="AM165" s="179">
        <f>AM162</f>
        <v>2.7E-2</v>
      </c>
      <c r="AN165" s="179">
        <f>ROUNDUP(AN162/3,0)</f>
        <v>1</v>
      </c>
      <c r="AQ165" s="182">
        <f>AM165*I165+AL165</f>
        <v>7.9698000000000005E-2</v>
      </c>
      <c r="AR165" s="182">
        <f t="shared" si="152"/>
        <v>7.9698000000000008E-3</v>
      </c>
      <c r="AS165" s="183">
        <f t="shared" si="153"/>
        <v>0.5</v>
      </c>
      <c r="AT165" s="183">
        <f t="shared" si="154"/>
        <v>0.14691694999999999</v>
      </c>
      <c r="AU165" s="182">
        <f>10068.2*J165*POWER(10,-6)</f>
        <v>1.7518668E-3</v>
      </c>
      <c r="AV165" s="183">
        <f t="shared" si="155"/>
        <v>0.73633661680000007</v>
      </c>
      <c r="AW165" s="184">
        <f t="shared" si="156"/>
        <v>0</v>
      </c>
      <c r="AX165" s="184">
        <f t="shared" si="157"/>
        <v>6.9999999999999997E-7</v>
      </c>
      <c r="AY165" s="184">
        <f t="shared" si="158"/>
        <v>2.5771781588000002E-7</v>
      </c>
    </row>
    <row r="166" spans="1:51" s="179" customFormat="1" x14ac:dyDescent="0.3">
      <c r="A166" s="169" t="s">
        <v>22</v>
      </c>
      <c r="B166" s="169" t="str">
        <f>B162</f>
        <v>Насос ЛВЖ+токси</v>
      </c>
      <c r="C166" s="171" t="s">
        <v>519</v>
      </c>
      <c r="D166" s="172" t="s">
        <v>518</v>
      </c>
      <c r="E166" s="185">
        <f>E164</f>
        <v>1.0000000000000001E-5</v>
      </c>
      <c r="F166" s="186">
        <f>F162</f>
        <v>1</v>
      </c>
      <c r="G166" s="169">
        <v>3.3249999999999995E-2</v>
      </c>
      <c r="H166" s="174">
        <f t="shared" si="148"/>
        <v>3.3249999999999999E-7</v>
      </c>
      <c r="I166" s="187">
        <f>0.15*I162</f>
        <v>0.17399999999999999</v>
      </c>
      <c r="J166" s="187">
        <f>0.01</f>
        <v>0.01</v>
      </c>
      <c r="K166" s="190" t="s">
        <v>180</v>
      </c>
      <c r="L166" s="191">
        <v>3</v>
      </c>
      <c r="M166" s="179" t="str">
        <f t="shared" si="149"/>
        <v>С5</v>
      </c>
      <c r="N166" s="179" t="str">
        <f t="shared" si="150"/>
        <v>Насос ЛВЖ+токси</v>
      </c>
      <c r="O166" s="179" t="str">
        <f t="shared" si="151"/>
        <v>Частичное-вспышка</v>
      </c>
      <c r="P166" s="179" t="s">
        <v>83</v>
      </c>
      <c r="Q166" s="179" t="s">
        <v>83</v>
      </c>
      <c r="R166" s="179" t="s">
        <v>83</v>
      </c>
      <c r="S166" s="179" t="s">
        <v>83</v>
      </c>
      <c r="T166" s="179" t="s">
        <v>83</v>
      </c>
      <c r="U166" s="179" t="s">
        <v>83</v>
      </c>
      <c r="V166" s="179" t="s">
        <v>83</v>
      </c>
      <c r="W166" s="179" t="s">
        <v>83</v>
      </c>
      <c r="X166" s="179" t="s">
        <v>83</v>
      </c>
      <c r="Y166" s="179" t="s">
        <v>83</v>
      </c>
      <c r="Z166" s="179" t="s">
        <v>83</v>
      </c>
      <c r="AA166" s="179" t="s">
        <v>83</v>
      </c>
      <c r="AB166" s="179" t="s">
        <v>83</v>
      </c>
      <c r="AC166" s="179" t="s">
        <v>83</v>
      </c>
      <c r="AD166" s="179" t="s">
        <v>83</v>
      </c>
      <c r="AE166" s="179" t="s">
        <v>83</v>
      </c>
      <c r="AF166" s="179" t="s">
        <v>83</v>
      </c>
      <c r="AG166" s="179" t="s">
        <v>83</v>
      </c>
      <c r="AH166" s="179" t="s">
        <v>83</v>
      </c>
      <c r="AI166" s="179" t="s">
        <v>83</v>
      </c>
      <c r="AJ166" s="179">
        <v>0</v>
      </c>
      <c r="AK166" s="179">
        <v>1</v>
      </c>
      <c r="AL166" s="179">
        <f>0.1*$AL$2</f>
        <v>7.5000000000000011E-2</v>
      </c>
      <c r="AM166" s="179">
        <f>AM162</f>
        <v>2.7E-2</v>
      </c>
      <c r="AN166" s="179">
        <f>ROUNDUP(AN162/3,0)</f>
        <v>1</v>
      </c>
      <c r="AQ166" s="182">
        <f>AM166*I166+AL166</f>
        <v>7.9698000000000005E-2</v>
      </c>
      <c r="AR166" s="182">
        <f t="shared" si="152"/>
        <v>7.9698000000000008E-3</v>
      </c>
      <c r="AS166" s="183">
        <f t="shared" si="153"/>
        <v>0.25</v>
      </c>
      <c r="AT166" s="183">
        <f t="shared" si="154"/>
        <v>8.4416950000000004E-2</v>
      </c>
      <c r="AU166" s="182">
        <f>10068.2*J166*POWER(10,-6)*10</f>
        <v>1.0068200000000001E-3</v>
      </c>
      <c r="AV166" s="183">
        <f t="shared" si="155"/>
        <v>0.42309157000000003</v>
      </c>
      <c r="AW166" s="184">
        <f t="shared" si="156"/>
        <v>0</v>
      </c>
      <c r="AX166" s="184">
        <f t="shared" si="157"/>
        <v>3.3249999999999999E-7</v>
      </c>
      <c r="AY166" s="184">
        <f t="shared" si="158"/>
        <v>1.40677947025E-7</v>
      </c>
    </row>
    <row r="167" spans="1:51" s="179" customFormat="1" ht="15" thickBot="1" x14ac:dyDescent="0.35">
      <c r="A167" s="169" t="s">
        <v>23</v>
      </c>
      <c r="B167" s="169" t="str">
        <f>B162</f>
        <v>Насос ЛВЖ+токси</v>
      </c>
      <c r="C167" s="171" t="s">
        <v>236</v>
      </c>
      <c r="D167" s="172" t="s">
        <v>172</v>
      </c>
      <c r="E167" s="185">
        <f>E165</f>
        <v>1.0000000000000001E-5</v>
      </c>
      <c r="F167" s="186">
        <f>F162</f>
        <v>1</v>
      </c>
      <c r="G167" s="169">
        <v>0.63174999999999992</v>
      </c>
      <c r="H167" s="174">
        <f t="shared" si="148"/>
        <v>6.3175000000000001E-6</v>
      </c>
      <c r="I167" s="187">
        <f>0.15*I162</f>
        <v>0.17399999999999999</v>
      </c>
      <c r="J167" s="169">
        <v>0</v>
      </c>
      <c r="K167" s="192" t="s">
        <v>191</v>
      </c>
      <c r="L167" s="192">
        <v>17</v>
      </c>
      <c r="M167" s="179" t="str">
        <f t="shared" si="149"/>
        <v>С6</v>
      </c>
      <c r="N167" s="179" t="str">
        <f t="shared" si="150"/>
        <v>Насос ЛВЖ+токси</v>
      </c>
      <c r="O167" s="179" t="str">
        <f t="shared" si="151"/>
        <v>Частичное-токси</v>
      </c>
      <c r="P167" s="179" t="s">
        <v>83</v>
      </c>
      <c r="Q167" s="179" t="s">
        <v>83</v>
      </c>
      <c r="R167" s="179" t="s">
        <v>83</v>
      </c>
      <c r="S167" s="179" t="s">
        <v>83</v>
      </c>
      <c r="T167" s="179" t="s">
        <v>83</v>
      </c>
      <c r="U167" s="179" t="s">
        <v>83</v>
      </c>
      <c r="V167" s="179" t="s">
        <v>83</v>
      </c>
      <c r="W167" s="179" t="s">
        <v>83</v>
      </c>
      <c r="X167" s="179" t="s">
        <v>83</v>
      </c>
      <c r="Y167" s="179" t="s">
        <v>83</v>
      </c>
      <c r="Z167" s="179" t="s">
        <v>83</v>
      </c>
      <c r="AA167" s="179" t="s">
        <v>83</v>
      </c>
      <c r="AB167" s="179" t="s">
        <v>83</v>
      </c>
      <c r="AC167" s="179" t="s">
        <v>83</v>
      </c>
      <c r="AD167" s="179" t="s">
        <v>83</v>
      </c>
      <c r="AE167" s="179" t="s">
        <v>83</v>
      </c>
      <c r="AF167" s="179" t="s">
        <v>83</v>
      </c>
      <c r="AG167" s="179" t="s">
        <v>83</v>
      </c>
      <c r="AH167" s="179" t="s">
        <v>83</v>
      </c>
      <c r="AI167" s="179" t="s">
        <v>83</v>
      </c>
      <c r="AJ167" s="179">
        <v>0</v>
      </c>
      <c r="AK167" s="179">
        <v>0</v>
      </c>
      <c r="AL167" s="179">
        <f>0.1*$AL$2</f>
        <v>7.5000000000000011E-2</v>
      </c>
      <c r="AM167" s="179">
        <f>AM162</f>
        <v>2.7E-2</v>
      </c>
      <c r="AN167" s="179">
        <f>ROUNDUP(AN162/3,0)</f>
        <v>1</v>
      </c>
      <c r="AQ167" s="182">
        <f>AM167*I167*0.1+AL167</f>
        <v>7.5469800000000017E-2</v>
      </c>
      <c r="AR167" s="182">
        <f t="shared" si="152"/>
        <v>7.5469800000000017E-3</v>
      </c>
      <c r="AS167" s="183">
        <f t="shared" si="153"/>
        <v>0</v>
      </c>
      <c r="AT167" s="183">
        <f t="shared" si="154"/>
        <v>2.0754195000000003E-2</v>
      </c>
      <c r="AU167" s="182">
        <f>1333*J166*POWER(10,-6)</f>
        <v>1.3329999999999999E-5</v>
      </c>
      <c r="AV167" s="183">
        <f t="shared" si="155"/>
        <v>0.10378430500000002</v>
      </c>
      <c r="AW167" s="184">
        <f t="shared" si="156"/>
        <v>0</v>
      </c>
      <c r="AX167" s="184">
        <f t="shared" si="157"/>
        <v>0</v>
      </c>
      <c r="AY167" s="184">
        <f t="shared" si="158"/>
        <v>6.5565734683750011E-7</v>
      </c>
    </row>
    <row r="168" spans="1:51" s="179" customFormat="1" x14ac:dyDescent="0.3">
      <c r="A168" s="180"/>
      <c r="B168" s="180"/>
      <c r="D168" s="271"/>
      <c r="E168" s="272"/>
      <c r="F168" s="273"/>
      <c r="G168" s="180"/>
      <c r="H168" s="184"/>
      <c r="I168" s="183"/>
      <c r="J168" s="180"/>
      <c r="K168" s="180"/>
      <c r="L168" s="180"/>
      <c r="AQ168" s="182"/>
      <c r="AR168" s="182"/>
      <c r="AS168" s="183"/>
      <c r="AT168" s="183"/>
      <c r="AU168" s="182"/>
      <c r="AV168" s="183"/>
      <c r="AW168" s="184"/>
      <c r="AX168" s="184"/>
      <c r="AY168" s="184"/>
    </row>
    <row r="169" spans="1:51" s="179" customFormat="1" x14ac:dyDescent="0.3">
      <c r="A169" s="180"/>
      <c r="B169" s="180"/>
      <c r="D169" s="271"/>
      <c r="E169" s="272"/>
      <c r="F169" s="273"/>
      <c r="G169" s="180"/>
      <c r="H169" s="184"/>
      <c r="I169" s="183"/>
      <c r="J169" s="180"/>
      <c r="K169" s="180"/>
      <c r="L169" s="180"/>
      <c r="AQ169" s="182"/>
      <c r="AR169" s="182"/>
      <c r="AS169" s="183"/>
      <c r="AT169" s="183"/>
      <c r="AU169" s="182"/>
      <c r="AV169" s="183"/>
      <c r="AW169" s="184"/>
      <c r="AX169" s="184"/>
      <c r="AY169" s="184"/>
    </row>
    <row r="170" spans="1:51" s="179" customFormat="1" x14ac:dyDescent="0.3">
      <c r="A170" s="180"/>
      <c r="B170" s="180"/>
      <c r="D170" s="271"/>
      <c r="E170" s="272"/>
      <c r="F170" s="273"/>
      <c r="G170" s="180"/>
      <c r="H170" s="184"/>
      <c r="I170" s="183"/>
      <c r="J170" s="180"/>
      <c r="K170" s="180"/>
      <c r="L170" s="180"/>
      <c r="AQ170" s="182"/>
      <c r="AR170" s="182"/>
      <c r="AS170" s="183"/>
      <c r="AT170" s="183"/>
      <c r="AU170" s="182"/>
      <c r="AV170" s="183"/>
      <c r="AW170" s="184"/>
      <c r="AX170" s="184"/>
      <c r="AY170" s="184"/>
    </row>
    <row r="171" spans="1:51" ht="15" thickBot="1" x14ac:dyDescent="0.35"/>
    <row r="172" spans="1:51" s="179" customFormat="1" ht="15" thickBot="1" x14ac:dyDescent="0.35">
      <c r="A172" s="169" t="s">
        <v>18</v>
      </c>
      <c r="B172" s="170" t="s">
        <v>237</v>
      </c>
      <c r="C172" s="171" t="s">
        <v>227</v>
      </c>
      <c r="D172" s="172" t="s">
        <v>183</v>
      </c>
      <c r="E172" s="173">
        <v>1.0000000000000001E-5</v>
      </c>
      <c r="F172" s="170">
        <v>1</v>
      </c>
      <c r="G172" s="169">
        <v>1.4999999999999999E-2</v>
      </c>
      <c r="H172" s="174">
        <f t="shared" ref="H172:H177" si="159">E172*F172*G172</f>
        <v>1.5000000000000002E-7</v>
      </c>
      <c r="I172" s="175">
        <v>1.1599999999999999</v>
      </c>
      <c r="J172" s="187">
        <f>I172</f>
        <v>1.1599999999999999</v>
      </c>
      <c r="K172" s="177" t="s">
        <v>175</v>
      </c>
      <c r="L172" s="178">
        <v>7</v>
      </c>
      <c r="M172" s="179" t="str">
        <f t="shared" ref="M172:M177" si="160">A172</f>
        <v>С1</v>
      </c>
      <c r="N172" s="179" t="str">
        <f t="shared" ref="N172:N177" si="161">B172</f>
        <v>Насос ГЖ</v>
      </c>
      <c r="O172" s="179" t="str">
        <f t="shared" ref="O172:O177" si="162">D172</f>
        <v>Полное-факел</v>
      </c>
      <c r="P172" s="179" t="s">
        <v>83</v>
      </c>
      <c r="Q172" s="179" t="s">
        <v>83</v>
      </c>
      <c r="R172" s="179" t="s">
        <v>83</v>
      </c>
      <c r="S172" s="179" t="s">
        <v>83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0.75</v>
      </c>
      <c r="AM172" s="181">
        <v>2.7E-2</v>
      </c>
      <c r="AN172" s="181">
        <v>3</v>
      </c>
      <c r="AQ172" s="182">
        <f>AM172*I172+AL172</f>
        <v>0.78132000000000001</v>
      </c>
      <c r="AR172" s="182">
        <f t="shared" ref="AR172:AR177" si="163">0.1*AQ172</f>
        <v>7.8132000000000007E-2</v>
      </c>
      <c r="AS172" s="183">
        <f t="shared" ref="AS172:AS177" si="164">AJ172*3+0.25*AK172</f>
        <v>3.5</v>
      </c>
      <c r="AT172" s="183">
        <f t="shared" ref="AT172:AT177" si="165">SUM(AQ172:AS172)/4</f>
        <v>1.089863</v>
      </c>
      <c r="AU172" s="182">
        <f>10068.2*J172*POWER(10,-6)</f>
        <v>1.1679111999999998E-2</v>
      </c>
      <c r="AV172" s="183">
        <f t="shared" ref="AV172:AV177" si="166">AU172+AT172+AS172+AR172+AQ172</f>
        <v>5.4609941119999998</v>
      </c>
      <c r="AW172" s="184">
        <f t="shared" ref="AW172:AW177" si="167">AJ172*H172</f>
        <v>1.5000000000000002E-7</v>
      </c>
      <c r="AX172" s="184">
        <f t="shared" ref="AX172:AX177" si="168">H172*AK172</f>
        <v>3.0000000000000004E-7</v>
      </c>
      <c r="AY172" s="184">
        <f t="shared" ref="AY172:AY177" si="169">H172*AV172</f>
        <v>8.1914911680000006E-7</v>
      </c>
    </row>
    <row r="173" spans="1:51" s="179" customFormat="1" ht="15" thickBot="1" x14ac:dyDescent="0.35">
      <c r="A173" s="169" t="s">
        <v>19</v>
      </c>
      <c r="B173" s="169" t="str">
        <f>B172</f>
        <v>Насос ГЖ</v>
      </c>
      <c r="C173" s="171" t="s">
        <v>238</v>
      </c>
      <c r="D173" s="172" t="s">
        <v>59</v>
      </c>
      <c r="E173" s="185">
        <f>E172</f>
        <v>1.0000000000000001E-5</v>
      </c>
      <c r="F173" s="186">
        <f>F172</f>
        <v>1</v>
      </c>
      <c r="G173" s="169">
        <v>1.4249999999999999E-2</v>
      </c>
      <c r="H173" s="174">
        <f t="shared" si="159"/>
        <v>1.4250000000000001E-7</v>
      </c>
      <c r="I173" s="187">
        <f>I172</f>
        <v>1.1599999999999999</v>
      </c>
      <c r="J173" s="277">
        <f>0.001</f>
        <v>1E-3</v>
      </c>
      <c r="K173" s="177" t="s">
        <v>176</v>
      </c>
      <c r="L173" s="178">
        <v>0</v>
      </c>
      <c r="M173" s="179" t="str">
        <f t="shared" si="160"/>
        <v>С2</v>
      </c>
      <c r="N173" s="179" t="str">
        <f t="shared" si="161"/>
        <v>Насос ГЖ</v>
      </c>
      <c r="O173" s="179" t="str">
        <f t="shared" si="162"/>
        <v>Полное-пожар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 t="s">
        <v>83</v>
      </c>
      <c r="U173" s="179" t="s">
        <v>83</v>
      </c>
      <c r="V173" s="179" t="s">
        <v>83</v>
      </c>
      <c r="W173" s="179" t="s">
        <v>83</v>
      </c>
      <c r="X173" s="179" t="s">
        <v>83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0.75</v>
      </c>
      <c r="AM173" s="179">
        <f>AM172</f>
        <v>2.7E-2</v>
      </c>
      <c r="AN173" s="179">
        <f>AN172</f>
        <v>3</v>
      </c>
      <c r="AQ173" s="182">
        <f>AM173*I173+AL173</f>
        <v>0.78132000000000001</v>
      </c>
      <c r="AR173" s="182">
        <f t="shared" si="163"/>
        <v>7.8132000000000007E-2</v>
      </c>
      <c r="AS173" s="183">
        <f t="shared" si="164"/>
        <v>6.5</v>
      </c>
      <c r="AT173" s="183">
        <f t="shared" si="165"/>
        <v>1.839863</v>
      </c>
      <c r="AU173" s="182">
        <f>10068.2*J173*POWER(10,-6)*10</f>
        <v>1.0068200000000001E-4</v>
      </c>
      <c r="AV173" s="183">
        <f t="shared" si="166"/>
        <v>9.1994156820000015</v>
      </c>
      <c r="AW173" s="184">
        <f t="shared" si="167"/>
        <v>2.8500000000000002E-7</v>
      </c>
      <c r="AX173" s="184">
        <f t="shared" si="168"/>
        <v>2.8500000000000002E-7</v>
      </c>
      <c r="AY173" s="184">
        <f t="shared" si="169"/>
        <v>1.3109167346850004E-6</v>
      </c>
    </row>
    <row r="174" spans="1:51" s="179" customFormat="1" x14ac:dyDescent="0.3">
      <c r="A174" s="169" t="s">
        <v>20</v>
      </c>
      <c r="B174" s="169" t="str">
        <f>B172</f>
        <v>Насос ГЖ</v>
      </c>
      <c r="C174" s="171" t="s">
        <v>239</v>
      </c>
      <c r="D174" s="172" t="s">
        <v>60</v>
      </c>
      <c r="E174" s="185">
        <f>E172</f>
        <v>1.0000000000000001E-5</v>
      </c>
      <c r="F174" s="186">
        <f>F172</f>
        <v>1</v>
      </c>
      <c r="G174" s="169">
        <v>0.27074999999999999</v>
      </c>
      <c r="H174" s="174">
        <f t="shared" si="159"/>
        <v>2.7075000000000003E-6</v>
      </c>
      <c r="I174" s="187">
        <f>I172</f>
        <v>1.1599999999999999</v>
      </c>
      <c r="J174" s="169">
        <v>0</v>
      </c>
      <c r="K174" s="177" t="s">
        <v>177</v>
      </c>
      <c r="L174" s="178">
        <v>1</v>
      </c>
      <c r="M174" s="179" t="str">
        <f t="shared" si="160"/>
        <v>С3</v>
      </c>
      <c r="N174" s="179" t="str">
        <f t="shared" si="161"/>
        <v>Насос ГЖ</v>
      </c>
      <c r="O174" s="179" t="str">
        <f t="shared" si="162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0.75</v>
      </c>
      <c r="AM174" s="179">
        <f>AM172</f>
        <v>2.7E-2</v>
      </c>
      <c r="AN174" s="179">
        <f>AN172</f>
        <v>3</v>
      </c>
      <c r="AQ174" s="182">
        <f>AM174*I174*0.1+AL174</f>
        <v>0.75313200000000002</v>
      </c>
      <c r="AR174" s="182">
        <f t="shared" si="163"/>
        <v>7.5313200000000011E-2</v>
      </c>
      <c r="AS174" s="183">
        <f t="shared" si="164"/>
        <v>0</v>
      </c>
      <c r="AT174" s="183">
        <f t="shared" si="165"/>
        <v>0.2071113</v>
      </c>
      <c r="AU174" s="182">
        <f>1333*J173*POWER(10,-6)</f>
        <v>1.333E-6</v>
      </c>
      <c r="AV174" s="183">
        <f t="shared" si="166"/>
        <v>1.0355578329999999</v>
      </c>
      <c r="AW174" s="184">
        <f t="shared" si="167"/>
        <v>0</v>
      </c>
      <c r="AX174" s="184">
        <f t="shared" si="168"/>
        <v>0</v>
      </c>
      <c r="AY174" s="184">
        <f t="shared" si="169"/>
        <v>2.8037728328474999E-6</v>
      </c>
    </row>
    <row r="175" spans="1:51" s="179" customFormat="1" x14ac:dyDescent="0.3">
      <c r="A175" s="169" t="s">
        <v>21</v>
      </c>
      <c r="B175" s="169" t="str">
        <f>B172</f>
        <v>Насос ГЖ</v>
      </c>
      <c r="C175" s="171" t="s">
        <v>230</v>
      </c>
      <c r="D175" s="172" t="s">
        <v>84</v>
      </c>
      <c r="E175" s="185">
        <f>E173</f>
        <v>1.0000000000000001E-5</v>
      </c>
      <c r="F175" s="186">
        <f>F172</f>
        <v>1</v>
      </c>
      <c r="G175" s="169">
        <v>3.4999999999999996E-2</v>
      </c>
      <c r="H175" s="174">
        <f t="shared" si="159"/>
        <v>3.4999999999999998E-7</v>
      </c>
      <c r="I175" s="187">
        <f>0.15*I172</f>
        <v>0.17399999999999999</v>
      </c>
      <c r="J175" s="187">
        <f>I175</f>
        <v>0.17399999999999999</v>
      </c>
      <c r="K175" s="190" t="s">
        <v>179</v>
      </c>
      <c r="L175" s="191">
        <v>45390</v>
      </c>
      <c r="M175" s="179" t="str">
        <f t="shared" si="160"/>
        <v>С4</v>
      </c>
      <c r="N175" s="179" t="str">
        <f t="shared" si="161"/>
        <v>Насос ГЖ</v>
      </c>
      <c r="O175" s="179" t="str">
        <f t="shared" si="162"/>
        <v>Частичное-пожар</v>
      </c>
      <c r="P175" s="179" t="s">
        <v>83</v>
      </c>
      <c r="Q175" s="179" t="s">
        <v>83</v>
      </c>
      <c r="R175" s="179" t="s">
        <v>83</v>
      </c>
      <c r="S175" s="179" t="s">
        <v>83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0.1*$AL$2</f>
        <v>7.5000000000000011E-2</v>
      </c>
      <c r="AM175" s="179">
        <f>AM172</f>
        <v>2.7E-2</v>
      </c>
      <c r="AN175" s="179">
        <f>ROUNDUP(AN172/3,0)</f>
        <v>1</v>
      </c>
      <c r="AQ175" s="182">
        <f>AM175*I175+AL175</f>
        <v>7.9698000000000005E-2</v>
      </c>
      <c r="AR175" s="182">
        <f t="shared" si="163"/>
        <v>7.9698000000000008E-3</v>
      </c>
      <c r="AS175" s="183">
        <f t="shared" si="164"/>
        <v>0.5</v>
      </c>
      <c r="AT175" s="183">
        <f t="shared" si="165"/>
        <v>0.14691694999999999</v>
      </c>
      <c r="AU175" s="182">
        <f>10068.2*J175*POWER(10,-6)</f>
        <v>1.7518668E-3</v>
      </c>
      <c r="AV175" s="183">
        <f t="shared" si="166"/>
        <v>0.73633661680000007</v>
      </c>
      <c r="AW175" s="184">
        <f t="shared" si="167"/>
        <v>0</v>
      </c>
      <c r="AX175" s="184">
        <f t="shared" si="168"/>
        <v>6.9999999999999997E-7</v>
      </c>
      <c r="AY175" s="184">
        <f t="shared" si="169"/>
        <v>2.5771781588000002E-7</v>
      </c>
    </row>
    <row r="176" spans="1:51" s="179" customFormat="1" x14ac:dyDescent="0.3">
      <c r="A176" s="169" t="s">
        <v>22</v>
      </c>
      <c r="B176" s="169" t="str">
        <f>B172</f>
        <v>Насос ГЖ</v>
      </c>
      <c r="C176" s="171" t="s">
        <v>232</v>
      </c>
      <c r="D176" s="172" t="s">
        <v>84</v>
      </c>
      <c r="E176" s="185">
        <f>E174</f>
        <v>1.0000000000000001E-5</v>
      </c>
      <c r="F176" s="186">
        <f>F172</f>
        <v>1</v>
      </c>
      <c r="G176" s="169">
        <v>3.3249999999999995E-2</v>
      </c>
      <c r="H176" s="174">
        <f t="shared" si="159"/>
        <v>3.3249999999999999E-7</v>
      </c>
      <c r="I176" s="187">
        <f>0.15*I172</f>
        <v>0.17399999999999999</v>
      </c>
      <c r="J176" s="187">
        <f>I175</f>
        <v>0.17399999999999999</v>
      </c>
      <c r="K176" s="190" t="s">
        <v>180</v>
      </c>
      <c r="L176" s="191">
        <v>3</v>
      </c>
      <c r="M176" s="179" t="str">
        <f t="shared" si="160"/>
        <v>С5</v>
      </c>
      <c r="N176" s="179" t="str">
        <f t="shared" si="161"/>
        <v>Насос ГЖ</v>
      </c>
      <c r="O176" s="179" t="str">
        <f t="shared" si="162"/>
        <v>Частичное-пожар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 t="s">
        <v>83</v>
      </c>
      <c r="AB176" s="179" t="s">
        <v>83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>0.1*$AL$2</f>
        <v>7.5000000000000011E-2</v>
      </c>
      <c r="AM176" s="179">
        <f>AM172</f>
        <v>2.7E-2</v>
      </c>
      <c r="AN176" s="179">
        <f>ROUNDUP(AN172/3,0)</f>
        <v>1</v>
      </c>
      <c r="AQ176" s="182">
        <f>AM176*I176+AL176</f>
        <v>7.9698000000000005E-2</v>
      </c>
      <c r="AR176" s="182">
        <f t="shared" si="163"/>
        <v>7.9698000000000008E-3</v>
      </c>
      <c r="AS176" s="183">
        <f t="shared" si="164"/>
        <v>0.25</v>
      </c>
      <c r="AT176" s="183">
        <f t="shared" si="165"/>
        <v>8.4416950000000004E-2</v>
      </c>
      <c r="AU176" s="182">
        <f>10068.2*J176*POWER(10,-6)*10</f>
        <v>1.7518668000000001E-2</v>
      </c>
      <c r="AV176" s="183">
        <f t="shared" si="166"/>
        <v>0.43960341800000002</v>
      </c>
      <c r="AW176" s="184">
        <f t="shared" si="167"/>
        <v>0</v>
      </c>
      <c r="AX176" s="184">
        <f t="shared" si="168"/>
        <v>3.3249999999999999E-7</v>
      </c>
      <c r="AY176" s="184">
        <f t="shared" si="169"/>
        <v>1.4616813648500001E-7</v>
      </c>
    </row>
    <row r="177" spans="1:51" s="179" customFormat="1" ht="15" thickBot="1" x14ac:dyDescent="0.35">
      <c r="A177" s="169" t="s">
        <v>23</v>
      </c>
      <c r="B177" s="169" t="str">
        <f>B172</f>
        <v>Насос ГЖ</v>
      </c>
      <c r="C177" s="171" t="s">
        <v>231</v>
      </c>
      <c r="D177" s="172" t="s">
        <v>172</v>
      </c>
      <c r="E177" s="185">
        <f>E175</f>
        <v>1.0000000000000001E-5</v>
      </c>
      <c r="F177" s="186">
        <f>F172</f>
        <v>1</v>
      </c>
      <c r="G177" s="169">
        <v>0.63174999999999992</v>
      </c>
      <c r="H177" s="174">
        <f t="shared" si="159"/>
        <v>6.3175000000000001E-6</v>
      </c>
      <c r="I177" s="187">
        <f>0.15*I172</f>
        <v>0.17399999999999999</v>
      </c>
      <c r="J177" s="169">
        <v>0</v>
      </c>
      <c r="K177" s="192" t="s">
        <v>191</v>
      </c>
      <c r="L177" s="192">
        <v>18</v>
      </c>
      <c r="M177" s="179" t="str">
        <f t="shared" si="160"/>
        <v>С6</v>
      </c>
      <c r="N177" s="179" t="str">
        <f t="shared" si="161"/>
        <v>Насос ГЖ</v>
      </c>
      <c r="O177" s="179" t="str">
        <f t="shared" si="162"/>
        <v>Частичное-токси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>0.1*$AL$2</f>
        <v>7.5000000000000011E-2</v>
      </c>
      <c r="AM177" s="179">
        <f>AM172</f>
        <v>2.7E-2</v>
      </c>
      <c r="AN177" s="179">
        <f>ROUNDUP(AN172/3,0)</f>
        <v>1</v>
      </c>
      <c r="AQ177" s="182">
        <f>AM177*I177*0.1+AL177</f>
        <v>7.5469800000000017E-2</v>
      </c>
      <c r="AR177" s="182">
        <f t="shared" si="163"/>
        <v>7.5469800000000017E-3</v>
      </c>
      <c r="AS177" s="183">
        <f t="shared" si="164"/>
        <v>0</v>
      </c>
      <c r="AT177" s="183">
        <f t="shared" si="165"/>
        <v>2.0754195000000003E-2</v>
      </c>
      <c r="AU177" s="182">
        <f>1333*J176*POWER(10,-6)</f>
        <v>2.3194199999999996E-4</v>
      </c>
      <c r="AV177" s="183">
        <f t="shared" si="166"/>
        <v>0.10400291700000003</v>
      </c>
      <c r="AW177" s="184">
        <f t="shared" si="167"/>
        <v>0</v>
      </c>
      <c r="AX177" s="184">
        <f t="shared" si="168"/>
        <v>0</v>
      </c>
      <c r="AY177" s="184">
        <f t="shared" si="169"/>
        <v>6.5703842814750017E-7</v>
      </c>
    </row>
    <row r="178" spans="1:51" s="179" customFormat="1" x14ac:dyDescent="0.3">
      <c r="A178" s="180"/>
      <c r="B178" s="180"/>
      <c r="D178" s="271"/>
      <c r="E178" s="272"/>
      <c r="F178" s="273"/>
      <c r="G178" s="180"/>
      <c r="H178" s="184"/>
      <c r="I178" s="183"/>
      <c r="J178" s="180"/>
      <c r="K178" s="180"/>
      <c r="L178" s="180"/>
      <c r="AQ178" s="182"/>
      <c r="AR178" s="182"/>
      <c r="AS178" s="183"/>
      <c r="AT178" s="183"/>
      <c r="AU178" s="182"/>
      <c r="AV178" s="183"/>
      <c r="AW178" s="184"/>
      <c r="AX178" s="184"/>
      <c r="AY178" s="184"/>
    </row>
    <row r="179" spans="1:51" s="179" customFormat="1" x14ac:dyDescent="0.3">
      <c r="A179" s="180"/>
      <c r="B179" s="180"/>
      <c r="D179" s="271"/>
      <c r="E179" s="272"/>
      <c r="F179" s="273"/>
      <c r="G179" s="180"/>
      <c r="H179" s="184"/>
      <c r="I179" s="183"/>
      <c r="J179" s="180"/>
      <c r="K179" s="180"/>
      <c r="L179" s="180"/>
      <c r="AQ179" s="182"/>
      <c r="AR179" s="182"/>
      <c r="AS179" s="183"/>
      <c r="AT179" s="183"/>
      <c r="AU179" s="182"/>
      <c r="AV179" s="183"/>
      <c r="AW179" s="184"/>
      <c r="AX179" s="184"/>
      <c r="AY179" s="184"/>
    </row>
    <row r="180" spans="1:51" s="179" customFormat="1" x14ac:dyDescent="0.3">
      <c r="A180" s="180"/>
      <c r="B180" s="180"/>
      <c r="D180" s="271"/>
      <c r="E180" s="272"/>
      <c r="F180" s="273"/>
      <c r="G180" s="180"/>
      <c r="H180" s="184"/>
      <c r="I180" s="183"/>
      <c r="J180" s="180"/>
      <c r="K180" s="180"/>
      <c r="L180" s="180"/>
      <c r="AQ180" s="182"/>
      <c r="AR180" s="182"/>
      <c r="AS180" s="183"/>
      <c r="AT180" s="183"/>
      <c r="AU180" s="182"/>
      <c r="AV180" s="183"/>
      <c r="AW180" s="184"/>
      <c r="AX180" s="184"/>
      <c r="AY180" s="184"/>
    </row>
    <row r="181" spans="1:51" ht="15" thickBot="1" x14ac:dyDescent="0.35"/>
    <row r="182" spans="1:51" s="227" customFormat="1" ht="18" customHeight="1" x14ac:dyDescent="0.3">
      <c r="A182" s="218" t="s">
        <v>18</v>
      </c>
      <c r="B182" s="219" t="s">
        <v>292</v>
      </c>
      <c r="C182" s="53" t="s">
        <v>182</v>
      </c>
      <c r="D182" s="220" t="s">
        <v>297</v>
      </c>
      <c r="E182" s="221">
        <v>1.0000000000000001E-5</v>
      </c>
      <c r="F182" s="219">
        <v>1</v>
      </c>
      <c r="G182" s="218">
        <v>0.2</v>
      </c>
      <c r="H182" s="222">
        <f>E182*F182*G182</f>
        <v>2.0000000000000003E-6</v>
      </c>
      <c r="I182" s="223">
        <v>1.2</v>
      </c>
      <c r="J182" s="224">
        <f>I182</f>
        <v>1.2</v>
      </c>
      <c r="K182" s="225" t="s">
        <v>175</v>
      </c>
      <c r="L182" s="226">
        <v>0</v>
      </c>
      <c r="M182" s="227" t="str">
        <f t="shared" ref="M182:M189" si="170">A182</f>
        <v>С1</v>
      </c>
      <c r="N182" s="227" t="str">
        <f t="shared" ref="N182:N189" si="171">B182</f>
        <v>Трубопровод СУГ</v>
      </c>
      <c r="O182" s="227" t="str">
        <f t="shared" ref="O182:O189" si="172">D182</f>
        <v>Полное-факельное горение</v>
      </c>
      <c r="P182" s="227" t="s">
        <v>83</v>
      </c>
      <c r="Q182" s="227" t="s">
        <v>83</v>
      </c>
      <c r="R182" s="227" t="s">
        <v>83</v>
      </c>
      <c r="S182" s="227" t="s">
        <v>83</v>
      </c>
      <c r="T182" s="227" t="s">
        <v>83</v>
      </c>
      <c r="U182" s="227" t="s">
        <v>83</v>
      </c>
      <c r="V182" s="227" t="s">
        <v>83</v>
      </c>
      <c r="W182" s="227" t="s">
        <v>83</v>
      </c>
      <c r="X182" s="227" t="s">
        <v>83</v>
      </c>
      <c r="Y182" s="227">
        <v>44</v>
      </c>
      <c r="Z182" s="227">
        <v>7</v>
      </c>
      <c r="AA182" s="227" t="s">
        <v>83</v>
      </c>
      <c r="AB182" s="227" t="s">
        <v>83</v>
      </c>
      <c r="AC182" s="227" t="s">
        <v>83</v>
      </c>
      <c r="AD182" s="227" t="s">
        <v>83</v>
      </c>
      <c r="AE182" s="227" t="s">
        <v>83</v>
      </c>
      <c r="AF182" s="227" t="s">
        <v>83</v>
      </c>
      <c r="AG182" s="227" t="s">
        <v>83</v>
      </c>
      <c r="AH182" s="227" t="s">
        <v>83</v>
      </c>
      <c r="AI182" s="227" t="s">
        <v>83</v>
      </c>
      <c r="AJ182" s="228">
        <v>1</v>
      </c>
      <c r="AK182" s="228">
        <v>2</v>
      </c>
      <c r="AL182" s="229">
        <v>0.75</v>
      </c>
      <c r="AM182" s="229">
        <v>2.7E-2</v>
      </c>
      <c r="AN182" s="229">
        <v>3</v>
      </c>
      <c r="AQ182" s="230">
        <f>AM182*I182+AL182</f>
        <v>0.78239999999999998</v>
      </c>
      <c r="AR182" s="230">
        <f>0.1*AQ182</f>
        <v>7.8240000000000004E-2</v>
      </c>
      <c r="AS182" s="231">
        <f>AJ182*3+0.25*AK182</f>
        <v>3.5</v>
      </c>
      <c r="AT182" s="231">
        <f>SUM(AQ182:AS182)/4</f>
        <v>1.09016</v>
      </c>
      <c r="AU182" s="230">
        <f>10068.2*J182*POWER(10,-6)</f>
        <v>1.208184E-2</v>
      </c>
      <c r="AV182" s="231">
        <f t="shared" ref="AV182:AV189" si="173">AU182+AT182+AS182+AR182+AQ182</f>
        <v>5.4628818399999997</v>
      </c>
      <c r="AW182" s="232">
        <f>AJ182*H182</f>
        <v>2.0000000000000003E-6</v>
      </c>
      <c r="AX182" s="232">
        <f>H182*AK182</f>
        <v>4.0000000000000007E-6</v>
      </c>
      <c r="AY182" s="232">
        <f>H182*AV182</f>
        <v>1.0925763680000002E-5</v>
      </c>
    </row>
    <row r="183" spans="1:51" s="227" customFormat="1" x14ac:dyDescent="0.3">
      <c r="A183" s="218" t="s">
        <v>19</v>
      </c>
      <c r="B183" s="218" t="str">
        <f>B182</f>
        <v>Трубопровод СУГ</v>
      </c>
      <c r="C183" s="53" t="s">
        <v>160</v>
      </c>
      <c r="D183" s="220" t="s">
        <v>62</v>
      </c>
      <c r="E183" s="233">
        <f>E182</f>
        <v>1.0000000000000001E-5</v>
      </c>
      <c r="F183" s="234">
        <f>F182</f>
        <v>1</v>
      </c>
      <c r="G183" s="218">
        <v>0.1152</v>
      </c>
      <c r="H183" s="222">
        <f t="shared" ref="H183:H189" si="174">E183*F183*G183</f>
        <v>1.1520000000000002E-6</v>
      </c>
      <c r="I183" s="235">
        <f>I182</f>
        <v>1.2</v>
      </c>
      <c r="J183" s="280">
        <f>0.1*I182</f>
        <v>0.12</v>
      </c>
      <c r="K183" s="236" t="s">
        <v>176</v>
      </c>
      <c r="L183" s="237">
        <v>0</v>
      </c>
      <c r="M183" s="227" t="str">
        <f t="shared" si="170"/>
        <v>С2</v>
      </c>
      <c r="N183" s="227" t="str">
        <f t="shared" si="171"/>
        <v>Трубопровод СУГ</v>
      </c>
      <c r="O183" s="227" t="str">
        <f t="shared" si="172"/>
        <v>Полное-взрыв</v>
      </c>
      <c r="P183" s="227" t="s">
        <v>83</v>
      </c>
      <c r="Q183" s="227" t="s">
        <v>83</v>
      </c>
      <c r="R183" s="227" t="s">
        <v>83</v>
      </c>
      <c r="S183" s="227" t="s">
        <v>83</v>
      </c>
      <c r="T183" s="227">
        <v>0</v>
      </c>
      <c r="U183" s="227">
        <v>0</v>
      </c>
      <c r="V183" s="227">
        <v>37.6</v>
      </c>
      <c r="W183" s="227">
        <v>124.6</v>
      </c>
      <c r="X183" s="227">
        <v>324.60000000000002</v>
      </c>
      <c r="Y183" s="227" t="s">
        <v>83</v>
      </c>
      <c r="Z183" s="227" t="s">
        <v>83</v>
      </c>
      <c r="AA183" s="227" t="s">
        <v>83</v>
      </c>
      <c r="AB183" s="227" t="s">
        <v>83</v>
      </c>
      <c r="AC183" s="227" t="s">
        <v>83</v>
      </c>
      <c r="AD183" s="227" t="s">
        <v>83</v>
      </c>
      <c r="AE183" s="227" t="s">
        <v>83</v>
      </c>
      <c r="AF183" s="227" t="s">
        <v>83</v>
      </c>
      <c r="AG183" s="227" t="s">
        <v>83</v>
      </c>
      <c r="AH183" s="227" t="s">
        <v>83</v>
      </c>
      <c r="AI183" s="227" t="s">
        <v>83</v>
      </c>
      <c r="AJ183" s="228">
        <v>2</v>
      </c>
      <c r="AK183" s="228">
        <v>2</v>
      </c>
      <c r="AL183" s="227">
        <f>AL182</f>
        <v>0.75</v>
      </c>
      <c r="AM183" s="227">
        <f>AM182</f>
        <v>2.7E-2</v>
      </c>
      <c r="AN183" s="227">
        <f>AN182</f>
        <v>3</v>
      </c>
      <c r="AQ183" s="230">
        <f>AM183*I183+AL183</f>
        <v>0.78239999999999998</v>
      </c>
      <c r="AR183" s="230">
        <f t="shared" ref="AR183:AR189" si="175">0.1*AQ183</f>
        <v>7.8240000000000004E-2</v>
      </c>
      <c r="AS183" s="231">
        <f t="shared" ref="AS183:AS189" si="176">AJ183*3+0.25*AK183</f>
        <v>6.5</v>
      </c>
      <c r="AT183" s="231">
        <f t="shared" ref="AT183:AT189" si="177">SUM(AQ183:AS183)/4</f>
        <v>1.84016</v>
      </c>
      <c r="AU183" s="230">
        <f>10068.2*J183*POWER(10,-6)*10</f>
        <v>1.208184E-2</v>
      </c>
      <c r="AV183" s="231">
        <f t="shared" si="173"/>
        <v>9.2128818399999979</v>
      </c>
      <c r="AW183" s="232">
        <f t="shared" ref="AW183:AW189" si="178">AJ183*H183</f>
        <v>2.3040000000000003E-6</v>
      </c>
      <c r="AX183" s="232">
        <f t="shared" ref="AX183:AX189" si="179">H183*AK183</f>
        <v>2.3040000000000003E-6</v>
      </c>
      <c r="AY183" s="232">
        <f t="shared" ref="AY183:AY189" si="180">H183*AV183</f>
        <v>1.061323987968E-5</v>
      </c>
    </row>
    <row r="184" spans="1:51" s="227" customFormat="1" x14ac:dyDescent="0.3">
      <c r="A184" s="218" t="s">
        <v>20</v>
      </c>
      <c r="B184" s="218" t="str">
        <f>B182</f>
        <v>Трубопровод СУГ</v>
      </c>
      <c r="C184" s="53" t="s">
        <v>296</v>
      </c>
      <c r="D184" s="220" t="s">
        <v>294</v>
      </c>
      <c r="E184" s="233">
        <f>E182</f>
        <v>1.0000000000000001E-5</v>
      </c>
      <c r="F184" s="234">
        <f>F182</f>
        <v>1</v>
      </c>
      <c r="G184" s="218">
        <v>7.6799999999999993E-2</v>
      </c>
      <c r="H184" s="222">
        <f t="shared" si="174"/>
        <v>7.6799999999999999E-7</v>
      </c>
      <c r="I184" s="235">
        <f>I182</f>
        <v>1.2</v>
      </c>
      <c r="J184" s="224">
        <f>0.6*I182</f>
        <v>0.72</v>
      </c>
      <c r="K184" s="236" t="s">
        <v>177</v>
      </c>
      <c r="L184" s="237">
        <v>15</v>
      </c>
      <c r="M184" s="227" t="str">
        <f t="shared" si="170"/>
        <v>С3</v>
      </c>
      <c r="N184" s="227" t="str">
        <f t="shared" si="171"/>
        <v>Трубопровод СУГ</v>
      </c>
      <c r="O184" s="227" t="str">
        <f t="shared" si="172"/>
        <v>Полное-огненный шар</v>
      </c>
      <c r="P184" s="227" t="s">
        <v>83</v>
      </c>
      <c r="Q184" s="227" t="s">
        <v>83</v>
      </c>
      <c r="R184" s="227" t="s">
        <v>83</v>
      </c>
      <c r="S184" s="227" t="s">
        <v>83</v>
      </c>
      <c r="T184" s="227" t="s">
        <v>83</v>
      </c>
      <c r="U184" s="227" t="s">
        <v>83</v>
      </c>
      <c r="V184" s="227" t="s">
        <v>83</v>
      </c>
      <c r="W184" s="227" t="s">
        <v>83</v>
      </c>
      <c r="X184" s="227" t="s">
        <v>83</v>
      </c>
      <c r="Y184" s="227" t="s">
        <v>83</v>
      </c>
      <c r="Z184" s="227" t="s">
        <v>83</v>
      </c>
      <c r="AA184" s="227" t="s">
        <v>83</v>
      </c>
      <c r="AB184" s="227" t="s">
        <v>83</v>
      </c>
      <c r="AC184" s="227" t="s">
        <v>83</v>
      </c>
      <c r="AD184" s="227" t="s">
        <v>83</v>
      </c>
      <c r="AE184" s="227">
        <v>1</v>
      </c>
      <c r="AF184" s="227">
        <v>32</v>
      </c>
      <c r="AG184" s="227">
        <v>43.5</v>
      </c>
      <c r="AH184" s="227">
        <v>62</v>
      </c>
      <c r="AI184" s="227" t="s">
        <v>83</v>
      </c>
      <c r="AJ184" s="227">
        <v>0</v>
      </c>
      <c r="AK184" s="227">
        <v>0</v>
      </c>
      <c r="AL184" s="227">
        <f>AL182</f>
        <v>0.75</v>
      </c>
      <c r="AM184" s="227">
        <f>AM182</f>
        <v>2.7E-2</v>
      </c>
      <c r="AN184" s="227">
        <f>AN182</f>
        <v>3</v>
      </c>
      <c r="AQ184" s="230">
        <f>AM184*I184*0.1+AL184</f>
        <v>0.75324000000000002</v>
      </c>
      <c r="AR184" s="230">
        <f t="shared" si="175"/>
        <v>7.5324000000000002E-2</v>
      </c>
      <c r="AS184" s="231">
        <f t="shared" si="176"/>
        <v>0</v>
      </c>
      <c r="AT184" s="231">
        <f t="shared" si="177"/>
        <v>0.20714100000000002</v>
      </c>
      <c r="AU184" s="230">
        <f>1333*J182*POWER(10,-6)</f>
        <v>1.5995999999999999E-3</v>
      </c>
      <c r="AV184" s="231">
        <f t="shared" si="173"/>
        <v>1.0373046000000001</v>
      </c>
      <c r="AW184" s="232">
        <f t="shared" si="178"/>
        <v>0</v>
      </c>
      <c r="AX184" s="232">
        <f t="shared" si="179"/>
        <v>0</v>
      </c>
      <c r="AY184" s="232">
        <f t="shared" si="180"/>
        <v>7.9664993280000006E-7</v>
      </c>
    </row>
    <row r="185" spans="1:51" s="227" customFormat="1" x14ac:dyDescent="0.3">
      <c r="A185" s="218" t="s">
        <v>21</v>
      </c>
      <c r="B185" s="218" t="str">
        <f>B182</f>
        <v>Трубопровод СУГ</v>
      </c>
      <c r="C185" s="53" t="s">
        <v>161</v>
      </c>
      <c r="D185" s="220" t="s">
        <v>60</v>
      </c>
      <c r="E185" s="233">
        <f>E182</f>
        <v>1.0000000000000001E-5</v>
      </c>
      <c r="F185" s="234">
        <f>F182</f>
        <v>1</v>
      </c>
      <c r="G185" s="218">
        <v>0.60799999999999998</v>
      </c>
      <c r="H185" s="222">
        <f t="shared" si="174"/>
        <v>6.0800000000000002E-6</v>
      </c>
      <c r="I185" s="235">
        <f>I182</f>
        <v>1.2</v>
      </c>
      <c r="J185" s="238">
        <v>0</v>
      </c>
      <c r="K185" s="236" t="s">
        <v>179</v>
      </c>
      <c r="L185" s="237">
        <v>45390</v>
      </c>
      <c r="M185" s="227" t="str">
        <f t="shared" si="170"/>
        <v>С4</v>
      </c>
      <c r="N185" s="227" t="str">
        <f t="shared" si="171"/>
        <v>Трубопровод СУГ</v>
      </c>
      <c r="O185" s="227" t="str">
        <f t="shared" si="172"/>
        <v>Полное-ликвидация</v>
      </c>
      <c r="P185" s="227" t="s">
        <v>83</v>
      </c>
      <c r="Q185" s="227" t="s">
        <v>83</v>
      </c>
      <c r="R185" s="227" t="s">
        <v>83</v>
      </c>
      <c r="S185" s="227" t="s">
        <v>83</v>
      </c>
      <c r="T185" s="227" t="s">
        <v>83</v>
      </c>
      <c r="U185" s="227" t="s">
        <v>83</v>
      </c>
      <c r="V185" s="227" t="s">
        <v>83</v>
      </c>
      <c r="W185" s="227" t="s">
        <v>83</v>
      </c>
      <c r="X185" s="227" t="s">
        <v>83</v>
      </c>
      <c r="Y185" s="227" t="s">
        <v>83</v>
      </c>
      <c r="Z185" s="227" t="s">
        <v>83</v>
      </c>
      <c r="AA185" s="227" t="s">
        <v>83</v>
      </c>
      <c r="AB185" s="227" t="s">
        <v>83</v>
      </c>
      <c r="AC185" s="227" t="s">
        <v>83</v>
      </c>
      <c r="AD185" s="227" t="s">
        <v>83</v>
      </c>
      <c r="AE185" s="227" t="s">
        <v>83</v>
      </c>
      <c r="AF185" s="227" t="s">
        <v>83</v>
      </c>
      <c r="AG185" s="227" t="s">
        <v>83</v>
      </c>
      <c r="AH185" s="227" t="s">
        <v>83</v>
      </c>
      <c r="AI185" s="227" t="s">
        <v>83</v>
      </c>
      <c r="AJ185" s="227">
        <v>0</v>
      </c>
      <c r="AK185" s="227">
        <v>0</v>
      </c>
      <c r="AL185" s="227">
        <f>AL182</f>
        <v>0.75</v>
      </c>
      <c r="AM185" s="227">
        <f>AM182</f>
        <v>2.7E-2</v>
      </c>
      <c r="AN185" s="227">
        <f>AN182</f>
        <v>3</v>
      </c>
      <c r="AQ185" s="230">
        <f>AM185*I185*0.1+AL185</f>
        <v>0.75324000000000002</v>
      </c>
      <c r="AR185" s="230">
        <f t="shared" si="175"/>
        <v>7.5324000000000002E-2</v>
      </c>
      <c r="AS185" s="231">
        <f t="shared" si="176"/>
        <v>0</v>
      </c>
      <c r="AT185" s="231">
        <f t="shared" si="177"/>
        <v>0.20714100000000002</v>
      </c>
      <c r="AU185" s="230">
        <f>1333*J183*POWER(10,-6)</f>
        <v>1.5996000000000001E-4</v>
      </c>
      <c r="AV185" s="231">
        <f t="shared" si="173"/>
        <v>1.0358649600000001</v>
      </c>
      <c r="AW185" s="232">
        <f t="shared" si="178"/>
        <v>0</v>
      </c>
      <c r="AX185" s="232">
        <f t="shared" si="179"/>
        <v>0</v>
      </c>
      <c r="AY185" s="232">
        <f t="shared" si="180"/>
        <v>6.2980589568000003E-6</v>
      </c>
    </row>
    <row r="186" spans="1:51" s="227" customFormat="1" x14ac:dyDescent="0.3">
      <c r="A186" s="218" t="s">
        <v>22</v>
      </c>
      <c r="B186" s="218" t="str">
        <f>B182</f>
        <v>Трубопровод СУГ</v>
      </c>
      <c r="C186" s="53" t="s">
        <v>186</v>
      </c>
      <c r="D186" s="220" t="s">
        <v>187</v>
      </c>
      <c r="E186" s="221">
        <v>1E-4</v>
      </c>
      <c r="F186" s="234">
        <f>F182</f>
        <v>1</v>
      </c>
      <c r="G186" s="218">
        <v>3.5000000000000003E-2</v>
      </c>
      <c r="H186" s="222">
        <f t="shared" si="174"/>
        <v>3.5000000000000004E-6</v>
      </c>
      <c r="I186" s="235">
        <f>0.15*I182</f>
        <v>0.18</v>
      </c>
      <c r="J186" s="224">
        <f>I186</f>
        <v>0.18</v>
      </c>
      <c r="K186" s="236" t="s">
        <v>180</v>
      </c>
      <c r="L186" s="237">
        <v>3</v>
      </c>
      <c r="M186" s="227" t="str">
        <f t="shared" si="170"/>
        <v>С5</v>
      </c>
      <c r="N186" s="227" t="str">
        <f t="shared" si="171"/>
        <v>Трубопровод СУГ</v>
      </c>
      <c r="O186" s="227" t="str">
        <f t="shared" si="172"/>
        <v>Частичное-факел</v>
      </c>
      <c r="P186" s="227" t="s">
        <v>83</v>
      </c>
      <c r="Q186" s="227" t="s">
        <v>83</v>
      </c>
      <c r="R186" s="227" t="s">
        <v>83</v>
      </c>
      <c r="S186" s="227" t="s">
        <v>83</v>
      </c>
      <c r="T186" s="227" t="s">
        <v>83</v>
      </c>
      <c r="U186" s="227" t="s">
        <v>83</v>
      </c>
      <c r="V186" s="227" t="s">
        <v>83</v>
      </c>
      <c r="W186" s="227" t="s">
        <v>83</v>
      </c>
      <c r="X186" s="227" t="s">
        <v>83</v>
      </c>
      <c r="Y186" s="227">
        <v>28</v>
      </c>
      <c r="Z186" s="227">
        <v>5</v>
      </c>
      <c r="AA186" s="227" t="s">
        <v>83</v>
      </c>
      <c r="AB186" s="227" t="s">
        <v>83</v>
      </c>
      <c r="AC186" s="227" t="s">
        <v>83</v>
      </c>
      <c r="AD186" s="227" t="s">
        <v>83</v>
      </c>
      <c r="AE186" s="227" t="s">
        <v>83</v>
      </c>
      <c r="AF186" s="227" t="s">
        <v>83</v>
      </c>
      <c r="AG186" s="227" t="s">
        <v>83</v>
      </c>
      <c r="AH186" s="227" t="s">
        <v>83</v>
      </c>
      <c r="AI186" s="227" t="s">
        <v>83</v>
      </c>
      <c r="AJ186" s="227">
        <v>0</v>
      </c>
      <c r="AK186" s="227">
        <v>2</v>
      </c>
      <c r="AL186" s="227">
        <f>0.1*$AL$2</f>
        <v>7.5000000000000011E-2</v>
      </c>
      <c r="AM186" s="227">
        <f>AM182</f>
        <v>2.7E-2</v>
      </c>
      <c r="AN186" s="227">
        <f>ROUNDUP(AN182/3,0)</f>
        <v>1</v>
      </c>
      <c r="AQ186" s="230">
        <f>AM186*I186+AL186</f>
        <v>7.9860000000000014E-2</v>
      </c>
      <c r="AR186" s="230">
        <f t="shared" si="175"/>
        <v>7.9860000000000018E-3</v>
      </c>
      <c r="AS186" s="231">
        <f t="shared" si="176"/>
        <v>0.5</v>
      </c>
      <c r="AT186" s="231">
        <f t="shared" si="177"/>
        <v>0.14696149999999999</v>
      </c>
      <c r="AU186" s="230">
        <f>10068.2*J186*POWER(10,-6)</f>
        <v>1.812276E-3</v>
      </c>
      <c r="AV186" s="231">
        <f t="shared" si="173"/>
        <v>0.73661977600000006</v>
      </c>
      <c r="AW186" s="232">
        <f t="shared" si="178"/>
        <v>0</v>
      </c>
      <c r="AX186" s="232">
        <f t="shared" si="179"/>
        <v>7.0000000000000007E-6</v>
      </c>
      <c r="AY186" s="232">
        <f t="shared" si="180"/>
        <v>2.5781692160000003E-6</v>
      </c>
    </row>
    <row r="187" spans="1:51" s="227" customFormat="1" x14ac:dyDescent="0.3">
      <c r="A187" s="218" t="s">
        <v>23</v>
      </c>
      <c r="B187" s="218" t="str">
        <f>B182</f>
        <v>Трубопровод СУГ</v>
      </c>
      <c r="C187" s="53" t="s">
        <v>188</v>
      </c>
      <c r="D187" s="220" t="s">
        <v>189</v>
      </c>
      <c r="E187" s="233">
        <f>E186</f>
        <v>1E-4</v>
      </c>
      <c r="F187" s="234">
        <v>1</v>
      </c>
      <c r="G187" s="218">
        <v>8.3000000000000001E-3</v>
      </c>
      <c r="H187" s="222">
        <f t="shared" si="174"/>
        <v>8.300000000000001E-7</v>
      </c>
      <c r="I187" s="235">
        <f>I186</f>
        <v>0.18</v>
      </c>
      <c r="J187" s="224">
        <f>J183*0.15</f>
        <v>1.7999999999999999E-2</v>
      </c>
      <c r="K187" s="239" t="s">
        <v>191</v>
      </c>
      <c r="L187" s="240">
        <v>19</v>
      </c>
      <c r="M187" s="227" t="str">
        <f t="shared" si="170"/>
        <v>С6</v>
      </c>
      <c r="N187" s="227" t="str">
        <f t="shared" si="171"/>
        <v>Трубопровод СУГ</v>
      </c>
      <c r="O187" s="227" t="str">
        <f t="shared" si="172"/>
        <v>Частичное-взрыв</v>
      </c>
      <c r="P187" s="227" t="s">
        <v>83</v>
      </c>
      <c r="Q187" s="227" t="s">
        <v>83</v>
      </c>
      <c r="R187" s="227" t="s">
        <v>83</v>
      </c>
      <c r="S187" s="227" t="s">
        <v>83</v>
      </c>
      <c r="T187" s="227">
        <v>0</v>
      </c>
      <c r="U187" s="227">
        <v>0</v>
      </c>
      <c r="V187" s="227">
        <v>20.100000000000001</v>
      </c>
      <c r="W187" s="227">
        <v>66.099999999999994</v>
      </c>
      <c r="X187" s="227">
        <v>172.6</v>
      </c>
      <c r="Y187" s="227" t="s">
        <v>83</v>
      </c>
      <c r="Z187" s="227" t="s">
        <v>83</v>
      </c>
      <c r="AA187" s="227" t="s">
        <v>83</v>
      </c>
      <c r="AB187" s="227" t="s">
        <v>83</v>
      </c>
      <c r="AC187" s="227" t="s">
        <v>83</v>
      </c>
      <c r="AD187" s="227" t="s">
        <v>83</v>
      </c>
      <c r="AE187" s="227" t="s">
        <v>83</v>
      </c>
      <c r="AF187" s="227" t="s">
        <v>83</v>
      </c>
      <c r="AG187" s="227" t="s">
        <v>83</v>
      </c>
      <c r="AH187" s="227" t="s">
        <v>83</v>
      </c>
      <c r="AI187" s="227" t="s">
        <v>83</v>
      </c>
      <c r="AJ187" s="227">
        <v>0</v>
      </c>
      <c r="AK187" s="227">
        <v>1</v>
      </c>
      <c r="AL187" s="227">
        <f>0.1*$AL$2</f>
        <v>7.5000000000000011E-2</v>
      </c>
      <c r="AM187" s="227">
        <f>AM182</f>
        <v>2.7E-2</v>
      </c>
      <c r="AN187" s="227">
        <f>AN186</f>
        <v>1</v>
      </c>
      <c r="AQ187" s="230">
        <f>AM187*I187+AL187</f>
        <v>7.9860000000000014E-2</v>
      </c>
      <c r="AR187" s="230">
        <f t="shared" si="175"/>
        <v>7.9860000000000018E-3</v>
      </c>
      <c r="AS187" s="231">
        <f t="shared" si="176"/>
        <v>0.25</v>
      </c>
      <c r="AT187" s="231">
        <f t="shared" si="177"/>
        <v>8.4461500000000009E-2</v>
      </c>
      <c r="AU187" s="230">
        <f>10068.2*J187*POWER(10,-6)*10</f>
        <v>1.8122759999999998E-3</v>
      </c>
      <c r="AV187" s="231">
        <f t="shared" si="173"/>
        <v>0.42411977600000006</v>
      </c>
      <c r="AW187" s="232">
        <f t="shared" si="178"/>
        <v>0</v>
      </c>
      <c r="AX187" s="232">
        <f t="shared" si="179"/>
        <v>8.300000000000001E-7</v>
      </c>
      <c r="AY187" s="232">
        <f t="shared" si="180"/>
        <v>3.5201941408000008E-7</v>
      </c>
    </row>
    <row r="188" spans="1:51" s="227" customFormat="1" x14ac:dyDescent="0.3">
      <c r="A188" s="218" t="s">
        <v>210</v>
      </c>
      <c r="B188" s="218" t="str">
        <f>B182</f>
        <v>Трубопровод СУГ</v>
      </c>
      <c r="C188" s="53" t="s">
        <v>163</v>
      </c>
      <c r="D188" s="220" t="s">
        <v>165</v>
      </c>
      <c r="E188" s="233">
        <f>E186</f>
        <v>1E-4</v>
      </c>
      <c r="F188" s="234">
        <f>F182</f>
        <v>1</v>
      </c>
      <c r="G188" s="218">
        <v>2.64E-2</v>
      </c>
      <c r="H188" s="222">
        <f t="shared" si="174"/>
        <v>2.6400000000000001E-6</v>
      </c>
      <c r="I188" s="235">
        <f>0.15*I182</f>
        <v>0.18</v>
      </c>
      <c r="J188" s="224">
        <f>J184*0.15</f>
        <v>0.108</v>
      </c>
      <c r="K188" s="236"/>
      <c r="L188" s="237"/>
      <c r="M188" s="227" t="str">
        <f t="shared" si="170"/>
        <v>С7</v>
      </c>
      <c r="N188" s="227" t="str">
        <f t="shared" si="171"/>
        <v>Трубопровод СУГ</v>
      </c>
      <c r="O188" s="227" t="str">
        <f t="shared" si="172"/>
        <v>Частичное-пожар-вспышка</v>
      </c>
      <c r="P188" s="227" t="s">
        <v>83</v>
      </c>
      <c r="Q188" s="227" t="s">
        <v>83</v>
      </c>
      <c r="R188" s="227" t="s">
        <v>83</v>
      </c>
      <c r="S188" s="227" t="s">
        <v>83</v>
      </c>
      <c r="T188" s="227" t="s">
        <v>83</v>
      </c>
      <c r="U188" s="227" t="s">
        <v>83</v>
      </c>
      <c r="V188" s="227" t="s">
        <v>83</v>
      </c>
      <c r="W188" s="227" t="s">
        <v>83</v>
      </c>
      <c r="X188" s="227" t="s">
        <v>83</v>
      </c>
      <c r="Y188" s="227" t="s">
        <v>83</v>
      </c>
      <c r="Z188" s="227" t="s">
        <v>83</v>
      </c>
      <c r="AA188" s="227">
        <v>16.079999999999998</v>
      </c>
      <c r="AB188" s="227">
        <v>19.3</v>
      </c>
      <c r="AC188" s="227" t="s">
        <v>83</v>
      </c>
      <c r="AD188" s="227" t="s">
        <v>83</v>
      </c>
      <c r="AE188" s="227" t="s">
        <v>83</v>
      </c>
      <c r="AF188" s="227" t="s">
        <v>83</v>
      </c>
      <c r="AG188" s="227" t="s">
        <v>83</v>
      </c>
      <c r="AH188" s="227" t="s">
        <v>83</v>
      </c>
      <c r="AI188" s="227" t="s">
        <v>83</v>
      </c>
      <c r="AJ188" s="227">
        <v>0</v>
      </c>
      <c r="AK188" s="227">
        <v>1</v>
      </c>
      <c r="AL188" s="227">
        <f>0.1*$AL$2</f>
        <v>7.5000000000000011E-2</v>
      </c>
      <c r="AM188" s="227">
        <f>AM182</f>
        <v>2.7E-2</v>
      </c>
      <c r="AN188" s="227">
        <f>ROUNDUP(AN182/3,0)</f>
        <v>1</v>
      </c>
      <c r="AQ188" s="230">
        <f>AM188*I188+AL188</f>
        <v>7.9860000000000014E-2</v>
      </c>
      <c r="AR188" s="230">
        <f t="shared" si="175"/>
        <v>7.9860000000000018E-3</v>
      </c>
      <c r="AS188" s="231">
        <f t="shared" si="176"/>
        <v>0.25</v>
      </c>
      <c r="AT188" s="231">
        <f t="shared" si="177"/>
        <v>8.4461500000000009E-2</v>
      </c>
      <c r="AU188" s="230">
        <f>10068.2*J188*POWER(10,-6)*10</f>
        <v>1.0873656000000001E-2</v>
      </c>
      <c r="AV188" s="231">
        <f t="shared" si="173"/>
        <v>0.43318115599999996</v>
      </c>
      <c r="AW188" s="232">
        <f t="shared" si="178"/>
        <v>0</v>
      </c>
      <c r="AX188" s="232">
        <f t="shared" si="179"/>
        <v>2.6400000000000001E-6</v>
      </c>
      <c r="AY188" s="232">
        <f t="shared" si="180"/>
        <v>1.1435982518399999E-6</v>
      </c>
    </row>
    <row r="189" spans="1:51" s="227" customFormat="1" ht="15" thickBot="1" x14ac:dyDescent="0.35">
      <c r="A189" s="218" t="s">
        <v>211</v>
      </c>
      <c r="B189" s="218" t="str">
        <f>B182</f>
        <v>Трубопровод СУГ</v>
      </c>
      <c r="C189" s="53" t="s">
        <v>164</v>
      </c>
      <c r="D189" s="220" t="s">
        <v>61</v>
      </c>
      <c r="E189" s="233">
        <f>E186</f>
        <v>1E-4</v>
      </c>
      <c r="F189" s="234">
        <f>F182</f>
        <v>1</v>
      </c>
      <c r="G189" s="218">
        <v>0.93030000000000002</v>
      </c>
      <c r="H189" s="222">
        <f t="shared" si="174"/>
        <v>9.3030000000000009E-5</v>
      </c>
      <c r="I189" s="235">
        <f>0.15*I182</f>
        <v>0.18</v>
      </c>
      <c r="J189" s="238">
        <v>0</v>
      </c>
      <c r="K189" s="241"/>
      <c r="L189" s="242"/>
      <c r="M189" s="227" t="str">
        <f t="shared" si="170"/>
        <v>С8</v>
      </c>
      <c r="N189" s="227" t="str">
        <f t="shared" si="171"/>
        <v>Трубопровод СУГ</v>
      </c>
      <c r="O189" s="227" t="str">
        <f t="shared" si="172"/>
        <v>Частичное-ликвидация</v>
      </c>
      <c r="P189" s="227" t="s">
        <v>83</v>
      </c>
      <c r="Q189" s="227" t="s">
        <v>83</v>
      </c>
      <c r="R189" s="227" t="s">
        <v>83</v>
      </c>
      <c r="S189" s="227" t="s">
        <v>83</v>
      </c>
      <c r="T189" s="227" t="s">
        <v>83</v>
      </c>
      <c r="U189" s="227" t="s">
        <v>83</v>
      </c>
      <c r="V189" s="227" t="s">
        <v>83</v>
      </c>
      <c r="W189" s="227" t="s">
        <v>83</v>
      </c>
      <c r="X189" s="227" t="s">
        <v>83</v>
      </c>
      <c r="Y189" s="227" t="s">
        <v>83</v>
      </c>
      <c r="Z189" s="227" t="s">
        <v>83</v>
      </c>
      <c r="AA189" s="227" t="s">
        <v>83</v>
      </c>
      <c r="AB189" s="227" t="s">
        <v>83</v>
      </c>
      <c r="AC189" s="227" t="s">
        <v>83</v>
      </c>
      <c r="AD189" s="227" t="s">
        <v>83</v>
      </c>
      <c r="AE189" s="227" t="s">
        <v>83</v>
      </c>
      <c r="AF189" s="227" t="s">
        <v>83</v>
      </c>
      <c r="AG189" s="227" t="s">
        <v>83</v>
      </c>
      <c r="AH189" s="227" t="s">
        <v>83</v>
      </c>
      <c r="AI189" s="227" t="s">
        <v>83</v>
      </c>
      <c r="AJ189" s="227">
        <v>0</v>
      </c>
      <c r="AK189" s="227">
        <v>0</v>
      </c>
      <c r="AL189" s="227">
        <f>0.1*$AL$2</f>
        <v>7.5000000000000011E-2</v>
      </c>
      <c r="AM189" s="227">
        <f>AM182</f>
        <v>2.7E-2</v>
      </c>
      <c r="AN189" s="227">
        <f>ROUNDUP(AN182/3,0)</f>
        <v>1</v>
      </c>
      <c r="AQ189" s="230">
        <f>AM189*I189*0.1+AL189</f>
        <v>7.5486000000000011E-2</v>
      </c>
      <c r="AR189" s="230">
        <f t="shared" si="175"/>
        <v>7.5486000000000017E-3</v>
      </c>
      <c r="AS189" s="231">
        <f t="shared" si="176"/>
        <v>0</v>
      </c>
      <c r="AT189" s="231">
        <f t="shared" si="177"/>
        <v>2.0758650000000003E-2</v>
      </c>
      <c r="AU189" s="230">
        <f>1333*J188*POWER(10,-6)</f>
        <v>1.4396399999999998E-4</v>
      </c>
      <c r="AV189" s="231">
        <f t="shared" si="173"/>
        <v>0.10393721400000001</v>
      </c>
      <c r="AW189" s="232">
        <f t="shared" si="178"/>
        <v>0</v>
      </c>
      <c r="AX189" s="232">
        <f t="shared" si="179"/>
        <v>0</v>
      </c>
      <c r="AY189" s="232">
        <f t="shared" si="180"/>
        <v>9.6692790184200019E-6</v>
      </c>
    </row>
    <row r="190" spans="1:51" s="227" customFormat="1" x14ac:dyDescent="0.3">
      <c r="A190" s="228"/>
      <c r="B190" s="228"/>
      <c r="D190" s="274"/>
      <c r="E190" s="275"/>
      <c r="F190" s="276"/>
      <c r="G190" s="228"/>
      <c r="H190" s="232"/>
      <c r="I190" s="231"/>
      <c r="J190" s="228"/>
      <c r="K190" s="228"/>
      <c r="L190" s="228"/>
      <c r="AQ190" s="230"/>
      <c r="AR190" s="230"/>
      <c r="AS190" s="231"/>
      <c r="AT190" s="231"/>
      <c r="AU190" s="230"/>
      <c r="AV190" s="231"/>
      <c r="AW190" s="232"/>
      <c r="AX190" s="232"/>
      <c r="AY190" s="232"/>
    </row>
    <row r="191" spans="1:51" ht="15" thickBot="1" x14ac:dyDescent="0.35"/>
    <row r="192" spans="1:51" s="227" customFormat="1" ht="18" customHeight="1" x14ac:dyDescent="0.3">
      <c r="A192" s="218" t="s">
        <v>18</v>
      </c>
      <c r="B192" s="219" t="s">
        <v>293</v>
      </c>
      <c r="C192" s="53" t="s">
        <v>182</v>
      </c>
      <c r="D192" s="220" t="s">
        <v>297</v>
      </c>
      <c r="E192" s="221">
        <v>1.0000000000000001E-5</v>
      </c>
      <c r="F192" s="219">
        <v>1</v>
      </c>
      <c r="G192" s="218">
        <v>0.2</v>
      </c>
      <c r="H192" s="222">
        <f>E192*F192*G192</f>
        <v>2.0000000000000003E-6</v>
      </c>
      <c r="I192" s="223">
        <v>1.2</v>
      </c>
      <c r="J192" s="224">
        <f>I192</f>
        <v>1.2</v>
      </c>
      <c r="K192" s="225" t="s">
        <v>175</v>
      </c>
      <c r="L192" s="226">
        <v>0</v>
      </c>
      <c r="M192" s="227" t="str">
        <f t="shared" ref="M192:M199" si="181">A192</f>
        <v>С1</v>
      </c>
      <c r="N192" s="227" t="str">
        <f t="shared" ref="N192:N199" si="182">B192</f>
        <v>Трубопровод СУГ+токси</v>
      </c>
      <c r="O192" s="227" t="str">
        <f t="shared" ref="O192:O199" si="183">D192</f>
        <v>Полное-факельное горение</v>
      </c>
      <c r="P192" s="227" t="s">
        <v>83</v>
      </c>
      <c r="Q192" s="227" t="s">
        <v>83</v>
      </c>
      <c r="R192" s="227" t="s">
        <v>83</v>
      </c>
      <c r="S192" s="227" t="s">
        <v>83</v>
      </c>
      <c r="T192" s="227" t="s">
        <v>83</v>
      </c>
      <c r="U192" s="227" t="s">
        <v>83</v>
      </c>
      <c r="V192" s="227" t="s">
        <v>83</v>
      </c>
      <c r="W192" s="227" t="s">
        <v>83</v>
      </c>
      <c r="X192" s="227" t="s">
        <v>83</v>
      </c>
      <c r="Y192" s="227" t="s">
        <v>83</v>
      </c>
      <c r="Z192" s="227" t="s">
        <v>83</v>
      </c>
      <c r="AA192" s="227" t="s">
        <v>83</v>
      </c>
      <c r="AB192" s="227" t="s">
        <v>83</v>
      </c>
      <c r="AC192" s="227" t="s">
        <v>83</v>
      </c>
      <c r="AD192" s="227" t="s">
        <v>83</v>
      </c>
      <c r="AE192" s="227" t="s">
        <v>83</v>
      </c>
      <c r="AF192" s="227" t="s">
        <v>83</v>
      </c>
      <c r="AG192" s="227" t="s">
        <v>83</v>
      </c>
      <c r="AH192" s="227" t="s">
        <v>83</v>
      </c>
      <c r="AI192" s="227" t="s">
        <v>83</v>
      </c>
      <c r="AJ192" s="228">
        <v>1</v>
      </c>
      <c r="AK192" s="228">
        <v>2</v>
      </c>
      <c r="AL192" s="229">
        <v>0.75</v>
      </c>
      <c r="AM192" s="229">
        <v>2.7E-2</v>
      </c>
      <c r="AN192" s="229">
        <v>3</v>
      </c>
      <c r="AQ192" s="230">
        <f>AM192*I192+AL192</f>
        <v>0.78239999999999998</v>
      </c>
      <c r="AR192" s="230">
        <f>0.1*AQ192</f>
        <v>7.8240000000000004E-2</v>
      </c>
      <c r="AS192" s="231">
        <f>AJ192*3+0.25*AK192</f>
        <v>3.5</v>
      </c>
      <c r="AT192" s="231">
        <f>SUM(AQ192:AS192)/4</f>
        <v>1.09016</v>
      </c>
      <c r="AU192" s="230">
        <f>10068.2*J192*POWER(10,-6)</f>
        <v>1.208184E-2</v>
      </c>
      <c r="AV192" s="231">
        <f t="shared" ref="AV192:AV199" si="184">AU192+AT192+AS192+AR192+AQ192</f>
        <v>5.4628818399999997</v>
      </c>
      <c r="AW192" s="232">
        <f>AJ192*H192</f>
        <v>2.0000000000000003E-6</v>
      </c>
      <c r="AX192" s="232">
        <f>H192*AK192</f>
        <v>4.0000000000000007E-6</v>
      </c>
      <c r="AY192" s="232">
        <f>H192*AV192</f>
        <v>1.0925763680000002E-5</v>
      </c>
    </row>
    <row r="193" spans="1:51" s="227" customFormat="1" x14ac:dyDescent="0.3">
      <c r="A193" s="218" t="s">
        <v>19</v>
      </c>
      <c r="B193" s="218" t="str">
        <f>B192</f>
        <v>Трубопровод СУГ+токси</v>
      </c>
      <c r="C193" s="53" t="s">
        <v>160</v>
      </c>
      <c r="D193" s="220" t="s">
        <v>62</v>
      </c>
      <c r="E193" s="233">
        <f>E192</f>
        <v>1.0000000000000001E-5</v>
      </c>
      <c r="F193" s="234">
        <f>F192</f>
        <v>1</v>
      </c>
      <c r="G193" s="218">
        <v>0.1152</v>
      </c>
      <c r="H193" s="222">
        <f t="shared" ref="H193:H199" si="185">E193*F193*G193</f>
        <v>1.1520000000000002E-6</v>
      </c>
      <c r="I193" s="235">
        <f>I192</f>
        <v>1.2</v>
      </c>
      <c r="J193" s="280">
        <f>0.1*I192</f>
        <v>0.12</v>
      </c>
      <c r="K193" s="236" t="s">
        <v>176</v>
      </c>
      <c r="L193" s="237">
        <v>0</v>
      </c>
      <c r="M193" s="227" t="str">
        <f t="shared" si="181"/>
        <v>С2</v>
      </c>
      <c r="N193" s="227" t="str">
        <f t="shared" si="182"/>
        <v>Трубопровод СУГ+токси</v>
      </c>
      <c r="O193" s="227" t="str">
        <f t="shared" si="183"/>
        <v>Полное-взрыв</v>
      </c>
      <c r="P193" s="227" t="s">
        <v>83</v>
      </c>
      <c r="Q193" s="227" t="s">
        <v>83</v>
      </c>
      <c r="R193" s="227" t="s">
        <v>83</v>
      </c>
      <c r="S193" s="227" t="s">
        <v>83</v>
      </c>
      <c r="T193" s="227" t="s">
        <v>83</v>
      </c>
      <c r="U193" s="227" t="s">
        <v>83</v>
      </c>
      <c r="V193" s="227" t="s">
        <v>83</v>
      </c>
      <c r="W193" s="227" t="s">
        <v>83</v>
      </c>
      <c r="X193" s="227" t="s">
        <v>83</v>
      </c>
      <c r="Y193" s="227" t="s">
        <v>83</v>
      </c>
      <c r="Z193" s="227" t="s">
        <v>83</v>
      </c>
      <c r="AA193" s="227" t="s">
        <v>83</v>
      </c>
      <c r="AB193" s="227" t="s">
        <v>83</v>
      </c>
      <c r="AC193" s="227" t="s">
        <v>83</v>
      </c>
      <c r="AD193" s="227" t="s">
        <v>83</v>
      </c>
      <c r="AE193" s="227" t="s">
        <v>83</v>
      </c>
      <c r="AF193" s="227" t="s">
        <v>83</v>
      </c>
      <c r="AG193" s="227" t="s">
        <v>83</v>
      </c>
      <c r="AH193" s="227" t="s">
        <v>83</v>
      </c>
      <c r="AI193" s="227" t="s">
        <v>83</v>
      </c>
      <c r="AJ193" s="228">
        <v>2</v>
      </c>
      <c r="AK193" s="228">
        <v>2</v>
      </c>
      <c r="AL193" s="227">
        <f>AL192</f>
        <v>0.75</v>
      </c>
      <c r="AM193" s="227">
        <f>AM192</f>
        <v>2.7E-2</v>
      </c>
      <c r="AN193" s="227">
        <f>AN192</f>
        <v>3</v>
      </c>
      <c r="AQ193" s="230">
        <f>AM193*I193+AL193</f>
        <v>0.78239999999999998</v>
      </c>
      <c r="AR193" s="230">
        <f t="shared" ref="AR193:AR199" si="186">0.1*AQ193</f>
        <v>7.8240000000000004E-2</v>
      </c>
      <c r="AS193" s="231">
        <f t="shared" ref="AS193:AS199" si="187">AJ193*3+0.25*AK193</f>
        <v>6.5</v>
      </c>
      <c r="AT193" s="231">
        <f t="shared" ref="AT193:AT199" si="188">SUM(AQ193:AS193)/4</f>
        <v>1.84016</v>
      </c>
      <c r="AU193" s="230">
        <f>10068.2*J193*POWER(10,-6)*10</f>
        <v>1.208184E-2</v>
      </c>
      <c r="AV193" s="231">
        <f t="shared" si="184"/>
        <v>9.2128818399999979</v>
      </c>
      <c r="AW193" s="232">
        <f t="shared" ref="AW193:AW199" si="189">AJ193*H193</f>
        <v>2.3040000000000003E-6</v>
      </c>
      <c r="AX193" s="232">
        <f t="shared" ref="AX193:AX199" si="190">H193*AK193</f>
        <v>2.3040000000000003E-6</v>
      </c>
      <c r="AY193" s="232">
        <f t="shared" ref="AY193:AY199" si="191">H193*AV193</f>
        <v>1.061323987968E-5</v>
      </c>
    </row>
    <row r="194" spans="1:51" s="227" customFormat="1" x14ac:dyDescent="0.3">
      <c r="A194" s="218" t="s">
        <v>20</v>
      </c>
      <c r="B194" s="218" t="str">
        <f>B192</f>
        <v>Трубопровод СУГ+токси</v>
      </c>
      <c r="C194" s="53" t="s">
        <v>296</v>
      </c>
      <c r="D194" s="220" t="s">
        <v>294</v>
      </c>
      <c r="E194" s="233">
        <f>E192</f>
        <v>1.0000000000000001E-5</v>
      </c>
      <c r="F194" s="234">
        <f>F192</f>
        <v>1</v>
      </c>
      <c r="G194" s="218">
        <v>7.6799999999999993E-2</v>
      </c>
      <c r="H194" s="222">
        <f t="shared" si="185"/>
        <v>7.6799999999999999E-7</v>
      </c>
      <c r="I194" s="235">
        <f>I192</f>
        <v>1.2</v>
      </c>
      <c r="J194" s="224">
        <f>0.6*I192</f>
        <v>0.72</v>
      </c>
      <c r="K194" s="236" t="s">
        <v>177</v>
      </c>
      <c r="L194" s="237">
        <v>15</v>
      </c>
      <c r="M194" s="227" t="str">
        <f t="shared" si="181"/>
        <v>С3</v>
      </c>
      <c r="N194" s="227" t="str">
        <f t="shared" si="182"/>
        <v>Трубопровод СУГ+токси</v>
      </c>
      <c r="O194" s="227" t="str">
        <f t="shared" si="183"/>
        <v>Полное-огненный шар</v>
      </c>
      <c r="P194" s="227" t="s">
        <v>83</v>
      </c>
      <c r="Q194" s="227" t="s">
        <v>83</v>
      </c>
      <c r="R194" s="227" t="s">
        <v>83</v>
      </c>
      <c r="S194" s="227" t="s">
        <v>83</v>
      </c>
      <c r="T194" s="227" t="s">
        <v>83</v>
      </c>
      <c r="U194" s="227" t="s">
        <v>83</v>
      </c>
      <c r="V194" s="227" t="s">
        <v>83</v>
      </c>
      <c r="W194" s="227" t="s">
        <v>83</v>
      </c>
      <c r="X194" s="227" t="s">
        <v>83</v>
      </c>
      <c r="Y194" s="227" t="s">
        <v>83</v>
      </c>
      <c r="Z194" s="227" t="s">
        <v>83</v>
      </c>
      <c r="AA194" s="227" t="s">
        <v>83</v>
      </c>
      <c r="AB194" s="227" t="s">
        <v>83</v>
      </c>
      <c r="AC194" s="227" t="s">
        <v>83</v>
      </c>
      <c r="AD194" s="227" t="s">
        <v>83</v>
      </c>
      <c r="AE194" s="227" t="s">
        <v>83</v>
      </c>
      <c r="AF194" s="227" t="s">
        <v>83</v>
      </c>
      <c r="AG194" s="227" t="s">
        <v>83</v>
      </c>
      <c r="AH194" s="227" t="s">
        <v>83</v>
      </c>
      <c r="AI194" s="227" t="s">
        <v>83</v>
      </c>
      <c r="AJ194" s="227">
        <v>0</v>
      </c>
      <c r="AK194" s="227">
        <v>0</v>
      </c>
      <c r="AL194" s="227">
        <f>AL192</f>
        <v>0.75</v>
      </c>
      <c r="AM194" s="227">
        <f>AM192</f>
        <v>2.7E-2</v>
      </c>
      <c r="AN194" s="227">
        <f>AN192</f>
        <v>3</v>
      </c>
      <c r="AQ194" s="230">
        <f>AM194*I194*0.1+AL194</f>
        <v>0.75324000000000002</v>
      </c>
      <c r="AR194" s="230">
        <f t="shared" si="186"/>
        <v>7.5324000000000002E-2</v>
      </c>
      <c r="AS194" s="231">
        <f t="shared" si="187"/>
        <v>0</v>
      </c>
      <c r="AT194" s="231">
        <f t="shared" si="188"/>
        <v>0.20714100000000002</v>
      </c>
      <c r="AU194" s="230">
        <f>1333*J192*POWER(10,-6)</f>
        <v>1.5995999999999999E-3</v>
      </c>
      <c r="AV194" s="231">
        <f t="shared" si="184"/>
        <v>1.0373046000000001</v>
      </c>
      <c r="AW194" s="232">
        <f t="shared" si="189"/>
        <v>0</v>
      </c>
      <c r="AX194" s="232">
        <f t="shared" si="190"/>
        <v>0</v>
      </c>
      <c r="AY194" s="232">
        <f t="shared" si="191"/>
        <v>7.9664993280000006E-7</v>
      </c>
    </row>
    <row r="195" spans="1:51" s="227" customFormat="1" x14ac:dyDescent="0.3">
      <c r="A195" s="218" t="s">
        <v>21</v>
      </c>
      <c r="B195" s="218" t="str">
        <f>B192</f>
        <v>Трубопровод СУГ+токси</v>
      </c>
      <c r="C195" s="53" t="s">
        <v>161</v>
      </c>
      <c r="D195" s="220" t="s">
        <v>60</v>
      </c>
      <c r="E195" s="233">
        <f>E192</f>
        <v>1.0000000000000001E-5</v>
      </c>
      <c r="F195" s="234">
        <f>F192</f>
        <v>1</v>
      </c>
      <c r="G195" s="218">
        <v>0.60799999999999998</v>
      </c>
      <c r="H195" s="222">
        <f t="shared" si="185"/>
        <v>6.0800000000000002E-6</v>
      </c>
      <c r="I195" s="235">
        <f>I192</f>
        <v>1.2</v>
      </c>
      <c r="J195" s="238">
        <v>0</v>
      </c>
      <c r="K195" s="236" t="s">
        <v>179</v>
      </c>
      <c r="L195" s="237">
        <v>45390</v>
      </c>
      <c r="M195" s="227" t="str">
        <f t="shared" si="181"/>
        <v>С4</v>
      </c>
      <c r="N195" s="227" t="str">
        <f t="shared" si="182"/>
        <v>Трубопровод СУГ+токси</v>
      </c>
      <c r="O195" s="227" t="str">
        <f t="shared" si="183"/>
        <v>Полное-ликвидация</v>
      </c>
      <c r="P195" s="227" t="s">
        <v>83</v>
      </c>
      <c r="Q195" s="227" t="s">
        <v>83</v>
      </c>
      <c r="R195" s="227" t="s">
        <v>83</v>
      </c>
      <c r="S195" s="227" t="s">
        <v>83</v>
      </c>
      <c r="T195" s="227" t="s">
        <v>83</v>
      </c>
      <c r="U195" s="227" t="s">
        <v>83</v>
      </c>
      <c r="V195" s="227" t="s">
        <v>83</v>
      </c>
      <c r="W195" s="227" t="s">
        <v>83</v>
      </c>
      <c r="X195" s="227" t="s">
        <v>83</v>
      </c>
      <c r="Y195" s="227" t="s">
        <v>83</v>
      </c>
      <c r="Z195" s="227" t="s">
        <v>83</v>
      </c>
      <c r="AA195" s="227" t="s">
        <v>83</v>
      </c>
      <c r="AB195" s="227" t="s">
        <v>83</v>
      </c>
      <c r="AC195" s="227" t="s">
        <v>83</v>
      </c>
      <c r="AD195" s="227" t="s">
        <v>83</v>
      </c>
      <c r="AE195" s="227" t="s">
        <v>83</v>
      </c>
      <c r="AF195" s="227" t="s">
        <v>83</v>
      </c>
      <c r="AG195" s="227" t="s">
        <v>83</v>
      </c>
      <c r="AH195" s="227" t="s">
        <v>83</v>
      </c>
      <c r="AI195" s="227" t="s">
        <v>83</v>
      </c>
      <c r="AJ195" s="227">
        <v>1</v>
      </c>
      <c r="AK195" s="227">
        <v>1</v>
      </c>
      <c r="AL195" s="227">
        <f>AL192</f>
        <v>0.75</v>
      </c>
      <c r="AM195" s="227">
        <f>AM192</f>
        <v>2.7E-2</v>
      </c>
      <c r="AN195" s="227">
        <f>AN192</f>
        <v>3</v>
      </c>
      <c r="AQ195" s="230">
        <f>AM195*I195*0.1+AL195</f>
        <v>0.75324000000000002</v>
      </c>
      <c r="AR195" s="230">
        <f t="shared" si="186"/>
        <v>7.5324000000000002E-2</v>
      </c>
      <c r="AS195" s="231">
        <f t="shared" si="187"/>
        <v>3.25</v>
      </c>
      <c r="AT195" s="231">
        <f t="shared" si="188"/>
        <v>1.019641</v>
      </c>
      <c r="AU195" s="230">
        <f>1333*J193*POWER(10,-6)</f>
        <v>1.5996000000000001E-4</v>
      </c>
      <c r="AV195" s="231">
        <f t="shared" si="184"/>
        <v>5.0983649599999996</v>
      </c>
      <c r="AW195" s="232">
        <f t="shared" si="189"/>
        <v>6.0800000000000002E-6</v>
      </c>
      <c r="AX195" s="232">
        <f t="shared" si="190"/>
        <v>6.0800000000000002E-6</v>
      </c>
      <c r="AY195" s="232">
        <f t="shared" si="191"/>
        <v>3.0998058956799997E-5</v>
      </c>
    </row>
    <row r="196" spans="1:51" s="227" customFormat="1" x14ac:dyDescent="0.3">
      <c r="A196" s="218" t="s">
        <v>22</v>
      </c>
      <c r="B196" s="218" t="str">
        <f>B192</f>
        <v>Трубопровод СУГ+токси</v>
      </c>
      <c r="C196" s="53" t="s">
        <v>186</v>
      </c>
      <c r="D196" s="220" t="s">
        <v>187</v>
      </c>
      <c r="E196" s="221">
        <v>1E-4</v>
      </c>
      <c r="F196" s="234">
        <f>F192</f>
        <v>1</v>
      </c>
      <c r="G196" s="218">
        <v>3.5000000000000003E-2</v>
      </c>
      <c r="H196" s="222">
        <f t="shared" si="185"/>
        <v>3.5000000000000004E-6</v>
      </c>
      <c r="I196" s="235">
        <f>0.15*I192</f>
        <v>0.18</v>
      </c>
      <c r="J196" s="224">
        <f>I196</f>
        <v>0.18</v>
      </c>
      <c r="K196" s="236" t="s">
        <v>180</v>
      </c>
      <c r="L196" s="237">
        <v>3</v>
      </c>
      <c r="M196" s="227" t="str">
        <f t="shared" si="181"/>
        <v>С5</v>
      </c>
      <c r="N196" s="227" t="str">
        <f t="shared" si="182"/>
        <v>Трубопровод СУГ+токси</v>
      </c>
      <c r="O196" s="227" t="str">
        <f t="shared" si="183"/>
        <v>Частичное-факел</v>
      </c>
      <c r="P196" s="227" t="s">
        <v>83</v>
      </c>
      <c r="Q196" s="227" t="s">
        <v>83</v>
      </c>
      <c r="R196" s="227" t="s">
        <v>83</v>
      </c>
      <c r="S196" s="227" t="s">
        <v>83</v>
      </c>
      <c r="T196" s="227" t="s">
        <v>83</v>
      </c>
      <c r="U196" s="227" t="s">
        <v>83</v>
      </c>
      <c r="V196" s="227" t="s">
        <v>83</v>
      </c>
      <c r="W196" s="227" t="s">
        <v>83</v>
      </c>
      <c r="X196" s="227" t="s">
        <v>83</v>
      </c>
      <c r="Y196" s="227" t="s">
        <v>83</v>
      </c>
      <c r="Z196" s="227" t="s">
        <v>83</v>
      </c>
      <c r="AA196" s="227" t="s">
        <v>83</v>
      </c>
      <c r="AB196" s="227" t="s">
        <v>83</v>
      </c>
      <c r="AC196" s="227" t="s">
        <v>83</v>
      </c>
      <c r="AD196" s="227" t="s">
        <v>83</v>
      </c>
      <c r="AE196" s="227" t="s">
        <v>83</v>
      </c>
      <c r="AF196" s="227" t="s">
        <v>83</v>
      </c>
      <c r="AG196" s="227" t="s">
        <v>83</v>
      </c>
      <c r="AH196" s="227" t="s">
        <v>83</v>
      </c>
      <c r="AI196" s="227" t="s">
        <v>83</v>
      </c>
      <c r="AJ196" s="227">
        <v>0</v>
      </c>
      <c r="AK196" s="227">
        <v>2</v>
      </c>
      <c r="AL196" s="227">
        <f>0.1*$AL$2</f>
        <v>7.5000000000000011E-2</v>
      </c>
      <c r="AM196" s="227">
        <f>AM192</f>
        <v>2.7E-2</v>
      </c>
      <c r="AN196" s="227">
        <f>ROUNDUP(AN192/3,0)</f>
        <v>1</v>
      </c>
      <c r="AQ196" s="230">
        <f>AM196*I196+AL196</f>
        <v>7.9860000000000014E-2</v>
      </c>
      <c r="AR196" s="230">
        <f t="shared" si="186"/>
        <v>7.9860000000000018E-3</v>
      </c>
      <c r="AS196" s="231">
        <f t="shared" si="187"/>
        <v>0.5</v>
      </c>
      <c r="AT196" s="231">
        <f t="shared" si="188"/>
        <v>0.14696149999999999</v>
      </c>
      <c r="AU196" s="230">
        <f>10068.2*J196*POWER(10,-6)</f>
        <v>1.812276E-3</v>
      </c>
      <c r="AV196" s="231">
        <f t="shared" si="184"/>
        <v>0.73661977600000006</v>
      </c>
      <c r="AW196" s="232">
        <f t="shared" si="189"/>
        <v>0</v>
      </c>
      <c r="AX196" s="232">
        <f t="shared" si="190"/>
        <v>7.0000000000000007E-6</v>
      </c>
      <c r="AY196" s="232">
        <f t="shared" si="191"/>
        <v>2.5781692160000003E-6</v>
      </c>
    </row>
    <row r="197" spans="1:51" s="227" customFormat="1" x14ac:dyDescent="0.3">
      <c r="A197" s="218" t="s">
        <v>23</v>
      </c>
      <c r="B197" s="218" t="str">
        <f>B192</f>
        <v>Трубопровод СУГ+токси</v>
      </c>
      <c r="C197" s="53" t="s">
        <v>188</v>
      </c>
      <c r="D197" s="220" t="s">
        <v>189</v>
      </c>
      <c r="E197" s="233">
        <f>E196</f>
        <v>1E-4</v>
      </c>
      <c r="F197" s="234">
        <v>1</v>
      </c>
      <c r="G197" s="218">
        <v>8.3000000000000001E-3</v>
      </c>
      <c r="H197" s="222">
        <f t="shared" si="185"/>
        <v>8.300000000000001E-7</v>
      </c>
      <c r="I197" s="235">
        <f>I196</f>
        <v>0.18</v>
      </c>
      <c r="J197" s="224">
        <f>J193*0.15</f>
        <v>1.7999999999999999E-2</v>
      </c>
      <c r="K197" s="239" t="s">
        <v>191</v>
      </c>
      <c r="L197" s="240">
        <v>20</v>
      </c>
      <c r="M197" s="227" t="str">
        <f t="shared" si="181"/>
        <v>С6</v>
      </c>
      <c r="N197" s="227" t="str">
        <f t="shared" si="182"/>
        <v>Трубопровод СУГ+токси</v>
      </c>
      <c r="O197" s="227" t="str">
        <f t="shared" si="183"/>
        <v>Частичное-взрыв</v>
      </c>
      <c r="P197" s="227" t="s">
        <v>83</v>
      </c>
      <c r="Q197" s="227" t="s">
        <v>83</v>
      </c>
      <c r="R197" s="227" t="s">
        <v>83</v>
      </c>
      <c r="S197" s="227" t="s">
        <v>83</v>
      </c>
      <c r="T197" s="227" t="s">
        <v>83</v>
      </c>
      <c r="U197" s="227" t="s">
        <v>83</v>
      </c>
      <c r="V197" s="227" t="s">
        <v>83</v>
      </c>
      <c r="W197" s="227" t="s">
        <v>83</v>
      </c>
      <c r="X197" s="227" t="s">
        <v>83</v>
      </c>
      <c r="Y197" s="227" t="s">
        <v>83</v>
      </c>
      <c r="Z197" s="227" t="s">
        <v>83</v>
      </c>
      <c r="AA197" s="227" t="s">
        <v>83</v>
      </c>
      <c r="AB197" s="227" t="s">
        <v>83</v>
      </c>
      <c r="AC197" s="227" t="s">
        <v>83</v>
      </c>
      <c r="AD197" s="227" t="s">
        <v>83</v>
      </c>
      <c r="AE197" s="227" t="s">
        <v>83</v>
      </c>
      <c r="AF197" s="227" t="s">
        <v>83</v>
      </c>
      <c r="AG197" s="227" t="s">
        <v>83</v>
      </c>
      <c r="AH197" s="227" t="s">
        <v>83</v>
      </c>
      <c r="AI197" s="227" t="s">
        <v>83</v>
      </c>
      <c r="AJ197" s="227">
        <v>0</v>
      </c>
      <c r="AK197" s="227">
        <v>2</v>
      </c>
      <c r="AL197" s="227">
        <f>0.1*$AL$2</f>
        <v>7.5000000000000011E-2</v>
      </c>
      <c r="AM197" s="227">
        <f>AM192</f>
        <v>2.7E-2</v>
      </c>
      <c r="AN197" s="227">
        <f>AN196</f>
        <v>1</v>
      </c>
      <c r="AQ197" s="230">
        <f>AM197*I197+AL197</f>
        <v>7.9860000000000014E-2</v>
      </c>
      <c r="AR197" s="230">
        <f t="shared" si="186"/>
        <v>7.9860000000000018E-3</v>
      </c>
      <c r="AS197" s="231">
        <f t="shared" si="187"/>
        <v>0.5</v>
      </c>
      <c r="AT197" s="231">
        <f t="shared" si="188"/>
        <v>0.14696149999999999</v>
      </c>
      <c r="AU197" s="230">
        <f>10068.2*J197*POWER(10,-6)*10</f>
        <v>1.8122759999999998E-3</v>
      </c>
      <c r="AV197" s="231">
        <f t="shared" si="184"/>
        <v>0.73661977600000006</v>
      </c>
      <c r="AW197" s="232">
        <f t="shared" si="189"/>
        <v>0</v>
      </c>
      <c r="AX197" s="232">
        <f t="shared" si="190"/>
        <v>1.6600000000000002E-6</v>
      </c>
      <c r="AY197" s="232">
        <f t="shared" si="191"/>
        <v>6.1139441408000009E-7</v>
      </c>
    </row>
    <row r="198" spans="1:51" s="227" customFormat="1" x14ac:dyDescent="0.3">
      <c r="A198" s="218" t="s">
        <v>210</v>
      </c>
      <c r="B198" s="218" t="str">
        <f>B192</f>
        <v>Трубопровод СУГ+токси</v>
      </c>
      <c r="C198" s="53" t="s">
        <v>163</v>
      </c>
      <c r="D198" s="220" t="s">
        <v>165</v>
      </c>
      <c r="E198" s="233">
        <f>E196</f>
        <v>1E-4</v>
      </c>
      <c r="F198" s="234">
        <f>F192</f>
        <v>1</v>
      </c>
      <c r="G198" s="218">
        <v>2.64E-2</v>
      </c>
      <c r="H198" s="222">
        <f t="shared" si="185"/>
        <v>2.6400000000000001E-6</v>
      </c>
      <c r="I198" s="235">
        <f>0.15*I192</f>
        <v>0.18</v>
      </c>
      <c r="J198" s="224">
        <f>J194*0.15</f>
        <v>0.108</v>
      </c>
      <c r="K198" s="236"/>
      <c r="L198" s="237"/>
      <c r="M198" s="227" t="str">
        <f t="shared" si="181"/>
        <v>С7</v>
      </c>
      <c r="N198" s="227" t="str">
        <f t="shared" si="182"/>
        <v>Трубопровод СУГ+токси</v>
      </c>
      <c r="O198" s="227" t="str">
        <f t="shared" si="183"/>
        <v>Частичное-пожар-вспышка</v>
      </c>
      <c r="P198" s="227" t="s">
        <v>83</v>
      </c>
      <c r="Q198" s="227" t="s">
        <v>83</v>
      </c>
      <c r="R198" s="227" t="s">
        <v>83</v>
      </c>
      <c r="S198" s="227" t="s">
        <v>83</v>
      </c>
      <c r="T198" s="227" t="s">
        <v>83</v>
      </c>
      <c r="U198" s="227" t="s">
        <v>83</v>
      </c>
      <c r="V198" s="227" t="s">
        <v>83</v>
      </c>
      <c r="W198" s="227" t="s">
        <v>83</v>
      </c>
      <c r="X198" s="227" t="s">
        <v>83</v>
      </c>
      <c r="Y198" s="227" t="s">
        <v>83</v>
      </c>
      <c r="Z198" s="227" t="s">
        <v>83</v>
      </c>
      <c r="AA198" s="227" t="s">
        <v>83</v>
      </c>
      <c r="AB198" s="227" t="s">
        <v>83</v>
      </c>
      <c r="AC198" s="227" t="s">
        <v>83</v>
      </c>
      <c r="AD198" s="227" t="s">
        <v>83</v>
      </c>
      <c r="AE198" s="227" t="s">
        <v>83</v>
      </c>
      <c r="AF198" s="227" t="s">
        <v>83</v>
      </c>
      <c r="AG198" s="227" t="s">
        <v>83</v>
      </c>
      <c r="AH198" s="227" t="s">
        <v>83</v>
      </c>
      <c r="AI198" s="227" t="s">
        <v>83</v>
      </c>
      <c r="AJ198" s="227">
        <v>0</v>
      </c>
      <c r="AK198" s="227">
        <v>1</v>
      </c>
      <c r="AL198" s="227">
        <f>0.1*$AL$2</f>
        <v>7.5000000000000011E-2</v>
      </c>
      <c r="AM198" s="227">
        <f>AM192</f>
        <v>2.7E-2</v>
      </c>
      <c r="AN198" s="227">
        <f>ROUNDUP(AN192/3,0)</f>
        <v>1</v>
      </c>
      <c r="AQ198" s="230">
        <f>AM198*I198+AL198</f>
        <v>7.9860000000000014E-2</v>
      </c>
      <c r="AR198" s="230">
        <f t="shared" si="186"/>
        <v>7.9860000000000018E-3</v>
      </c>
      <c r="AS198" s="231">
        <f t="shared" si="187"/>
        <v>0.25</v>
      </c>
      <c r="AT198" s="231">
        <f t="shared" si="188"/>
        <v>8.4461500000000009E-2</v>
      </c>
      <c r="AU198" s="230">
        <f>10068.2*J198*POWER(10,-6)*10</f>
        <v>1.0873656000000001E-2</v>
      </c>
      <c r="AV198" s="231">
        <f t="shared" si="184"/>
        <v>0.43318115599999996</v>
      </c>
      <c r="AW198" s="232">
        <f t="shared" si="189"/>
        <v>0</v>
      </c>
      <c r="AX198" s="232">
        <f t="shared" si="190"/>
        <v>2.6400000000000001E-6</v>
      </c>
      <c r="AY198" s="232">
        <f t="shared" si="191"/>
        <v>1.1435982518399999E-6</v>
      </c>
    </row>
    <row r="199" spans="1:51" s="227" customFormat="1" ht="15" thickBot="1" x14ac:dyDescent="0.35">
      <c r="A199" s="218" t="s">
        <v>211</v>
      </c>
      <c r="B199" s="218" t="str">
        <f>B192</f>
        <v>Трубопровод СУГ+токси</v>
      </c>
      <c r="C199" s="53" t="s">
        <v>164</v>
      </c>
      <c r="D199" s="220" t="s">
        <v>61</v>
      </c>
      <c r="E199" s="233">
        <f>E196</f>
        <v>1E-4</v>
      </c>
      <c r="F199" s="234">
        <f>F192</f>
        <v>1</v>
      </c>
      <c r="G199" s="218">
        <v>0.93030000000000002</v>
      </c>
      <c r="H199" s="222">
        <f t="shared" si="185"/>
        <v>9.3030000000000009E-5</v>
      </c>
      <c r="I199" s="235">
        <f>0.15*I192</f>
        <v>0.18</v>
      </c>
      <c r="J199" s="238">
        <v>0</v>
      </c>
      <c r="K199" s="241"/>
      <c r="L199" s="242"/>
      <c r="M199" s="227" t="str">
        <f t="shared" si="181"/>
        <v>С8</v>
      </c>
      <c r="N199" s="227" t="str">
        <f t="shared" si="182"/>
        <v>Трубопровод СУГ+токси</v>
      </c>
      <c r="O199" s="227" t="str">
        <f t="shared" si="183"/>
        <v>Частичное-ликвидация</v>
      </c>
      <c r="P199" s="227" t="s">
        <v>83</v>
      </c>
      <c r="Q199" s="227" t="s">
        <v>83</v>
      </c>
      <c r="R199" s="227" t="s">
        <v>83</v>
      </c>
      <c r="S199" s="227" t="s">
        <v>83</v>
      </c>
      <c r="T199" s="227" t="s">
        <v>83</v>
      </c>
      <c r="U199" s="227" t="s">
        <v>83</v>
      </c>
      <c r="V199" s="227" t="s">
        <v>83</v>
      </c>
      <c r="W199" s="227" t="s">
        <v>83</v>
      </c>
      <c r="X199" s="227" t="s">
        <v>83</v>
      </c>
      <c r="Y199" s="227" t="s">
        <v>83</v>
      </c>
      <c r="Z199" s="227" t="s">
        <v>83</v>
      </c>
      <c r="AA199" s="227" t="s">
        <v>83</v>
      </c>
      <c r="AB199" s="227" t="s">
        <v>83</v>
      </c>
      <c r="AC199" s="227" t="s">
        <v>83</v>
      </c>
      <c r="AD199" s="227" t="s">
        <v>83</v>
      </c>
      <c r="AE199" s="227" t="s">
        <v>83</v>
      </c>
      <c r="AF199" s="227" t="s">
        <v>83</v>
      </c>
      <c r="AG199" s="227" t="s">
        <v>83</v>
      </c>
      <c r="AH199" s="227" t="s">
        <v>83</v>
      </c>
      <c r="AI199" s="227" t="s">
        <v>83</v>
      </c>
      <c r="AJ199" s="227">
        <v>0</v>
      </c>
      <c r="AK199" s="227">
        <v>1</v>
      </c>
      <c r="AL199" s="227">
        <f>0.1*$AL$2</f>
        <v>7.5000000000000011E-2</v>
      </c>
      <c r="AM199" s="227">
        <f>AM192</f>
        <v>2.7E-2</v>
      </c>
      <c r="AN199" s="227">
        <f>ROUNDUP(AN192/3,0)</f>
        <v>1</v>
      </c>
      <c r="AQ199" s="230">
        <f>AM199*I199*0.1+AL199</f>
        <v>7.5486000000000011E-2</v>
      </c>
      <c r="AR199" s="230">
        <f t="shared" si="186"/>
        <v>7.5486000000000017E-3</v>
      </c>
      <c r="AS199" s="231">
        <f t="shared" si="187"/>
        <v>0.25</v>
      </c>
      <c r="AT199" s="231">
        <f t="shared" si="188"/>
        <v>8.3258650000000003E-2</v>
      </c>
      <c r="AU199" s="230">
        <f>1333*J198*POWER(10,-6)</f>
        <v>1.4396399999999998E-4</v>
      </c>
      <c r="AV199" s="231">
        <f t="shared" si="184"/>
        <v>0.416437214</v>
      </c>
      <c r="AW199" s="232">
        <f t="shared" si="189"/>
        <v>0</v>
      </c>
      <c r="AX199" s="232">
        <f t="shared" si="190"/>
        <v>9.3030000000000009E-5</v>
      </c>
      <c r="AY199" s="232">
        <f t="shared" si="191"/>
        <v>3.874115401842E-5</v>
      </c>
    </row>
    <row r="200" spans="1:51" s="227" customFormat="1" x14ac:dyDescent="0.3">
      <c r="A200" s="228"/>
      <c r="B200" s="228"/>
      <c r="D200" s="274"/>
      <c r="E200" s="275"/>
      <c r="F200" s="276"/>
      <c r="G200" s="228"/>
      <c r="H200" s="232"/>
      <c r="I200" s="231"/>
      <c r="J200" s="228"/>
      <c r="K200" s="228"/>
      <c r="L200" s="228"/>
      <c r="AQ200" s="230"/>
      <c r="AR200" s="230"/>
      <c r="AS200" s="231"/>
      <c r="AT200" s="231"/>
      <c r="AU200" s="230"/>
      <c r="AV200" s="231"/>
      <c r="AW200" s="232"/>
      <c r="AX200" s="232"/>
      <c r="AY200" s="232"/>
    </row>
    <row r="201" spans="1:51" ht="15" thickBot="1" x14ac:dyDescent="0.35"/>
    <row r="202" spans="1:51" s="227" customFormat="1" ht="18" customHeight="1" x14ac:dyDescent="0.3">
      <c r="A202" s="218" t="s">
        <v>18</v>
      </c>
      <c r="B202" s="219" t="s">
        <v>298</v>
      </c>
      <c r="C202" s="53" t="s">
        <v>300</v>
      </c>
      <c r="D202" s="220" t="s">
        <v>301</v>
      </c>
      <c r="E202" s="221">
        <v>9.9999999999999995E-7</v>
      </c>
      <c r="F202" s="219">
        <v>2</v>
      </c>
      <c r="G202" s="218">
        <v>0.05</v>
      </c>
      <c r="H202" s="222">
        <f>E202*F202*G202</f>
        <v>9.9999999999999995E-8</v>
      </c>
      <c r="I202" s="223">
        <v>399</v>
      </c>
      <c r="J202" s="224">
        <f>0.03*I202</f>
        <v>11.969999999999999</v>
      </c>
      <c r="K202" s="225" t="s">
        <v>175</v>
      </c>
      <c r="L202" s="226">
        <v>2000</v>
      </c>
      <c r="M202" s="227" t="str">
        <f t="shared" ref="M202:M210" si="192">A202</f>
        <v>С1</v>
      </c>
      <c r="N202" s="227" t="str">
        <f t="shared" ref="N202:N209" si="193">B202</f>
        <v>Емкость СУГ</v>
      </c>
      <c r="O202" s="227" t="str">
        <f t="shared" ref="O202:O209" si="194">D202</f>
        <v>Полное-огенный шар</v>
      </c>
      <c r="P202" s="227" t="s">
        <v>83</v>
      </c>
      <c r="Q202" s="227" t="s">
        <v>83</v>
      </c>
      <c r="R202" s="227" t="s">
        <v>83</v>
      </c>
      <c r="S202" s="227" t="s">
        <v>83</v>
      </c>
      <c r="T202" s="227" t="s">
        <v>83</v>
      </c>
      <c r="U202" s="227" t="s">
        <v>83</v>
      </c>
      <c r="V202" s="227" t="s">
        <v>83</v>
      </c>
      <c r="W202" s="227" t="s">
        <v>83</v>
      </c>
      <c r="X202" s="227" t="s">
        <v>83</v>
      </c>
      <c r="Y202" s="227" t="s">
        <v>83</v>
      </c>
      <c r="Z202" s="227" t="s">
        <v>83</v>
      </c>
      <c r="AA202" s="227" t="s">
        <v>83</v>
      </c>
      <c r="AB202" s="227" t="s">
        <v>83</v>
      </c>
      <c r="AC202" s="227" t="s">
        <v>83</v>
      </c>
      <c r="AD202" s="227" t="s">
        <v>83</v>
      </c>
      <c r="AE202" s="227">
        <v>96.5</v>
      </c>
      <c r="AF202" s="227">
        <v>142.5</v>
      </c>
      <c r="AG202" s="227">
        <v>171</v>
      </c>
      <c r="AH202" s="227">
        <v>221.5</v>
      </c>
      <c r="AI202" s="227" t="s">
        <v>83</v>
      </c>
      <c r="AJ202" s="228">
        <v>1</v>
      </c>
      <c r="AK202" s="228">
        <v>2</v>
      </c>
      <c r="AL202" s="229">
        <v>5.36</v>
      </c>
      <c r="AM202" s="229">
        <v>2.7E-2</v>
      </c>
      <c r="AN202" s="229">
        <v>3</v>
      </c>
      <c r="AQ202" s="230">
        <f>AM202*I202+AL202</f>
        <v>16.132999999999999</v>
      </c>
      <c r="AR202" s="230">
        <f>0.1*AQ202</f>
        <v>1.6133</v>
      </c>
      <c r="AS202" s="231">
        <f>AJ202*3+0.25*AK202</f>
        <v>3.5</v>
      </c>
      <c r="AT202" s="231">
        <f>SUM(AQ202:AS202)/4</f>
        <v>5.3115749999999995</v>
      </c>
      <c r="AU202" s="230">
        <f>10068.2*J202*POWER(10,-6)</f>
        <v>0.12051635399999999</v>
      </c>
      <c r="AV202" s="231">
        <f t="shared" ref="AV202:AV210" si="195">AU202+AT202+AS202+AR202+AQ202</f>
        <v>26.678391353999999</v>
      </c>
      <c r="AW202" s="232">
        <f>AJ202*H202</f>
        <v>9.9999999999999995E-8</v>
      </c>
      <c r="AX202" s="232">
        <f>H202*AK202</f>
        <v>1.9999999999999999E-7</v>
      </c>
      <c r="AY202" s="232">
        <f t="shared" ref="AY202:AY210" si="196">H202*AV202</f>
        <v>2.6678391353999997E-6</v>
      </c>
    </row>
    <row r="203" spans="1:51" s="227" customFormat="1" x14ac:dyDescent="0.3">
      <c r="A203" s="218" t="s">
        <v>19</v>
      </c>
      <c r="B203" s="218" t="str">
        <f>B202</f>
        <v>Емкость СУГ</v>
      </c>
      <c r="C203" s="53" t="s">
        <v>202</v>
      </c>
      <c r="D203" s="220" t="s">
        <v>62</v>
      </c>
      <c r="E203" s="233">
        <f>E202</f>
        <v>9.9999999999999995E-7</v>
      </c>
      <c r="F203" s="234">
        <f>F202</f>
        <v>2</v>
      </c>
      <c r="G203" s="218">
        <v>0.19</v>
      </c>
      <c r="H203" s="222">
        <f t="shared" ref="H203:H210" si="197">E203*F203*G203</f>
        <v>3.7999999999999996E-7</v>
      </c>
      <c r="I203" s="235">
        <f>I202</f>
        <v>399</v>
      </c>
      <c r="J203" s="243">
        <v>0.35</v>
      </c>
      <c r="K203" s="236" t="s">
        <v>176</v>
      </c>
      <c r="L203" s="237">
        <v>2</v>
      </c>
      <c r="M203" s="227" t="str">
        <f t="shared" si="192"/>
        <v>С2</v>
      </c>
      <c r="N203" s="227" t="str">
        <f t="shared" si="193"/>
        <v>Емкость СУГ</v>
      </c>
      <c r="O203" s="227" t="str">
        <f t="shared" si="194"/>
        <v>Полное-взрыв</v>
      </c>
      <c r="P203" s="227" t="s">
        <v>83</v>
      </c>
      <c r="Q203" s="227" t="s">
        <v>83</v>
      </c>
      <c r="R203" s="227" t="s">
        <v>83</v>
      </c>
      <c r="S203" s="227" t="s">
        <v>83</v>
      </c>
      <c r="T203" s="227">
        <v>0</v>
      </c>
      <c r="U203" s="227">
        <v>0</v>
      </c>
      <c r="V203" s="227">
        <v>53.6</v>
      </c>
      <c r="W203" s="227">
        <v>178.1</v>
      </c>
      <c r="X203" s="227">
        <v>463.6</v>
      </c>
      <c r="Y203" s="227" t="s">
        <v>83</v>
      </c>
      <c r="Z203" s="227" t="s">
        <v>83</v>
      </c>
      <c r="AA203" s="227" t="s">
        <v>83</v>
      </c>
      <c r="AB203" s="227" t="s">
        <v>83</v>
      </c>
      <c r="AC203" s="227" t="s">
        <v>83</v>
      </c>
      <c r="AD203" s="227" t="s">
        <v>83</v>
      </c>
      <c r="AE203" s="227" t="s">
        <v>83</v>
      </c>
      <c r="AF203" s="227" t="s">
        <v>83</v>
      </c>
      <c r="AG203" s="227" t="s">
        <v>83</v>
      </c>
      <c r="AH203" s="227" t="s">
        <v>83</v>
      </c>
      <c r="AI203" s="227" t="s">
        <v>83</v>
      </c>
      <c r="AJ203" s="228">
        <v>2</v>
      </c>
      <c r="AK203" s="228">
        <v>2</v>
      </c>
      <c r="AL203" s="227">
        <f>AL202</f>
        <v>5.36</v>
      </c>
      <c r="AM203" s="227">
        <f>AM202</f>
        <v>2.7E-2</v>
      </c>
      <c r="AN203" s="227">
        <f>AN202</f>
        <v>3</v>
      </c>
      <c r="AQ203" s="230">
        <f>AM203*I203+AL203</f>
        <v>16.132999999999999</v>
      </c>
      <c r="AR203" s="230">
        <f t="shared" ref="AR203:AR209" si="198">0.1*AQ203</f>
        <v>1.6133</v>
      </c>
      <c r="AS203" s="231">
        <f t="shared" ref="AS203:AS209" si="199">AJ203*3+0.25*AK203</f>
        <v>6.5</v>
      </c>
      <c r="AT203" s="231">
        <f t="shared" ref="AT203:AT209" si="200">SUM(AQ203:AS203)/4</f>
        <v>6.0615749999999995</v>
      </c>
      <c r="AU203" s="230">
        <f>10068.2*J203*POWER(10,-6)*10</f>
        <v>3.5238699999999998E-2</v>
      </c>
      <c r="AV203" s="231">
        <f t="shared" si="195"/>
        <v>30.343113699999996</v>
      </c>
      <c r="AW203" s="232">
        <f t="shared" ref="AW203:AW209" si="201">AJ203*H203</f>
        <v>7.5999999999999992E-7</v>
      </c>
      <c r="AX203" s="232">
        <f t="shared" ref="AX203:AX209" si="202">H203*AK203</f>
        <v>7.5999999999999992E-7</v>
      </c>
      <c r="AY203" s="232">
        <f t="shared" si="196"/>
        <v>1.1530383205999997E-5</v>
      </c>
    </row>
    <row r="204" spans="1:51" s="227" customFormat="1" x14ac:dyDescent="0.3">
      <c r="A204" s="218" t="s">
        <v>20</v>
      </c>
      <c r="B204" s="218" t="str">
        <f>B202</f>
        <v>Емкость СУГ</v>
      </c>
      <c r="C204" s="53" t="s">
        <v>241</v>
      </c>
      <c r="D204" s="220" t="s">
        <v>60</v>
      </c>
      <c r="E204" s="233">
        <f>E202</f>
        <v>9.9999999999999995E-7</v>
      </c>
      <c r="F204" s="234">
        <f t="shared" ref="F204:F210" si="203">F203</f>
        <v>2</v>
      </c>
      <c r="G204" s="218">
        <v>0.76</v>
      </c>
      <c r="H204" s="222">
        <f t="shared" si="197"/>
        <v>1.5199999999999998E-6</v>
      </c>
      <c r="I204" s="235">
        <f>I202</f>
        <v>399</v>
      </c>
      <c r="J204" s="224">
        <v>0</v>
      </c>
      <c r="K204" s="236" t="s">
        <v>177</v>
      </c>
      <c r="L204" s="237">
        <v>1.05</v>
      </c>
      <c r="M204" s="227" t="str">
        <f t="shared" si="192"/>
        <v>С3</v>
      </c>
      <c r="N204" s="227" t="str">
        <f t="shared" si="193"/>
        <v>Емкость СУГ</v>
      </c>
      <c r="O204" s="227" t="str">
        <f t="shared" si="194"/>
        <v>Полное-ликвидация</v>
      </c>
      <c r="P204" s="227" t="s">
        <v>83</v>
      </c>
      <c r="Q204" s="227" t="s">
        <v>83</v>
      </c>
      <c r="R204" s="227" t="s">
        <v>83</v>
      </c>
      <c r="S204" s="227" t="s">
        <v>83</v>
      </c>
      <c r="T204" s="227" t="s">
        <v>83</v>
      </c>
      <c r="U204" s="227" t="s">
        <v>83</v>
      </c>
      <c r="V204" s="227" t="s">
        <v>83</v>
      </c>
      <c r="W204" s="227" t="s">
        <v>83</v>
      </c>
      <c r="X204" s="227" t="s">
        <v>83</v>
      </c>
      <c r="Y204" s="227" t="s">
        <v>83</v>
      </c>
      <c r="Z204" s="227" t="s">
        <v>83</v>
      </c>
      <c r="AA204" s="227" t="s">
        <v>83</v>
      </c>
      <c r="AB204" s="227" t="s">
        <v>83</v>
      </c>
      <c r="AC204" s="227" t="s">
        <v>83</v>
      </c>
      <c r="AD204" s="227" t="s">
        <v>83</v>
      </c>
      <c r="AE204" s="227" t="s">
        <v>83</v>
      </c>
      <c r="AF204" s="227" t="s">
        <v>83</v>
      </c>
      <c r="AG204" s="227" t="s">
        <v>83</v>
      </c>
      <c r="AH204" s="227" t="s">
        <v>83</v>
      </c>
      <c r="AI204" s="227" t="s">
        <v>83</v>
      </c>
      <c r="AJ204" s="227">
        <v>0</v>
      </c>
      <c r="AK204" s="227">
        <v>0</v>
      </c>
      <c r="AL204" s="227">
        <f>AL202</f>
        <v>5.36</v>
      </c>
      <c r="AM204" s="227">
        <f>AM202</f>
        <v>2.7E-2</v>
      </c>
      <c r="AN204" s="227">
        <f>AN202</f>
        <v>3</v>
      </c>
      <c r="AQ204" s="230">
        <f>AM204*I204*0.1+AL204</f>
        <v>6.4373000000000005</v>
      </c>
      <c r="AR204" s="230">
        <f t="shared" si="198"/>
        <v>0.64373000000000014</v>
      </c>
      <c r="AS204" s="231">
        <f t="shared" si="199"/>
        <v>0</v>
      </c>
      <c r="AT204" s="231">
        <f t="shared" si="200"/>
        <v>1.7702575</v>
      </c>
      <c r="AU204" s="230">
        <f>1333*J202*POWER(10,-6)</f>
        <v>1.5956009999999996E-2</v>
      </c>
      <c r="AV204" s="231">
        <f t="shared" si="195"/>
        <v>8.8672435100000015</v>
      </c>
      <c r="AW204" s="232">
        <f t="shared" si="201"/>
        <v>0</v>
      </c>
      <c r="AX204" s="232">
        <f t="shared" si="202"/>
        <v>0</v>
      </c>
      <c r="AY204" s="232">
        <f t="shared" si="196"/>
        <v>1.3478210135200001E-5</v>
      </c>
    </row>
    <row r="205" spans="1:51" s="227" customFormat="1" x14ac:dyDescent="0.3">
      <c r="A205" s="218" t="s">
        <v>21</v>
      </c>
      <c r="B205" s="218" t="str">
        <f>B202</f>
        <v>Емкость СУГ</v>
      </c>
      <c r="C205" s="53" t="s">
        <v>213</v>
      </c>
      <c r="D205" s="220" t="s">
        <v>214</v>
      </c>
      <c r="E205" s="221">
        <v>1.0000000000000001E-5</v>
      </c>
      <c r="F205" s="234">
        <f t="shared" si="203"/>
        <v>2</v>
      </c>
      <c r="G205" s="218">
        <v>4.0000000000000008E-2</v>
      </c>
      <c r="H205" s="222">
        <f t="shared" si="197"/>
        <v>8.0000000000000018E-7</v>
      </c>
      <c r="I205" s="235">
        <f>0.15*I202</f>
        <v>59.849999999999994</v>
      </c>
      <c r="J205" s="224">
        <f>I205</f>
        <v>59.849999999999994</v>
      </c>
      <c r="K205" s="236" t="s">
        <v>179</v>
      </c>
      <c r="L205" s="237">
        <v>45390</v>
      </c>
      <c r="M205" s="227" t="str">
        <f t="shared" si="192"/>
        <v>С4</v>
      </c>
      <c r="N205" s="227" t="str">
        <f t="shared" si="193"/>
        <v>Емкость СУГ</v>
      </c>
      <c r="O205" s="227" t="str">
        <f t="shared" si="194"/>
        <v>Частичное факел</v>
      </c>
      <c r="P205" s="227" t="s">
        <v>83</v>
      </c>
      <c r="Q205" s="227" t="s">
        <v>83</v>
      </c>
      <c r="R205" s="227" t="s">
        <v>83</v>
      </c>
      <c r="S205" s="227" t="s">
        <v>83</v>
      </c>
      <c r="T205" s="227" t="s">
        <v>83</v>
      </c>
      <c r="U205" s="227" t="s">
        <v>83</v>
      </c>
      <c r="V205" s="227" t="s">
        <v>83</v>
      </c>
      <c r="W205" s="227" t="s">
        <v>83</v>
      </c>
      <c r="X205" s="227" t="s">
        <v>83</v>
      </c>
      <c r="Y205" s="227">
        <v>15</v>
      </c>
      <c r="Z205" s="227">
        <v>3</v>
      </c>
      <c r="AA205" s="227" t="s">
        <v>83</v>
      </c>
      <c r="AB205" s="227" t="s">
        <v>83</v>
      </c>
      <c r="AC205" s="227" t="s">
        <v>83</v>
      </c>
      <c r="AD205" s="227" t="s">
        <v>83</v>
      </c>
      <c r="AE205" s="227" t="s">
        <v>83</v>
      </c>
      <c r="AF205" s="227" t="s">
        <v>83</v>
      </c>
      <c r="AG205" s="227" t="s">
        <v>83</v>
      </c>
      <c r="AH205" s="227" t="s">
        <v>83</v>
      </c>
      <c r="AI205" s="227" t="s">
        <v>83</v>
      </c>
      <c r="AJ205" s="227">
        <v>0</v>
      </c>
      <c r="AK205" s="227">
        <v>1</v>
      </c>
      <c r="AL205" s="227">
        <f>0.1*$AL202</f>
        <v>0.53600000000000003</v>
      </c>
      <c r="AM205" s="227">
        <f>AM203</f>
        <v>2.7E-2</v>
      </c>
      <c r="AN205" s="227">
        <f>AN202</f>
        <v>3</v>
      </c>
      <c r="AQ205" s="230">
        <f>AM205*I205*0.1+AL205</f>
        <v>0.69759499999999997</v>
      </c>
      <c r="AR205" s="230">
        <f t="shared" si="198"/>
        <v>6.9759500000000002E-2</v>
      </c>
      <c r="AS205" s="231">
        <f t="shared" si="199"/>
        <v>0.25</v>
      </c>
      <c r="AT205" s="231">
        <f t="shared" si="200"/>
        <v>0.25433862499999998</v>
      </c>
      <c r="AU205" s="230">
        <f>10068.2*J205*POWER(10,-6)</f>
        <v>0.60258177000000002</v>
      </c>
      <c r="AV205" s="231">
        <f t="shared" si="195"/>
        <v>1.8742748949999999</v>
      </c>
      <c r="AW205" s="232">
        <f t="shared" si="201"/>
        <v>0</v>
      </c>
      <c r="AX205" s="232">
        <f t="shared" si="202"/>
        <v>8.0000000000000018E-7</v>
      </c>
      <c r="AY205" s="232">
        <f t="shared" si="196"/>
        <v>1.4994199160000002E-6</v>
      </c>
    </row>
    <row r="206" spans="1:51" s="227" customFormat="1" x14ac:dyDescent="0.3">
      <c r="A206" s="218" t="s">
        <v>22</v>
      </c>
      <c r="B206" s="218" t="str">
        <f>B202</f>
        <v>Емкость СУГ</v>
      </c>
      <c r="C206" s="53" t="s">
        <v>242</v>
      </c>
      <c r="D206" s="220" t="s">
        <v>61</v>
      </c>
      <c r="E206" s="233">
        <f>E205</f>
        <v>1.0000000000000001E-5</v>
      </c>
      <c r="F206" s="234">
        <f t="shared" si="203"/>
        <v>2</v>
      </c>
      <c r="G206" s="218">
        <v>0.16000000000000003</v>
      </c>
      <c r="H206" s="222">
        <f t="shared" si="197"/>
        <v>3.2000000000000007E-6</v>
      </c>
      <c r="I206" s="235">
        <f>0.15*I202</f>
        <v>59.849999999999994</v>
      </c>
      <c r="J206" s="224">
        <v>0</v>
      </c>
      <c r="K206" s="236" t="s">
        <v>180</v>
      </c>
      <c r="L206" s="237">
        <v>3</v>
      </c>
      <c r="M206" s="227" t="str">
        <f t="shared" si="192"/>
        <v>С5</v>
      </c>
      <c r="N206" s="227" t="str">
        <f t="shared" si="193"/>
        <v>Емкость СУГ</v>
      </c>
      <c r="O206" s="227" t="str">
        <f t="shared" si="194"/>
        <v>Частичное-ликвидация</v>
      </c>
      <c r="P206" s="227" t="s">
        <v>83</v>
      </c>
      <c r="Q206" s="227" t="s">
        <v>83</v>
      </c>
      <c r="R206" s="227" t="s">
        <v>83</v>
      </c>
      <c r="S206" s="227" t="s">
        <v>83</v>
      </c>
      <c r="T206" s="227" t="s">
        <v>83</v>
      </c>
      <c r="U206" s="227" t="s">
        <v>83</v>
      </c>
      <c r="V206" s="227" t="s">
        <v>83</v>
      </c>
      <c r="W206" s="227" t="s">
        <v>83</v>
      </c>
      <c r="X206" s="227" t="s">
        <v>83</v>
      </c>
      <c r="Y206" s="227" t="s">
        <v>83</v>
      </c>
      <c r="Z206" s="227" t="s">
        <v>83</v>
      </c>
      <c r="AA206" s="227" t="s">
        <v>83</v>
      </c>
      <c r="AB206" s="227" t="s">
        <v>83</v>
      </c>
      <c r="AC206" s="227" t="s">
        <v>83</v>
      </c>
      <c r="AD206" s="227" t="s">
        <v>83</v>
      </c>
      <c r="AE206" s="227" t="s">
        <v>83</v>
      </c>
      <c r="AF206" s="227" t="s">
        <v>83</v>
      </c>
      <c r="AG206" s="227" t="s">
        <v>83</v>
      </c>
      <c r="AH206" s="227" t="s">
        <v>83</v>
      </c>
      <c r="AI206" s="227" t="s">
        <v>83</v>
      </c>
      <c r="AJ206" s="227">
        <v>0</v>
      </c>
      <c r="AK206" s="227">
        <v>1</v>
      </c>
      <c r="AL206" s="227">
        <f>0.1*$AL203</f>
        <v>0.53600000000000003</v>
      </c>
      <c r="AM206" s="227">
        <f>AM202</f>
        <v>2.7E-2</v>
      </c>
      <c r="AN206" s="227">
        <f>ROUNDUP(AN202/3,0)</f>
        <v>1</v>
      </c>
      <c r="AQ206" s="230">
        <f>AM206*I206+AL206</f>
        <v>2.1519499999999998</v>
      </c>
      <c r="AR206" s="230">
        <f t="shared" si="198"/>
        <v>0.215195</v>
      </c>
      <c r="AS206" s="231">
        <f t="shared" si="199"/>
        <v>0.25</v>
      </c>
      <c r="AT206" s="231">
        <f t="shared" si="200"/>
        <v>0.65428624999999996</v>
      </c>
      <c r="AU206" s="230">
        <f>1333*J203*POWER(10,-6)*10</f>
        <v>4.6654999999999995E-3</v>
      </c>
      <c r="AV206" s="231">
        <f t="shared" si="195"/>
        <v>3.2760967499999998</v>
      </c>
      <c r="AW206" s="232">
        <f t="shared" si="201"/>
        <v>0</v>
      </c>
      <c r="AX206" s="232">
        <f t="shared" si="202"/>
        <v>3.2000000000000007E-6</v>
      </c>
      <c r="AY206" s="232">
        <f t="shared" si="196"/>
        <v>1.0483509600000001E-5</v>
      </c>
    </row>
    <row r="207" spans="1:51" s="227" customFormat="1" x14ac:dyDescent="0.3">
      <c r="A207" s="218" t="s">
        <v>23</v>
      </c>
      <c r="B207" s="218" t="str">
        <f>B202</f>
        <v>Емкость СУГ</v>
      </c>
      <c r="C207" s="53" t="s">
        <v>215</v>
      </c>
      <c r="D207" s="220" t="s">
        <v>214</v>
      </c>
      <c r="E207" s="233">
        <f>E206</f>
        <v>1.0000000000000001E-5</v>
      </c>
      <c r="F207" s="234">
        <f t="shared" si="203"/>
        <v>2</v>
      </c>
      <c r="G207" s="218">
        <v>4.0000000000000008E-2</v>
      </c>
      <c r="H207" s="222">
        <f t="shared" si="197"/>
        <v>8.0000000000000018E-7</v>
      </c>
      <c r="I207" s="235">
        <f>I205*0.15</f>
        <v>8.9774999999999991</v>
      </c>
      <c r="J207" s="224">
        <f>I207</f>
        <v>8.9774999999999991</v>
      </c>
      <c r="K207" s="239" t="s">
        <v>191</v>
      </c>
      <c r="L207" s="240">
        <v>21</v>
      </c>
      <c r="M207" s="227" t="str">
        <f t="shared" si="192"/>
        <v>С6</v>
      </c>
      <c r="N207" s="227" t="str">
        <f t="shared" si="193"/>
        <v>Емкость СУГ</v>
      </c>
      <c r="O207" s="227" t="str">
        <f t="shared" si="194"/>
        <v>Частичное факел</v>
      </c>
      <c r="P207" s="227" t="s">
        <v>83</v>
      </c>
      <c r="Q207" s="227" t="s">
        <v>83</v>
      </c>
      <c r="R207" s="227" t="s">
        <v>83</v>
      </c>
      <c r="S207" s="227" t="s">
        <v>83</v>
      </c>
      <c r="T207" s="227" t="s">
        <v>83</v>
      </c>
      <c r="U207" s="227" t="s">
        <v>83</v>
      </c>
      <c r="V207" s="227" t="s">
        <v>83</v>
      </c>
      <c r="W207" s="227" t="s">
        <v>83</v>
      </c>
      <c r="X207" s="227" t="s">
        <v>83</v>
      </c>
      <c r="Y207" s="227">
        <v>11</v>
      </c>
      <c r="Z207" s="227">
        <v>2</v>
      </c>
      <c r="AA207" s="227" t="s">
        <v>83</v>
      </c>
      <c r="AB207" s="227" t="s">
        <v>83</v>
      </c>
      <c r="AC207" s="227" t="s">
        <v>83</v>
      </c>
      <c r="AD207" s="227" t="s">
        <v>83</v>
      </c>
      <c r="AE207" s="227" t="s">
        <v>83</v>
      </c>
      <c r="AF207" s="227" t="s">
        <v>83</v>
      </c>
      <c r="AG207" s="227" t="s">
        <v>83</v>
      </c>
      <c r="AH207" s="227" t="s">
        <v>83</v>
      </c>
      <c r="AI207" s="227" t="s">
        <v>83</v>
      </c>
      <c r="AJ207" s="227">
        <v>0</v>
      </c>
      <c r="AK207" s="227">
        <v>1</v>
      </c>
      <c r="AL207" s="227">
        <f>0.1*$AL204</f>
        <v>0.53600000000000003</v>
      </c>
      <c r="AM207" s="227">
        <f>AM202</f>
        <v>2.7E-2</v>
      </c>
      <c r="AN207" s="227">
        <f>AN206</f>
        <v>1</v>
      </c>
      <c r="AQ207" s="230">
        <f>AM207*I207+AL207</f>
        <v>0.77839250000000004</v>
      </c>
      <c r="AR207" s="230">
        <f t="shared" si="198"/>
        <v>7.7839250000000013E-2</v>
      </c>
      <c r="AS207" s="231">
        <f t="shared" si="199"/>
        <v>0.25</v>
      </c>
      <c r="AT207" s="231">
        <f t="shared" si="200"/>
        <v>0.27655793750000002</v>
      </c>
      <c r="AU207" s="230">
        <f>10068.2*J207*POWER(10,-6)</f>
        <v>9.0387265499999994E-2</v>
      </c>
      <c r="AV207" s="231">
        <f t="shared" si="195"/>
        <v>1.4731769530000001</v>
      </c>
      <c r="AW207" s="232">
        <f t="shared" si="201"/>
        <v>0</v>
      </c>
      <c r="AX207" s="232">
        <f t="shared" si="202"/>
        <v>8.0000000000000018E-7</v>
      </c>
      <c r="AY207" s="232">
        <f t="shared" si="196"/>
        <v>1.1785415624000003E-6</v>
      </c>
    </row>
    <row r="208" spans="1:51" s="227" customFormat="1" x14ac:dyDescent="0.3">
      <c r="A208" s="218" t="s">
        <v>210</v>
      </c>
      <c r="B208" s="218" t="str">
        <f>B202</f>
        <v>Емкость СУГ</v>
      </c>
      <c r="C208" s="53" t="s">
        <v>216</v>
      </c>
      <c r="D208" s="220" t="s">
        <v>165</v>
      </c>
      <c r="E208" s="233">
        <f>E206</f>
        <v>1.0000000000000001E-5</v>
      </c>
      <c r="F208" s="234">
        <f t="shared" si="203"/>
        <v>2</v>
      </c>
      <c r="G208" s="218">
        <v>0.15200000000000002</v>
      </c>
      <c r="H208" s="222">
        <f t="shared" si="197"/>
        <v>3.0400000000000005E-6</v>
      </c>
      <c r="I208" s="235">
        <f>I205*0.15</f>
        <v>8.9774999999999991</v>
      </c>
      <c r="J208" s="224">
        <f>I208</f>
        <v>8.9774999999999991</v>
      </c>
      <c r="K208" s="236"/>
      <c r="L208" s="237"/>
      <c r="M208" s="227" t="str">
        <f t="shared" si="192"/>
        <v>С7</v>
      </c>
      <c r="N208" s="227" t="str">
        <f t="shared" si="193"/>
        <v>Емкость СУГ</v>
      </c>
      <c r="O208" s="227" t="str">
        <f t="shared" si="194"/>
        <v>Частичное-пожар-вспышка</v>
      </c>
      <c r="P208" s="227" t="s">
        <v>83</v>
      </c>
      <c r="Q208" s="227" t="s">
        <v>83</v>
      </c>
      <c r="R208" s="227" t="s">
        <v>83</v>
      </c>
      <c r="S208" s="227" t="s">
        <v>83</v>
      </c>
      <c r="T208" s="227" t="s">
        <v>83</v>
      </c>
      <c r="U208" s="227" t="s">
        <v>83</v>
      </c>
      <c r="V208" s="227" t="s">
        <v>83</v>
      </c>
      <c r="W208" s="227" t="s">
        <v>83</v>
      </c>
      <c r="X208" s="227" t="s">
        <v>83</v>
      </c>
      <c r="Y208" s="227" t="s">
        <v>83</v>
      </c>
      <c r="Z208" s="227" t="s">
        <v>83</v>
      </c>
      <c r="AA208" s="227">
        <v>69.150000000000006</v>
      </c>
      <c r="AB208" s="227">
        <v>82.98</v>
      </c>
      <c r="AC208" s="227" t="s">
        <v>83</v>
      </c>
      <c r="AD208" s="227" t="s">
        <v>83</v>
      </c>
      <c r="AE208" s="227" t="s">
        <v>83</v>
      </c>
      <c r="AF208" s="227" t="s">
        <v>83</v>
      </c>
      <c r="AG208" s="227" t="s">
        <v>83</v>
      </c>
      <c r="AH208" s="227" t="s">
        <v>83</v>
      </c>
      <c r="AI208" s="227" t="s">
        <v>83</v>
      </c>
      <c r="AJ208" s="227">
        <v>0</v>
      </c>
      <c r="AK208" s="227">
        <v>1</v>
      </c>
      <c r="AL208" s="227">
        <f>0.1*$AL205</f>
        <v>5.3600000000000009E-2</v>
      </c>
      <c r="AM208" s="227">
        <f>AM202</f>
        <v>2.7E-2</v>
      </c>
      <c r="AN208" s="227">
        <f>ROUNDUP(AN202/3,0)</f>
        <v>1</v>
      </c>
      <c r="AQ208" s="230">
        <f>AM208*I208+AL208</f>
        <v>0.29599249999999999</v>
      </c>
      <c r="AR208" s="230">
        <f t="shared" si="198"/>
        <v>2.9599250000000001E-2</v>
      </c>
      <c r="AS208" s="231">
        <f t="shared" si="199"/>
        <v>0.25</v>
      </c>
      <c r="AT208" s="231">
        <f t="shared" si="200"/>
        <v>0.14389793750000002</v>
      </c>
      <c r="AU208" s="230">
        <f>10068.2*J208*POWER(10,-6)</f>
        <v>9.0387265499999994E-2</v>
      </c>
      <c r="AV208" s="231">
        <f t="shared" si="195"/>
        <v>0.80987695299999996</v>
      </c>
      <c r="AW208" s="232">
        <f t="shared" si="201"/>
        <v>0</v>
      </c>
      <c r="AX208" s="232">
        <f t="shared" si="202"/>
        <v>3.0400000000000005E-6</v>
      </c>
      <c r="AY208" s="232">
        <f t="shared" si="196"/>
        <v>2.4620259371200003E-6</v>
      </c>
    </row>
    <row r="209" spans="1:51" s="227" customFormat="1" ht="15" thickBot="1" x14ac:dyDescent="0.35">
      <c r="A209" s="218" t="s">
        <v>211</v>
      </c>
      <c r="B209" s="218" t="str">
        <f>B202</f>
        <v>Емкость СУГ</v>
      </c>
      <c r="C209" s="53" t="s">
        <v>217</v>
      </c>
      <c r="D209" s="220" t="s">
        <v>61</v>
      </c>
      <c r="E209" s="233">
        <f>E206</f>
        <v>1.0000000000000001E-5</v>
      </c>
      <c r="F209" s="234">
        <f t="shared" si="203"/>
        <v>2</v>
      </c>
      <c r="G209" s="218">
        <v>0.6080000000000001</v>
      </c>
      <c r="H209" s="222">
        <f t="shared" si="197"/>
        <v>1.2160000000000002E-5</v>
      </c>
      <c r="I209" s="235">
        <f>I205*0.15</f>
        <v>8.9774999999999991</v>
      </c>
      <c r="J209" s="224">
        <v>0</v>
      </c>
      <c r="K209" s="241"/>
      <c r="L209" s="242"/>
      <c r="M209" s="227" t="str">
        <f t="shared" si="192"/>
        <v>С8</v>
      </c>
      <c r="N209" s="227" t="str">
        <f t="shared" si="193"/>
        <v>Емкость СУГ</v>
      </c>
      <c r="O209" s="227" t="str">
        <f t="shared" si="194"/>
        <v>Частичное-ликвидация</v>
      </c>
      <c r="P209" s="227" t="s">
        <v>83</v>
      </c>
      <c r="Q209" s="227" t="s">
        <v>83</v>
      </c>
      <c r="R209" s="227" t="s">
        <v>83</v>
      </c>
      <c r="S209" s="227" t="s">
        <v>83</v>
      </c>
      <c r="T209" s="227" t="s">
        <v>83</v>
      </c>
      <c r="U209" s="227" t="s">
        <v>83</v>
      </c>
      <c r="V209" s="227" t="s">
        <v>83</v>
      </c>
      <c r="W209" s="227" t="s">
        <v>83</v>
      </c>
      <c r="X209" s="227" t="s">
        <v>83</v>
      </c>
      <c r="Y209" s="227" t="s">
        <v>83</v>
      </c>
      <c r="Z209" s="227" t="s">
        <v>83</v>
      </c>
      <c r="AA209" s="227" t="s">
        <v>83</v>
      </c>
      <c r="AB209" s="227" t="s">
        <v>83</v>
      </c>
      <c r="AC209" s="227" t="s">
        <v>83</v>
      </c>
      <c r="AD209" s="227" t="s">
        <v>83</v>
      </c>
      <c r="AE209" s="227" t="s">
        <v>83</v>
      </c>
      <c r="AF209" s="227" t="s">
        <v>83</v>
      </c>
      <c r="AG209" s="227" t="s">
        <v>83</v>
      </c>
      <c r="AH209" s="227" t="s">
        <v>83</v>
      </c>
      <c r="AI209" s="227" t="s">
        <v>83</v>
      </c>
      <c r="AJ209" s="227">
        <v>0</v>
      </c>
      <c r="AK209" s="227">
        <v>0</v>
      </c>
      <c r="AL209" s="227">
        <f>0.1*$AL206</f>
        <v>5.3600000000000009E-2</v>
      </c>
      <c r="AM209" s="227">
        <f>AM202</f>
        <v>2.7E-2</v>
      </c>
      <c r="AN209" s="227">
        <f>ROUNDUP(AN202/3,0)</f>
        <v>1</v>
      </c>
      <c r="AQ209" s="230">
        <f>AM209*I209*0.1+AL209</f>
        <v>7.7839250000000013E-2</v>
      </c>
      <c r="AR209" s="230">
        <f t="shared" si="198"/>
        <v>7.7839250000000014E-3</v>
      </c>
      <c r="AS209" s="231">
        <f t="shared" si="199"/>
        <v>0</v>
      </c>
      <c r="AT209" s="231">
        <f t="shared" si="200"/>
        <v>2.1405793750000002E-2</v>
      </c>
      <c r="AU209" s="230">
        <f>1333*J207*POWER(10,-6)</f>
        <v>1.19670075E-2</v>
      </c>
      <c r="AV209" s="231">
        <f t="shared" si="195"/>
        <v>0.11899597625000002</v>
      </c>
      <c r="AW209" s="232">
        <f t="shared" si="201"/>
        <v>0</v>
      </c>
      <c r="AX209" s="232">
        <f t="shared" si="202"/>
        <v>0</v>
      </c>
      <c r="AY209" s="232">
        <f t="shared" si="196"/>
        <v>1.4469910712000006E-6</v>
      </c>
    </row>
    <row r="210" spans="1:51" s="227" customFormat="1" x14ac:dyDescent="0.3">
      <c r="A210" s="281" t="s">
        <v>240</v>
      </c>
      <c r="B210" s="281" t="str">
        <f>B202</f>
        <v>Емкость СУГ</v>
      </c>
      <c r="C210" s="281" t="s">
        <v>302</v>
      </c>
      <c r="D210" s="281" t="s">
        <v>303</v>
      </c>
      <c r="E210" s="282">
        <v>2.5000000000000001E-5</v>
      </c>
      <c r="F210" s="234">
        <f t="shared" si="203"/>
        <v>2</v>
      </c>
      <c r="G210" s="281">
        <v>1</v>
      </c>
      <c r="H210" s="283">
        <f t="shared" si="197"/>
        <v>5.0000000000000002E-5</v>
      </c>
      <c r="I210" s="284">
        <f>I202</f>
        <v>399</v>
      </c>
      <c r="J210" s="284">
        <f>I210*0.07</f>
        <v>27.930000000000003</v>
      </c>
      <c r="K210" s="281"/>
      <c r="L210" s="281"/>
      <c r="M210" s="285" t="str">
        <f t="shared" si="192"/>
        <v>С9</v>
      </c>
      <c r="N210" s="285"/>
      <c r="O210" s="285"/>
      <c r="P210" s="285">
        <v>30.2</v>
      </c>
      <c r="Q210" s="285">
        <v>41.6</v>
      </c>
      <c r="R210" s="285">
        <v>59.6</v>
      </c>
      <c r="S210" s="285">
        <v>110.1</v>
      </c>
      <c r="T210" s="285"/>
      <c r="U210" s="285"/>
      <c r="V210" s="285"/>
      <c r="W210" s="285"/>
      <c r="X210" s="285"/>
      <c r="Y210" s="285"/>
      <c r="Z210" s="285"/>
      <c r="AA210" s="285"/>
      <c r="AB210" s="285"/>
      <c r="AC210" s="285"/>
      <c r="AD210" s="285"/>
      <c r="AE210" s="285">
        <v>150.5</v>
      </c>
      <c r="AF210" s="285">
        <v>211</v>
      </c>
      <c r="AG210" s="285">
        <v>249.5</v>
      </c>
      <c r="AH210" s="285">
        <v>317.5</v>
      </c>
      <c r="AI210" s="285"/>
      <c r="AJ210" s="285">
        <v>1</v>
      </c>
      <c r="AK210" s="285">
        <v>2</v>
      </c>
      <c r="AL210" s="285">
        <f>AL202</f>
        <v>5.36</v>
      </c>
      <c r="AM210" s="285">
        <f>AM202</f>
        <v>2.7E-2</v>
      </c>
      <c r="AN210" s="285">
        <v>5</v>
      </c>
      <c r="AO210" s="285"/>
      <c r="AP210" s="285"/>
      <c r="AQ210" s="286">
        <f>AM210*I210+AL210</f>
        <v>16.132999999999999</v>
      </c>
      <c r="AR210" s="286">
        <f>0.1*AQ210</f>
        <v>1.6133</v>
      </c>
      <c r="AS210" s="287">
        <f>AJ210*3+0.25*AK210</f>
        <v>3.5</v>
      </c>
      <c r="AT210" s="287">
        <f>SUM(AQ210:AS210)/4</f>
        <v>5.3115749999999995</v>
      </c>
      <c r="AU210" s="286">
        <f>10068.2*J210*POWER(10,-6)</f>
        <v>0.28120482600000002</v>
      </c>
      <c r="AV210" s="287">
        <f t="shared" si="195"/>
        <v>26.839079825999999</v>
      </c>
      <c r="AW210" s="288">
        <f>AJ210*H210</f>
        <v>5.0000000000000002E-5</v>
      </c>
      <c r="AX210" s="288">
        <f>H210*AK210</f>
        <v>1E-4</v>
      </c>
      <c r="AY210" s="288">
        <f t="shared" si="196"/>
        <v>1.3419539913000001E-3</v>
      </c>
    </row>
    <row r="211" spans="1:51" ht="15" thickBot="1" x14ac:dyDescent="0.35"/>
    <row r="212" spans="1:51" s="227" customFormat="1" ht="18" customHeight="1" x14ac:dyDescent="0.3">
      <c r="A212" s="218" t="s">
        <v>18</v>
      </c>
      <c r="B212" s="219" t="s">
        <v>299</v>
      </c>
      <c r="C212" s="53" t="s">
        <v>300</v>
      </c>
      <c r="D212" s="220" t="s">
        <v>301</v>
      </c>
      <c r="E212" s="221">
        <v>9.9999999999999995E-7</v>
      </c>
      <c r="F212" s="219">
        <v>2</v>
      </c>
      <c r="G212" s="218">
        <v>0.05</v>
      </c>
      <c r="H212" s="222">
        <f>E212*F212*G212</f>
        <v>9.9999999999999995E-8</v>
      </c>
      <c r="I212" s="223">
        <v>46.64</v>
      </c>
      <c r="J212" s="224">
        <f>0.05*I212</f>
        <v>2.3320000000000003</v>
      </c>
      <c r="K212" s="225" t="s">
        <v>175</v>
      </c>
      <c r="L212" s="226">
        <v>2000</v>
      </c>
      <c r="M212" s="227" t="str">
        <f t="shared" ref="M212:M220" si="204">A212</f>
        <v>С1</v>
      </c>
      <c r="N212" s="227" t="str">
        <f t="shared" ref="N212:N219" si="205">B212</f>
        <v>Емкость СУГ+токси</v>
      </c>
      <c r="O212" s="227" t="str">
        <f t="shared" ref="O212:O219" si="206">D212</f>
        <v>Полное-огенный шар</v>
      </c>
      <c r="P212" s="227" t="s">
        <v>83</v>
      </c>
      <c r="Q212" s="227" t="s">
        <v>83</v>
      </c>
      <c r="R212" s="227" t="s">
        <v>83</v>
      </c>
      <c r="S212" s="227" t="s">
        <v>83</v>
      </c>
      <c r="T212" s="227" t="s">
        <v>83</v>
      </c>
      <c r="U212" s="227" t="s">
        <v>83</v>
      </c>
      <c r="V212" s="227" t="s">
        <v>83</v>
      </c>
      <c r="W212" s="227" t="s">
        <v>83</v>
      </c>
      <c r="X212" s="227" t="s">
        <v>83</v>
      </c>
      <c r="Y212" s="227" t="s">
        <v>83</v>
      </c>
      <c r="Z212" s="227" t="s">
        <v>83</v>
      </c>
      <c r="AA212" s="227" t="s">
        <v>83</v>
      </c>
      <c r="AB212" s="227" t="s">
        <v>83</v>
      </c>
      <c r="AC212" s="227" t="s">
        <v>83</v>
      </c>
      <c r="AD212" s="227" t="s">
        <v>83</v>
      </c>
      <c r="AE212" s="227">
        <v>33.5</v>
      </c>
      <c r="AF212" s="227">
        <v>63</v>
      </c>
      <c r="AG212" s="227">
        <v>79.5</v>
      </c>
      <c r="AH212" s="227">
        <v>107</v>
      </c>
      <c r="AI212" s="227" t="s">
        <v>83</v>
      </c>
      <c r="AJ212" s="228">
        <v>1</v>
      </c>
      <c r="AK212" s="228">
        <v>2</v>
      </c>
      <c r="AL212" s="229">
        <v>6.98</v>
      </c>
      <c r="AM212" s="229">
        <v>2.7E-2</v>
      </c>
      <c r="AN212" s="229">
        <v>3</v>
      </c>
      <c r="AQ212" s="230">
        <f>AM212*I212+AL212</f>
        <v>8.2392800000000008</v>
      </c>
      <c r="AR212" s="230">
        <f>0.1*AQ212</f>
        <v>0.8239280000000001</v>
      </c>
      <c r="AS212" s="231">
        <f>AJ212*3+0.25*AK212</f>
        <v>3.5</v>
      </c>
      <c r="AT212" s="231">
        <f>SUM(AQ212:AS212)/4</f>
        <v>3.1408020000000003</v>
      </c>
      <c r="AU212" s="230">
        <f>10068.2*J212*POWER(10,-6)</f>
        <v>2.3479042400000004E-2</v>
      </c>
      <c r="AV212" s="231">
        <f t="shared" ref="AV212:AV220" si="207">AU212+AT212+AS212+AR212+AQ212</f>
        <v>15.727489042400002</v>
      </c>
      <c r="AW212" s="232">
        <f>AJ212*H212</f>
        <v>9.9999999999999995E-8</v>
      </c>
      <c r="AX212" s="232">
        <f>H212*AK212</f>
        <v>1.9999999999999999E-7</v>
      </c>
      <c r="AY212" s="232">
        <f t="shared" ref="AY212:AY220" si="208">H212*AV212</f>
        <v>1.5727489042400002E-6</v>
      </c>
    </row>
    <row r="213" spans="1:51" s="227" customFormat="1" x14ac:dyDescent="0.3">
      <c r="A213" s="218" t="s">
        <v>19</v>
      </c>
      <c r="B213" s="218" t="str">
        <f>B212</f>
        <v>Емкость СУГ+токси</v>
      </c>
      <c r="C213" s="53" t="s">
        <v>202</v>
      </c>
      <c r="D213" s="220" t="s">
        <v>62</v>
      </c>
      <c r="E213" s="233">
        <f>E212</f>
        <v>9.9999999999999995E-7</v>
      </c>
      <c r="F213" s="234">
        <f>F212</f>
        <v>2</v>
      </c>
      <c r="G213" s="218">
        <v>0.19</v>
      </c>
      <c r="H213" s="222">
        <f t="shared" ref="H213:H220" si="209">E213*F213*G213</f>
        <v>3.7999999999999996E-7</v>
      </c>
      <c r="I213" s="235">
        <f>I212</f>
        <v>46.64</v>
      </c>
      <c r="J213" s="243">
        <v>1.22</v>
      </c>
      <c r="K213" s="236" t="s">
        <v>176</v>
      </c>
      <c r="L213" s="237">
        <v>2</v>
      </c>
      <c r="M213" s="227" t="str">
        <f t="shared" si="204"/>
        <v>С2</v>
      </c>
      <c r="N213" s="227" t="str">
        <f t="shared" si="205"/>
        <v>Емкость СУГ+токси</v>
      </c>
      <c r="O213" s="227" t="str">
        <f t="shared" si="206"/>
        <v>Полное-взрыв</v>
      </c>
      <c r="P213" s="227" t="s">
        <v>83</v>
      </c>
      <c r="Q213" s="227" t="s">
        <v>83</v>
      </c>
      <c r="R213" s="227" t="s">
        <v>83</v>
      </c>
      <c r="S213" s="227" t="s">
        <v>83</v>
      </c>
      <c r="T213" s="227">
        <v>0</v>
      </c>
      <c r="U213" s="227">
        <v>0</v>
      </c>
      <c r="V213" s="227">
        <v>81.099999999999994</v>
      </c>
      <c r="W213" s="227">
        <v>270.10000000000002</v>
      </c>
      <c r="X213" s="227">
        <v>702.6</v>
      </c>
      <c r="Y213" s="227" t="s">
        <v>83</v>
      </c>
      <c r="Z213" s="227" t="s">
        <v>83</v>
      </c>
      <c r="AA213" s="227" t="s">
        <v>83</v>
      </c>
      <c r="AB213" s="227" t="s">
        <v>83</v>
      </c>
      <c r="AC213" s="227" t="s">
        <v>83</v>
      </c>
      <c r="AD213" s="227" t="s">
        <v>83</v>
      </c>
      <c r="AE213" s="227" t="s">
        <v>83</v>
      </c>
      <c r="AF213" s="227" t="s">
        <v>83</v>
      </c>
      <c r="AG213" s="227" t="s">
        <v>83</v>
      </c>
      <c r="AH213" s="227" t="s">
        <v>83</v>
      </c>
      <c r="AI213" s="227" t="s">
        <v>83</v>
      </c>
      <c r="AJ213" s="228">
        <v>2</v>
      </c>
      <c r="AK213" s="228">
        <v>2</v>
      </c>
      <c r="AL213" s="227">
        <f>AL212</f>
        <v>6.98</v>
      </c>
      <c r="AM213" s="227">
        <f>AM212</f>
        <v>2.7E-2</v>
      </c>
      <c r="AN213" s="227">
        <f>AN212</f>
        <v>3</v>
      </c>
      <c r="AQ213" s="230">
        <f>AM213*I213+AL213</f>
        <v>8.2392800000000008</v>
      </c>
      <c r="AR213" s="230">
        <f t="shared" ref="AR213:AR219" si="210">0.1*AQ213</f>
        <v>0.8239280000000001</v>
      </c>
      <c r="AS213" s="231">
        <f t="shared" ref="AS213:AS219" si="211">AJ213*3+0.25*AK213</f>
        <v>6.5</v>
      </c>
      <c r="AT213" s="231">
        <f t="shared" ref="AT213:AT219" si="212">SUM(AQ213:AS213)/4</f>
        <v>3.8908020000000003</v>
      </c>
      <c r="AU213" s="230">
        <f>10068.2*J213*POWER(10,-6)*10</f>
        <v>0.12283203999999999</v>
      </c>
      <c r="AV213" s="231">
        <f t="shared" si="207"/>
        <v>19.576842040000002</v>
      </c>
      <c r="AW213" s="232">
        <f t="shared" ref="AW213:AW219" si="213">AJ213*H213</f>
        <v>7.5999999999999992E-7</v>
      </c>
      <c r="AX213" s="232">
        <f t="shared" ref="AX213:AX219" si="214">H213*AK213</f>
        <v>7.5999999999999992E-7</v>
      </c>
      <c r="AY213" s="232">
        <f t="shared" si="208"/>
        <v>7.4391999752E-6</v>
      </c>
    </row>
    <row r="214" spans="1:51" s="227" customFormat="1" x14ac:dyDescent="0.3">
      <c r="A214" s="218" t="s">
        <v>20</v>
      </c>
      <c r="B214" s="218" t="str">
        <f>B212</f>
        <v>Емкость СУГ+токси</v>
      </c>
      <c r="C214" s="53" t="s">
        <v>243</v>
      </c>
      <c r="D214" s="220" t="s">
        <v>171</v>
      </c>
      <c r="E214" s="233">
        <f>E212</f>
        <v>9.9999999999999995E-7</v>
      </c>
      <c r="F214" s="234">
        <f>F212</f>
        <v>2</v>
      </c>
      <c r="G214" s="218">
        <v>0.76</v>
      </c>
      <c r="H214" s="222">
        <f t="shared" si="209"/>
        <v>1.5199999999999998E-6</v>
      </c>
      <c r="I214" s="235">
        <f>I212</f>
        <v>46.64</v>
      </c>
      <c r="J214" s="243">
        <v>0.36</v>
      </c>
      <c r="K214" s="236" t="s">
        <v>177</v>
      </c>
      <c r="L214" s="237">
        <v>1.05</v>
      </c>
      <c r="M214" s="227" t="str">
        <f t="shared" si="204"/>
        <v>С3</v>
      </c>
      <c r="N214" s="227" t="str">
        <f t="shared" si="205"/>
        <v>Емкость СУГ+токси</v>
      </c>
      <c r="O214" s="227" t="str">
        <f t="shared" si="206"/>
        <v>Полное-токси</v>
      </c>
      <c r="P214" s="227" t="s">
        <v>83</v>
      </c>
      <c r="Q214" s="227" t="s">
        <v>83</v>
      </c>
      <c r="R214" s="227" t="s">
        <v>83</v>
      </c>
      <c r="S214" s="227" t="s">
        <v>83</v>
      </c>
      <c r="T214" s="227" t="s">
        <v>83</v>
      </c>
      <c r="U214" s="227" t="s">
        <v>83</v>
      </c>
      <c r="V214" s="227" t="s">
        <v>83</v>
      </c>
      <c r="W214" s="227" t="s">
        <v>83</v>
      </c>
      <c r="X214" s="227" t="s">
        <v>83</v>
      </c>
      <c r="Y214" s="227" t="s">
        <v>83</v>
      </c>
      <c r="Z214" s="227" t="s">
        <v>83</v>
      </c>
      <c r="AA214" s="227" t="s">
        <v>83</v>
      </c>
      <c r="AB214" s="227" t="s">
        <v>83</v>
      </c>
      <c r="AC214" s="227">
        <v>131.4</v>
      </c>
      <c r="AD214" s="227">
        <v>248</v>
      </c>
      <c r="AE214" s="227" t="s">
        <v>83</v>
      </c>
      <c r="AF214" s="227" t="s">
        <v>83</v>
      </c>
      <c r="AG214" s="227" t="s">
        <v>83</v>
      </c>
      <c r="AH214" s="227" t="s">
        <v>83</v>
      </c>
      <c r="AI214" s="227" t="s">
        <v>83</v>
      </c>
      <c r="AJ214" s="227">
        <v>0</v>
      </c>
      <c r="AK214" s="227">
        <v>0</v>
      </c>
      <c r="AL214" s="227">
        <f>AL212</f>
        <v>6.98</v>
      </c>
      <c r="AM214" s="227">
        <f>AM212</f>
        <v>2.7E-2</v>
      </c>
      <c r="AN214" s="227">
        <f>AN212</f>
        <v>3</v>
      </c>
      <c r="AQ214" s="230">
        <f>AM214*I214*0.1+AL214</f>
        <v>7.1059280000000005</v>
      </c>
      <c r="AR214" s="230">
        <f t="shared" si="210"/>
        <v>0.71059280000000014</v>
      </c>
      <c r="AS214" s="231">
        <f t="shared" si="211"/>
        <v>0</v>
      </c>
      <c r="AT214" s="231">
        <f t="shared" si="212"/>
        <v>1.9541302000000003</v>
      </c>
      <c r="AU214" s="230">
        <f>1333*J212*POWER(10,-6)</f>
        <v>3.1085560000000002E-3</v>
      </c>
      <c r="AV214" s="231">
        <f t="shared" si="207"/>
        <v>9.7737595560000017</v>
      </c>
      <c r="AW214" s="232">
        <f t="shared" si="213"/>
        <v>0</v>
      </c>
      <c r="AX214" s="232">
        <f t="shared" si="214"/>
        <v>0</v>
      </c>
      <c r="AY214" s="232">
        <f t="shared" si="208"/>
        <v>1.4856114525120002E-5</v>
      </c>
    </row>
    <row r="215" spans="1:51" s="227" customFormat="1" x14ac:dyDescent="0.3">
      <c r="A215" s="218" t="s">
        <v>21</v>
      </c>
      <c r="B215" s="218" t="str">
        <f>B212</f>
        <v>Емкость СУГ+токси</v>
      </c>
      <c r="C215" s="53" t="s">
        <v>213</v>
      </c>
      <c r="D215" s="220" t="s">
        <v>214</v>
      </c>
      <c r="E215" s="221">
        <v>1.0000000000000001E-5</v>
      </c>
      <c r="F215" s="234">
        <f>F212</f>
        <v>2</v>
      </c>
      <c r="G215" s="218">
        <v>4.0000000000000008E-2</v>
      </c>
      <c r="H215" s="222">
        <f t="shared" si="209"/>
        <v>8.0000000000000018E-7</v>
      </c>
      <c r="I215" s="235">
        <f>0.15*I212</f>
        <v>6.9959999999999996</v>
      </c>
      <c r="J215" s="224">
        <f>I215</f>
        <v>6.9959999999999996</v>
      </c>
      <c r="K215" s="236" t="s">
        <v>179</v>
      </c>
      <c r="L215" s="237">
        <v>45390</v>
      </c>
      <c r="M215" s="227" t="str">
        <f t="shared" si="204"/>
        <v>С4</v>
      </c>
      <c r="N215" s="227" t="str">
        <f t="shared" si="205"/>
        <v>Емкость СУГ+токси</v>
      </c>
      <c r="O215" s="227" t="str">
        <f t="shared" si="206"/>
        <v>Частичное факел</v>
      </c>
      <c r="P215" s="227" t="s">
        <v>83</v>
      </c>
      <c r="Q215" s="227" t="s">
        <v>83</v>
      </c>
      <c r="R215" s="227" t="s">
        <v>83</v>
      </c>
      <c r="S215" s="227" t="s">
        <v>83</v>
      </c>
      <c r="T215" s="227" t="s">
        <v>83</v>
      </c>
      <c r="U215" s="227" t="s">
        <v>83</v>
      </c>
      <c r="V215" s="227" t="s">
        <v>83</v>
      </c>
      <c r="W215" s="227" t="s">
        <v>83</v>
      </c>
      <c r="X215" s="227" t="s">
        <v>83</v>
      </c>
      <c r="Y215" s="227">
        <v>15</v>
      </c>
      <c r="Z215" s="227">
        <v>3</v>
      </c>
      <c r="AA215" s="227" t="s">
        <v>83</v>
      </c>
      <c r="AB215" s="227" t="s">
        <v>83</v>
      </c>
      <c r="AC215" s="227" t="s">
        <v>83</v>
      </c>
      <c r="AD215" s="227" t="s">
        <v>83</v>
      </c>
      <c r="AE215" s="227" t="s">
        <v>83</v>
      </c>
      <c r="AF215" s="227" t="s">
        <v>83</v>
      </c>
      <c r="AG215" s="227" t="s">
        <v>83</v>
      </c>
      <c r="AH215" s="227" t="s">
        <v>83</v>
      </c>
      <c r="AI215" s="227" t="s">
        <v>83</v>
      </c>
      <c r="AJ215" s="227">
        <v>0</v>
      </c>
      <c r="AK215" s="227">
        <v>1</v>
      </c>
      <c r="AL215" s="227">
        <f>0.1*$AL212</f>
        <v>0.69800000000000006</v>
      </c>
      <c r="AM215" s="227">
        <f>AM213</f>
        <v>2.7E-2</v>
      </c>
      <c r="AN215" s="227">
        <f>AN212</f>
        <v>3</v>
      </c>
      <c r="AQ215" s="230">
        <f>AM215*I215*0.1+AL215</f>
        <v>0.71688920000000012</v>
      </c>
      <c r="AR215" s="230">
        <f t="shared" si="210"/>
        <v>7.1688920000000017E-2</v>
      </c>
      <c r="AS215" s="231">
        <f t="shared" si="211"/>
        <v>0.25</v>
      </c>
      <c r="AT215" s="231">
        <f t="shared" si="212"/>
        <v>0.25964453000000004</v>
      </c>
      <c r="AU215" s="230">
        <f>10068.2*J215*POWER(10,-6)</f>
        <v>7.0437127200000005E-2</v>
      </c>
      <c r="AV215" s="231">
        <f t="shared" si="207"/>
        <v>1.3686597772000002</v>
      </c>
      <c r="AW215" s="232">
        <f t="shared" si="213"/>
        <v>0</v>
      </c>
      <c r="AX215" s="232">
        <f t="shared" si="214"/>
        <v>8.0000000000000018E-7</v>
      </c>
      <c r="AY215" s="232">
        <f t="shared" si="208"/>
        <v>1.0949278217600004E-6</v>
      </c>
    </row>
    <row r="216" spans="1:51" s="227" customFormat="1" x14ac:dyDescent="0.3">
      <c r="A216" s="218" t="s">
        <v>22</v>
      </c>
      <c r="B216" s="218" t="str">
        <f>B212</f>
        <v>Емкость СУГ+токси</v>
      </c>
      <c r="C216" s="53" t="s">
        <v>244</v>
      </c>
      <c r="D216" s="220" t="s">
        <v>172</v>
      </c>
      <c r="E216" s="233">
        <f>E215</f>
        <v>1.0000000000000001E-5</v>
      </c>
      <c r="F216" s="234">
        <f>F212</f>
        <v>2</v>
      </c>
      <c r="G216" s="218">
        <v>0.16000000000000003</v>
      </c>
      <c r="H216" s="222">
        <f t="shared" si="209"/>
        <v>3.2000000000000007E-6</v>
      </c>
      <c r="I216" s="235">
        <f>0.15*I212</f>
        <v>6.9959999999999996</v>
      </c>
      <c r="J216" s="224">
        <f>J214*0.15</f>
        <v>5.3999999999999999E-2</v>
      </c>
      <c r="K216" s="236" t="s">
        <v>180</v>
      </c>
      <c r="L216" s="237">
        <v>3</v>
      </c>
      <c r="M216" s="227" t="str">
        <f t="shared" si="204"/>
        <v>С5</v>
      </c>
      <c r="N216" s="227" t="str">
        <f t="shared" si="205"/>
        <v>Емкость СУГ+токси</v>
      </c>
      <c r="O216" s="227" t="str">
        <f t="shared" si="206"/>
        <v>Частичное-токси</v>
      </c>
      <c r="P216" s="227" t="s">
        <v>83</v>
      </c>
      <c r="Q216" s="227" t="s">
        <v>83</v>
      </c>
      <c r="R216" s="227" t="s">
        <v>83</v>
      </c>
      <c r="S216" s="227" t="s">
        <v>83</v>
      </c>
      <c r="T216" s="227" t="s">
        <v>83</v>
      </c>
      <c r="U216" s="227" t="s">
        <v>83</v>
      </c>
      <c r="V216" s="227" t="s">
        <v>83</v>
      </c>
      <c r="W216" s="227" t="s">
        <v>83</v>
      </c>
      <c r="X216" s="227" t="s">
        <v>83</v>
      </c>
      <c r="Y216" s="227" t="s">
        <v>83</v>
      </c>
      <c r="Z216" s="227" t="s">
        <v>83</v>
      </c>
      <c r="AA216" s="227" t="s">
        <v>83</v>
      </c>
      <c r="AB216" s="227" t="s">
        <v>83</v>
      </c>
      <c r="AC216" s="227">
        <v>19.7</v>
      </c>
      <c r="AD216" s="227">
        <v>37.200000000000003</v>
      </c>
      <c r="AE216" s="227" t="s">
        <v>83</v>
      </c>
      <c r="AF216" s="227" t="s">
        <v>83</v>
      </c>
      <c r="AG216" s="227" t="s">
        <v>83</v>
      </c>
      <c r="AH216" s="227" t="s">
        <v>83</v>
      </c>
      <c r="AI216" s="227" t="s">
        <v>83</v>
      </c>
      <c r="AJ216" s="227">
        <v>0</v>
      </c>
      <c r="AK216" s="227">
        <v>1</v>
      </c>
      <c r="AL216" s="227">
        <f>0.1*$AL213</f>
        <v>0.69800000000000006</v>
      </c>
      <c r="AM216" s="227">
        <f>AM212</f>
        <v>2.7E-2</v>
      </c>
      <c r="AN216" s="227">
        <f>ROUNDUP(AN212/3,0)</f>
        <v>1</v>
      </c>
      <c r="AQ216" s="230">
        <f>AM216*I216+AL216</f>
        <v>0.88689200000000001</v>
      </c>
      <c r="AR216" s="230">
        <f t="shared" si="210"/>
        <v>8.868920000000001E-2</v>
      </c>
      <c r="AS216" s="231">
        <f t="shared" si="211"/>
        <v>0.25</v>
      </c>
      <c r="AT216" s="231">
        <f t="shared" si="212"/>
        <v>0.30639530000000004</v>
      </c>
      <c r="AU216" s="230">
        <f>1333*J213*POWER(10,-6)*10</f>
        <v>1.6262599999999999E-2</v>
      </c>
      <c r="AV216" s="231">
        <f t="shared" si="207"/>
        <v>1.5482391</v>
      </c>
      <c r="AW216" s="232">
        <f t="shared" si="213"/>
        <v>0</v>
      </c>
      <c r="AX216" s="232">
        <f t="shared" si="214"/>
        <v>3.2000000000000007E-6</v>
      </c>
      <c r="AY216" s="232">
        <f t="shared" si="208"/>
        <v>4.9543651200000009E-6</v>
      </c>
    </row>
    <row r="217" spans="1:51" s="227" customFormat="1" x14ac:dyDescent="0.3">
      <c r="A217" s="218" t="s">
        <v>23</v>
      </c>
      <c r="B217" s="218" t="str">
        <f>B212</f>
        <v>Емкость СУГ+токси</v>
      </c>
      <c r="C217" s="53" t="s">
        <v>215</v>
      </c>
      <c r="D217" s="220" t="s">
        <v>214</v>
      </c>
      <c r="E217" s="233">
        <f>E216</f>
        <v>1.0000000000000001E-5</v>
      </c>
      <c r="F217" s="234">
        <v>1</v>
      </c>
      <c r="G217" s="218">
        <v>4.0000000000000008E-2</v>
      </c>
      <c r="H217" s="222">
        <f t="shared" si="209"/>
        <v>4.0000000000000009E-7</v>
      </c>
      <c r="I217" s="235">
        <f>I215*0.15</f>
        <v>1.0493999999999999</v>
      </c>
      <c r="J217" s="224">
        <f>I217*0.25</f>
        <v>0.26234999999999997</v>
      </c>
      <c r="K217" s="239" t="s">
        <v>191</v>
      </c>
      <c r="L217" s="240">
        <v>22</v>
      </c>
      <c r="M217" s="227" t="str">
        <f t="shared" si="204"/>
        <v>С6</v>
      </c>
      <c r="N217" s="227" t="str">
        <f t="shared" si="205"/>
        <v>Емкость СУГ+токси</v>
      </c>
      <c r="O217" s="227" t="str">
        <f t="shared" si="206"/>
        <v>Частичное факел</v>
      </c>
      <c r="P217" s="227" t="s">
        <v>83</v>
      </c>
      <c r="Q217" s="227" t="s">
        <v>83</v>
      </c>
      <c r="R217" s="227" t="s">
        <v>83</v>
      </c>
      <c r="S217" s="227" t="s">
        <v>83</v>
      </c>
      <c r="T217" s="227" t="s">
        <v>83</v>
      </c>
      <c r="U217" s="227" t="s">
        <v>83</v>
      </c>
      <c r="V217" s="227" t="s">
        <v>83</v>
      </c>
      <c r="W217" s="227" t="s">
        <v>83</v>
      </c>
      <c r="X217" s="227" t="s">
        <v>83</v>
      </c>
      <c r="Y217" s="227">
        <v>11</v>
      </c>
      <c r="Z217" s="227">
        <v>2</v>
      </c>
      <c r="AA217" s="227" t="s">
        <v>83</v>
      </c>
      <c r="AB217" s="227" t="s">
        <v>83</v>
      </c>
      <c r="AC217" s="227" t="s">
        <v>83</v>
      </c>
      <c r="AD217" s="227" t="s">
        <v>83</v>
      </c>
      <c r="AE217" s="227" t="s">
        <v>83</v>
      </c>
      <c r="AF217" s="227" t="s">
        <v>83</v>
      </c>
      <c r="AG217" s="227" t="s">
        <v>83</v>
      </c>
      <c r="AH217" s="227" t="s">
        <v>83</v>
      </c>
      <c r="AI217" s="227" t="s">
        <v>83</v>
      </c>
      <c r="AJ217" s="227">
        <v>0</v>
      </c>
      <c r="AK217" s="227">
        <v>1</v>
      </c>
      <c r="AL217" s="227">
        <f>0.1*$AL214</f>
        <v>0.69800000000000006</v>
      </c>
      <c r="AM217" s="227">
        <f>AM212</f>
        <v>2.7E-2</v>
      </c>
      <c r="AN217" s="227">
        <f>AN216</f>
        <v>1</v>
      </c>
      <c r="AQ217" s="230">
        <f>AM217*I217+AL217</f>
        <v>0.72633380000000003</v>
      </c>
      <c r="AR217" s="230">
        <f t="shared" si="210"/>
        <v>7.2633380000000011E-2</v>
      </c>
      <c r="AS217" s="231">
        <f t="shared" si="211"/>
        <v>0.25</v>
      </c>
      <c r="AT217" s="231">
        <f t="shared" si="212"/>
        <v>0.262241795</v>
      </c>
      <c r="AU217" s="230">
        <f>10068.2*J217*POWER(10,-6)</f>
        <v>2.6413922699999996E-3</v>
      </c>
      <c r="AV217" s="231">
        <f t="shared" si="207"/>
        <v>1.3138503672699999</v>
      </c>
      <c r="AW217" s="232">
        <f t="shared" si="213"/>
        <v>0</v>
      </c>
      <c r="AX217" s="232">
        <f t="shared" si="214"/>
        <v>4.0000000000000009E-7</v>
      </c>
      <c r="AY217" s="232">
        <f t="shared" si="208"/>
        <v>5.2554014690800008E-7</v>
      </c>
    </row>
    <row r="218" spans="1:51" s="227" customFormat="1" x14ac:dyDescent="0.3">
      <c r="A218" s="218" t="s">
        <v>210</v>
      </c>
      <c r="B218" s="218" t="str">
        <f>B212</f>
        <v>Емкость СУГ+токси</v>
      </c>
      <c r="C218" s="53" t="s">
        <v>216</v>
      </c>
      <c r="D218" s="220" t="s">
        <v>165</v>
      </c>
      <c r="E218" s="233">
        <f>E216</f>
        <v>1.0000000000000001E-5</v>
      </c>
      <c r="F218" s="234">
        <f>F212</f>
        <v>2</v>
      </c>
      <c r="G218" s="218">
        <v>0.15200000000000002</v>
      </c>
      <c r="H218" s="222">
        <f t="shared" si="209"/>
        <v>3.0400000000000005E-6</v>
      </c>
      <c r="I218" s="235">
        <f>I215*0.15</f>
        <v>1.0493999999999999</v>
      </c>
      <c r="J218" s="224">
        <f>J217</f>
        <v>0.26234999999999997</v>
      </c>
      <c r="K218" s="236"/>
      <c r="L218" s="237"/>
      <c r="M218" s="227" t="str">
        <f t="shared" si="204"/>
        <v>С7</v>
      </c>
      <c r="N218" s="227" t="str">
        <f t="shared" si="205"/>
        <v>Емкость СУГ+токси</v>
      </c>
      <c r="O218" s="227" t="str">
        <f t="shared" si="206"/>
        <v>Частичное-пожар-вспышка</v>
      </c>
      <c r="P218" s="227" t="s">
        <v>83</v>
      </c>
      <c r="Q218" s="227" t="s">
        <v>83</v>
      </c>
      <c r="R218" s="227" t="s">
        <v>83</v>
      </c>
      <c r="S218" s="227" t="s">
        <v>83</v>
      </c>
      <c r="T218" s="227" t="s">
        <v>83</v>
      </c>
      <c r="U218" s="227" t="s">
        <v>83</v>
      </c>
      <c r="V218" s="227" t="s">
        <v>83</v>
      </c>
      <c r="W218" s="227" t="s">
        <v>83</v>
      </c>
      <c r="X218" s="227" t="s">
        <v>83</v>
      </c>
      <c r="Y218" s="227" t="s">
        <v>83</v>
      </c>
      <c r="Z218" s="227" t="s">
        <v>83</v>
      </c>
      <c r="AA218" s="227">
        <v>21.55</v>
      </c>
      <c r="AB218" s="227">
        <v>25.86</v>
      </c>
      <c r="AC218" s="227" t="s">
        <v>83</v>
      </c>
      <c r="AD218" s="227" t="s">
        <v>83</v>
      </c>
      <c r="AE218" s="227" t="s">
        <v>83</v>
      </c>
      <c r="AF218" s="227" t="s">
        <v>83</v>
      </c>
      <c r="AG218" s="227" t="s">
        <v>83</v>
      </c>
      <c r="AH218" s="227" t="s">
        <v>83</v>
      </c>
      <c r="AI218" s="227" t="s">
        <v>83</v>
      </c>
      <c r="AJ218" s="227">
        <v>0</v>
      </c>
      <c r="AK218" s="227">
        <v>1</v>
      </c>
      <c r="AL218" s="227">
        <f>0.1*$AL215</f>
        <v>6.9800000000000015E-2</v>
      </c>
      <c r="AM218" s="227">
        <f>AM212</f>
        <v>2.7E-2</v>
      </c>
      <c r="AN218" s="227">
        <f>ROUNDUP(AN212/3,0)</f>
        <v>1</v>
      </c>
      <c r="AQ218" s="230">
        <f>AM218*I218+AL218</f>
        <v>9.8133800000000007E-2</v>
      </c>
      <c r="AR218" s="230">
        <f t="shared" si="210"/>
        <v>9.8133800000000018E-3</v>
      </c>
      <c r="AS218" s="231">
        <f t="shared" si="211"/>
        <v>0.25</v>
      </c>
      <c r="AT218" s="231">
        <f t="shared" si="212"/>
        <v>8.9486795000000008E-2</v>
      </c>
      <c r="AU218" s="230">
        <f>10068.2*J218*POWER(10,-6)</f>
        <v>2.6413922699999996E-3</v>
      </c>
      <c r="AV218" s="231">
        <f t="shared" si="207"/>
        <v>0.45007536726999997</v>
      </c>
      <c r="AW218" s="232">
        <f t="shared" si="213"/>
        <v>0</v>
      </c>
      <c r="AX218" s="232">
        <f t="shared" si="214"/>
        <v>3.0400000000000005E-6</v>
      </c>
      <c r="AY218" s="232">
        <f t="shared" si="208"/>
        <v>1.3682291165008002E-6</v>
      </c>
    </row>
    <row r="219" spans="1:51" s="227" customFormat="1" ht="15" thickBot="1" x14ac:dyDescent="0.35">
      <c r="A219" s="218" t="s">
        <v>211</v>
      </c>
      <c r="B219" s="218" t="str">
        <f>B212</f>
        <v>Емкость СУГ+токси</v>
      </c>
      <c r="C219" s="53" t="s">
        <v>218</v>
      </c>
      <c r="D219" s="220" t="s">
        <v>172</v>
      </c>
      <c r="E219" s="233">
        <f>E216</f>
        <v>1.0000000000000001E-5</v>
      </c>
      <c r="F219" s="234">
        <f>F212</f>
        <v>2</v>
      </c>
      <c r="G219" s="218">
        <v>0.6080000000000001</v>
      </c>
      <c r="H219" s="222">
        <f t="shared" si="209"/>
        <v>1.2160000000000002E-5</v>
      </c>
      <c r="I219" s="235">
        <f>I215*0.15</f>
        <v>1.0493999999999999</v>
      </c>
      <c r="J219" s="224">
        <f>0.15*J217</f>
        <v>3.9352499999999992E-2</v>
      </c>
      <c r="K219" s="241"/>
      <c r="L219" s="242"/>
      <c r="M219" s="227" t="str">
        <f t="shared" si="204"/>
        <v>С8</v>
      </c>
      <c r="N219" s="227" t="str">
        <f t="shared" si="205"/>
        <v>Емкость СУГ+токси</v>
      </c>
      <c r="O219" s="227" t="str">
        <f t="shared" si="206"/>
        <v>Частичное-токси</v>
      </c>
      <c r="P219" s="227" t="s">
        <v>83</v>
      </c>
      <c r="Q219" s="227" t="s">
        <v>83</v>
      </c>
      <c r="R219" s="227" t="s">
        <v>83</v>
      </c>
      <c r="S219" s="227" t="s">
        <v>83</v>
      </c>
      <c r="T219" s="227" t="s">
        <v>83</v>
      </c>
      <c r="U219" s="227" t="s">
        <v>83</v>
      </c>
      <c r="V219" s="227" t="s">
        <v>83</v>
      </c>
      <c r="W219" s="227" t="s">
        <v>83</v>
      </c>
      <c r="X219" s="227" t="s">
        <v>83</v>
      </c>
      <c r="Y219" s="227" t="s">
        <v>83</v>
      </c>
      <c r="Z219" s="227" t="s">
        <v>83</v>
      </c>
      <c r="AA219" s="227" t="s">
        <v>83</v>
      </c>
      <c r="AB219" s="227" t="s">
        <v>83</v>
      </c>
      <c r="AC219" s="227">
        <v>14.4</v>
      </c>
      <c r="AD219" s="227">
        <v>27.1</v>
      </c>
      <c r="AE219" s="227" t="s">
        <v>83</v>
      </c>
      <c r="AF219" s="227" t="s">
        <v>83</v>
      </c>
      <c r="AG219" s="227" t="s">
        <v>83</v>
      </c>
      <c r="AH219" s="227" t="s">
        <v>83</v>
      </c>
      <c r="AI219" s="227" t="s">
        <v>83</v>
      </c>
      <c r="AJ219" s="227">
        <v>0</v>
      </c>
      <c r="AK219" s="227">
        <v>0</v>
      </c>
      <c r="AL219" s="227">
        <f>0.1*$AL216</f>
        <v>6.9800000000000015E-2</v>
      </c>
      <c r="AM219" s="227">
        <f>AM212</f>
        <v>2.7E-2</v>
      </c>
      <c r="AN219" s="227">
        <f>ROUNDUP(AN212/3,0)</f>
        <v>1</v>
      </c>
      <c r="AQ219" s="230">
        <f>AM219*I219*0.1+AL219</f>
        <v>7.2633380000000011E-2</v>
      </c>
      <c r="AR219" s="230">
        <f t="shared" si="210"/>
        <v>7.2633380000000011E-3</v>
      </c>
      <c r="AS219" s="231">
        <f t="shared" si="211"/>
        <v>0</v>
      </c>
      <c r="AT219" s="231">
        <f t="shared" si="212"/>
        <v>1.9974179500000001E-2</v>
      </c>
      <c r="AU219" s="230">
        <f>1333*J217*POWER(10,-6)</f>
        <v>3.4971254999999993E-4</v>
      </c>
      <c r="AV219" s="231">
        <f t="shared" si="207"/>
        <v>0.10022061005000002</v>
      </c>
      <c r="AW219" s="232">
        <f t="shared" si="213"/>
        <v>0</v>
      </c>
      <c r="AX219" s="232">
        <f t="shared" si="214"/>
        <v>0</v>
      </c>
      <c r="AY219" s="232">
        <f t="shared" si="208"/>
        <v>1.2186826182080005E-6</v>
      </c>
    </row>
    <row r="220" spans="1:51" s="227" customFormat="1" x14ac:dyDescent="0.3">
      <c r="A220" s="281" t="s">
        <v>240</v>
      </c>
      <c r="B220" s="281" t="str">
        <f>B212</f>
        <v>Емкость СУГ+токси</v>
      </c>
      <c r="C220" s="281" t="s">
        <v>302</v>
      </c>
      <c r="D220" s="281" t="s">
        <v>303</v>
      </c>
      <c r="E220" s="282">
        <v>2.5000000000000001E-5</v>
      </c>
      <c r="F220" s="234">
        <f>F213</f>
        <v>2</v>
      </c>
      <c r="G220" s="281">
        <v>1</v>
      </c>
      <c r="H220" s="283">
        <f t="shared" si="209"/>
        <v>5.0000000000000002E-5</v>
      </c>
      <c r="I220" s="284">
        <f>I212</f>
        <v>46.64</v>
      </c>
      <c r="J220" s="284">
        <f>I220*0.07</f>
        <v>3.2648000000000001</v>
      </c>
      <c r="K220" s="281"/>
      <c r="L220" s="281"/>
      <c r="M220" s="285" t="str">
        <f t="shared" si="204"/>
        <v>С9</v>
      </c>
      <c r="N220" s="285"/>
      <c r="O220" s="285"/>
      <c r="P220" s="285">
        <v>30.2</v>
      </c>
      <c r="Q220" s="285">
        <v>41.6</v>
      </c>
      <c r="R220" s="285">
        <v>59.6</v>
      </c>
      <c r="S220" s="285">
        <v>110.1</v>
      </c>
      <c r="T220" s="285"/>
      <c r="U220" s="285"/>
      <c r="V220" s="285"/>
      <c r="W220" s="285"/>
      <c r="X220" s="285"/>
      <c r="Y220" s="285"/>
      <c r="Z220" s="285"/>
      <c r="AA220" s="285"/>
      <c r="AB220" s="285"/>
      <c r="AC220" s="285"/>
      <c r="AD220" s="285"/>
      <c r="AE220" s="285">
        <v>43</v>
      </c>
      <c r="AF220" s="285">
        <v>75</v>
      </c>
      <c r="AG220" s="285">
        <v>93.5</v>
      </c>
      <c r="AH220" s="285">
        <v>125</v>
      </c>
      <c r="AI220" s="285"/>
      <c r="AJ220" s="285">
        <v>1</v>
      </c>
      <c r="AK220" s="285">
        <v>2</v>
      </c>
      <c r="AL220" s="285">
        <f>AL212</f>
        <v>6.98</v>
      </c>
      <c r="AM220" s="285">
        <f>AM212</f>
        <v>2.7E-2</v>
      </c>
      <c r="AN220" s="285">
        <v>5</v>
      </c>
      <c r="AO220" s="285"/>
      <c r="AP220" s="285"/>
      <c r="AQ220" s="286">
        <f>AM220*I220+AL220</f>
        <v>8.2392800000000008</v>
      </c>
      <c r="AR220" s="286">
        <f>0.1*AQ220</f>
        <v>0.8239280000000001</v>
      </c>
      <c r="AS220" s="287">
        <f>AJ220*3+0.25*AK220</f>
        <v>3.5</v>
      </c>
      <c r="AT220" s="287">
        <f>SUM(AQ220:AS220)/4</f>
        <v>3.1408020000000003</v>
      </c>
      <c r="AU220" s="286">
        <f>10068.2*J220*POWER(10,-6)</f>
        <v>3.2870659360000005E-2</v>
      </c>
      <c r="AV220" s="287">
        <f t="shared" si="207"/>
        <v>15.736880659360001</v>
      </c>
      <c r="AW220" s="288">
        <f>AJ220*H220</f>
        <v>5.0000000000000002E-5</v>
      </c>
      <c r="AX220" s="288">
        <f>H220*AK220</f>
        <v>1E-4</v>
      </c>
      <c r="AY220" s="288">
        <f t="shared" si="208"/>
        <v>7.8684403296800005E-4</v>
      </c>
    </row>
    <row r="221" spans="1:51" ht="15" thickBot="1" x14ac:dyDescent="0.35"/>
    <row r="222" spans="1:51" ht="15" thickBot="1" x14ac:dyDescent="0.35">
      <c r="A222" s="48" t="s">
        <v>18</v>
      </c>
      <c r="B222" s="150" t="s">
        <v>304</v>
      </c>
      <c r="C222" s="166" t="s">
        <v>305</v>
      </c>
      <c r="D222" s="49" t="s">
        <v>307</v>
      </c>
      <c r="E222" s="153">
        <v>1.0000000000000001E-5</v>
      </c>
      <c r="F222" s="150">
        <v>1</v>
      </c>
      <c r="G222" s="48">
        <v>0.2</v>
      </c>
      <c r="H222" s="50">
        <f t="shared" ref="H222:H227" si="215">E222*F222*G222</f>
        <v>2.0000000000000003E-6</v>
      </c>
      <c r="I222" s="151">
        <v>8.75</v>
      </c>
      <c r="J222" s="149">
        <f>I222</f>
        <v>8.75</v>
      </c>
      <c r="K222" s="159" t="s">
        <v>175</v>
      </c>
      <c r="L222" s="164">
        <v>300</v>
      </c>
      <c r="M222" s="92" t="str">
        <f t="shared" ref="M222:M227" si="216">A222</f>
        <v>С1</v>
      </c>
      <c r="N222" s="92" t="str">
        <f t="shared" ref="N222:N227" si="217">B222</f>
        <v>Трубопровод Сера</v>
      </c>
      <c r="O222" s="92" t="str">
        <f t="shared" ref="O222:O227" si="218">D222</f>
        <v>Полное-пожар+токси</v>
      </c>
      <c r="P222" s="92">
        <v>17.100000000000001</v>
      </c>
      <c r="Q222" s="92">
        <v>23.5</v>
      </c>
      <c r="R222" s="92">
        <v>33.1</v>
      </c>
      <c r="S222" s="92">
        <v>61.2</v>
      </c>
      <c r="T222" s="92" t="s">
        <v>83</v>
      </c>
      <c r="U222" s="92" t="s">
        <v>83</v>
      </c>
      <c r="V222" s="92" t="s">
        <v>83</v>
      </c>
      <c r="W222" s="92" t="s">
        <v>83</v>
      </c>
      <c r="X222" s="92" t="s">
        <v>83</v>
      </c>
      <c r="Y222" s="92" t="s">
        <v>83</v>
      </c>
      <c r="Z222" s="92" t="s">
        <v>83</v>
      </c>
      <c r="AA222" s="92" t="s">
        <v>83</v>
      </c>
      <c r="AB222" s="92" t="s">
        <v>83</v>
      </c>
      <c r="AC222" s="92">
        <v>31.9</v>
      </c>
      <c r="AD222" s="92">
        <v>60.3</v>
      </c>
      <c r="AE222" s="92" t="s">
        <v>83</v>
      </c>
      <c r="AF222" s="92" t="s">
        <v>83</v>
      </c>
      <c r="AG222" s="92" t="s">
        <v>83</v>
      </c>
      <c r="AH222" s="92" t="s">
        <v>83</v>
      </c>
      <c r="AI222" s="92" t="s">
        <v>83</v>
      </c>
      <c r="AJ222" s="52">
        <v>1</v>
      </c>
      <c r="AK222" s="52">
        <v>2</v>
      </c>
      <c r="AL222" s="152">
        <v>0.75</v>
      </c>
      <c r="AM222" s="152">
        <v>2.7E-2</v>
      </c>
      <c r="AN222" s="152">
        <v>3</v>
      </c>
      <c r="AO222" s="92"/>
      <c r="AP222" s="92"/>
      <c r="AQ222" s="93">
        <f>AM222*I222+AL222</f>
        <v>0.98624999999999996</v>
      </c>
      <c r="AR222" s="93">
        <f t="shared" ref="AR222:AR227" si="219">0.1*AQ222</f>
        <v>9.8625000000000004E-2</v>
      </c>
      <c r="AS222" s="94">
        <f t="shared" ref="AS222:AS227" si="220">AJ222*3+0.25*AK222</f>
        <v>3.5</v>
      </c>
      <c r="AT222" s="94">
        <f t="shared" ref="AT222:AT227" si="221">SUM(AQ222:AS222)/4</f>
        <v>1.1462187500000001</v>
      </c>
      <c r="AU222" s="93">
        <f>10068.2*J222*POWER(10,-6)</f>
        <v>8.8096750000000001E-2</v>
      </c>
      <c r="AV222" s="94">
        <f t="shared" ref="AV222:AV227" si="222">AU222+AT222+AS222+AR222+AQ222</f>
        <v>5.8191905000000004</v>
      </c>
      <c r="AW222" s="95">
        <f t="shared" ref="AW222:AW227" si="223">AJ222*H222</f>
        <v>2.0000000000000003E-6</v>
      </c>
      <c r="AX222" s="95">
        <f t="shared" ref="AX222:AX227" si="224">H222*AK222</f>
        <v>4.0000000000000007E-6</v>
      </c>
      <c r="AY222" s="95">
        <f t="shared" ref="AY222:AY227" si="225">H222*AV222</f>
        <v>1.1638381000000003E-5</v>
      </c>
    </row>
    <row r="223" spans="1:51" ht="15" thickBot="1" x14ac:dyDescent="0.35">
      <c r="A223" s="48" t="s">
        <v>19</v>
      </c>
      <c r="B223" s="48" t="str">
        <f>B222</f>
        <v>Трубопровод Сера</v>
      </c>
      <c r="C223" s="166" t="s">
        <v>306</v>
      </c>
      <c r="D223" s="49" t="s">
        <v>307</v>
      </c>
      <c r="E223" s="154">
        <f>E222</f>
        <v>1.0000000000000001E-5</v>
      </c>
      <c r="F223" s="155">
        <f>F222</f>
        <v>1</v>
      </c>
      <c r="G223" s="48">
        <v>0.04</v>
      </c>
      <c r="H223" s="50">
        <f t="shared" si="215"/>
        <v>4.0000000000000003E-7</v>
      </c>
      <c r="I223" s="149">
        <f>I222</f>
        <v>8.75</v>
      </c>
      <c r="J223" s="149">
        <f>I222</f>
        <v>8.75</v>
      </c>
      <c r="K223" s="159" t="s">
        <v>176</v>
      </c>
      <c r="L223" s="164">
        <v>0</v>
      </c>
      <c r="M223" s="92" t="str">
        <f t="shared" si="216"/>
        <v>С2</v>
      </c>
      <c r="N223" s="92" t="str">
        <f t="shared" si="217"/>
        <v>Трубопровод Сера</v>
      </c>
      <c r="O223" s="92" t="str">
        <f t="shared" si="218"/>
        <v>Полное-пожар+токси</v>
      </c>
      <c r="P223" s="92">
        <v>17.100000000000001</v>
      </c>
      <c r="Q223" s="92">
        <v>23.5</v>
      </c>
      <c r="R223" s="92">
        <v>33.1</v>
      </c>
      <c r="S223" s="92">
        <v>61.2</v>
      </c>
      <c r="T223" s="92" t="s">
        <v>83</v>
      </c>
      <c r="U223" s="92" t="s">
        <v>83</v>
      </c>
      <c r="V223" s="92" t="s">
        <v>83</v>
      </c>
      <c r="W223" s="92" t="s">
        <v>83</v>
      </c>
      <c r="X223" s="92" t="s">
        <v>83</v>
      </c>
      <c r="Y223" s="92" t="s">
        <v>83</v>
      </c>
      <c r="Z223" s="92" t="s">
        <v>83</v>
      </c>
      <c r="AA223" s="92" t="s">
        <v>83</v>
      </c>
      <c r="AB223" s="92" t="s">
        <v>83</v>
      </c>
      <c r="AC223" s="92">
        <v>31.9</v>
      </c>
      <c r="AD223" s="92">
        <v>60.3</v>
      </c>
      <c r="AE223" s="92" t="s">
        <v>83</v>
      </c>
      <c r="AF223" s="92" t="s">
        <v>83</v>
      </c>
      <c r="AG223" s="92" t="s">
        <v>83</v>
      </c>
      <c r="AH223" s="92" t="s">
        <v>83</v>
      </c>
      <c r="AI223" s="92" t="s">
        <v>83</v>
      </c>
      <c r="AJ223" s="52">
        <v>2</v>
      </c>
      <c r="AK223" s="52">
        <v>2</v>
      </c>
      <c r="AL223" s="92">
        <f>AL222</f>
        <v>0.75</v>
      </c>
      <c r="AM223" s="92">
        <f>AM222</f>
        <v>2.7E-2</v>
      </c>
      <c r="AN223" s="92">
        <f>AN222</f>
        <v>3</v>
      </c>
      <c r="AO223" s="92"/>
      <c r="AP223" s="92"/>
      <c r="AQ223" s="93">
        <f>AM223*I223+AL223</f>
        <v>0.98624999999999996</v>
      </c>
      <c r="AR223" s="93">
        <f t="shared" si="219"/>
        <v>9.8625000000000004E-2</v>
      </c>
      <c r="AS223" s="94">
        <f t="shared" si="220"/>
        <v>6.5</v>
      </c>
      <c r="AT223" s="94">
        <f t="shared" si="221"/>
        <v>1.8962187500000001</v>
      </c>
      <c r="AU223" s="93">
        <f>10068.2*J223*POWER(10,-6)*10</f>
        <v>0.88096750000000001</v>
      </c>
      <c r="AV223" s="94">
        <f t="shared" si="222"/>
        <v>10.36206125</v>
      </c>
      <c r="AW223" s="95">
        <f t="shared" si="223"/>
        <v>8.0000000000000007E-7</v>
      </c>
      <c r="AX223" s="95">
        <f t="shared" si="224"/>
        <v>8.0000000000000007E-7</v>
      </c>
      <c r="AY223" s="95">
        <f t="shared" si="225"/>
        <v>4.1448245E-6</v>
      </c>
    </row>
    <row r="224" spans="1:51" x14ac:dyDescent="0.3">
      <c r="A224" s="48" t="s">
        <v>20</v>
      </c>
      <c r="B224" s="48" t="str">
        <f>B222</f>
        <v>Трубопровод Сера</v>
      </c>
      <c r="C224" s="166" t="s">
        <v>161</v>
      </c>
      <c r="D224" s="49" t="s">
        <v>60</v>
      </c>
      <c r="E224" s="154">
        <f>E222</f>
        <v>1.0000000000000001E-5</v>
      </c>
      <c r="F224" s="155">
        <f>F222</f>
        <v>1</v>
      </c>
      <c r="G224" s="48">
        <v>0.76</v>
      </c>
      <c r="H224" s="50">
        <f t="shared" si="215"/>
        <v>7.6000000000000009E-6</v>
      </c>
      <c r="I224" s="149">
        <f>I222</f>
        <v>8.75</v>
      </c>
      <c r="J224" s="48">
        <v>0</v>
      </c>
      <c r="K224" s="159" t="s">
        <v>177</v>
      </c>
      <c r="L224" s="164">
        <v>0</v>
      </c>
      <c r="M224" s="92" t="str">
        <f t="shared" si="216"/>
        <v>С3</v>
      </c>
      <c r="N224" s="92" t="str">
        <f t="shared" si="217"/>
        <v>Трубопровод Сера</v>
      </c>
      <c r="O224" s="92" t="str">
        <f t="shared" si="218"/>
        <v>Полное-ликвидация</v>
      </c>
      <c r="P224" s="92" t="s">
        <v>83</v>
      </c>
      <c r="Q224" s="92" t="s">
        <v>83</v>
      </c>
      <c r="R224" s="92" t="s">
        <v>83</v>
      </c>
      <c r="S224" s="92" t="s">
        <v>83</v>
      </c>
      <c r="T224" s="92" t="s">
        <v>83</v>
      </c>
      <c r="U224" s="92" t="s">
        <v>83</v>
      </c>
      <c r="V224" s="92" t="s">
        <v>83</v>
      </c>
      <c r="W224" s="92" t="s">
        <v>83</v>
      </c>
      <c r="X224" s="92" t="s">
        <v>83</v>
      </c>
      <c r="Y224" s="92" t="s">
        <v>83</v>
      </c>
      <c r="Z224" s="92" t="s">
        <v>83</v>
      </c>
      <c r="AA224" s="92" t="s">
        <v>83</v>
      </c>
      <c r="AB224" s="92" t="s">
        <v>83</v>
      </c>
      <c r="AC224" s="92" t="s">
        <v>83</v>
      </c>
      <c r="AD224" s="92" t="s">
        <v>83</v>
      </c>
      <c r="AE224" s="92" t="s">
        <v>83</v>
      </c>
      <c r="AF224" s="92" t="s">
        <v>83</v>
      </c>
      <c r="AG224" s="92" t="s">
        <v>83</v>
      </c>
      <c r="AH224" s="92" t="s">
        <v>83</v>
      </c>
      <c r="AI224" s="92" t="s">
        <v>83</v>
      </c>
      <c r="AJ224" s="92">
        <v>0</v>
      </c>
      <c r="AK224" s="92">
        <v>0</v>
      </c>
      <c r="AL224" s="92">
        <f>AL222</f>
        <v>0.75</v>
      </c>
      <c r="AM224" s="92">
        <f>AM222</f>
        <v>2.7E-2</v>
      </c>
      <c r="AN224" s="92">
        <f>AN222</f>
        <v>3</v>
      </c>
      <c r="AO224" s="92"/>
      <c r="AP224" s="92"/>
      <c r="AQ224" s="93">
        <f>AM224*I224*0.1+AL224</f>
        <v>0.77362500000000001</v>
      </c>
      <c r="AR224" s="93">
        <f t="shared" si="219"/>
        <v>7.7362500000000001E-2</v>
      </c>
      <c r="AS224" s="94">
        <f t="shared" si="220"/>
        <v>0</v>
      </c>
      <c r="AT224" s="94">
        <f t="shared" si="221"/>
        <v>0.212746875</v>
      </c>
      <c r="AU224" s="93">
        <f>1333*J223*POWER(10,-6)</f>
        <v>1.1663749999999999E-2</v>
      </c>
      <c r="AV224" s="94">
        <f t="shared" si="222"/>
        <v>1.075398125</v>
      </c>
      <c r="AW224" s="95">
        <f t="shared" si="223"/>
        <v>0</v>
      </c>
      <c r="AX224" s="95">
        <f t="shared" si="224"/>
        <v>0</v>
      </c>
      <c r="AY224" s="95">
        <f t="shared" si="225"/>
        <v>8.1730257500000016E-6</v>
      </c>
    </row>
    <row r="225" spans="1:51" x14ac:dyDescent="0.3">
      <c r="A225" s="48" t="s">
        <v>21</v>
      </c>
      <c r="B225" s="48" t="str">
        <f>B222</f>
        <v>Трубопровод Сера</v>
      </c>
      <c r="C225" s="166" t="s">
        <v>308</v>
      </c>
      <c r="D225" s="49" t="s">
        <v>307</v>
      </c>
      <c r="E225" s="153">
        <v>1E-4</v>
      </c>
      <c r="F225" s="155">
        <f>F222</f>
        <v>1</v>
      </c>
      <c r="G225" s="48">
        <v>0.2</v>
      </c>
      <c r="H225" s="50">
        <f t="shared" si="215"/>
        <v>2.0000000000000002E-5</v>
      </c>
      <c r="I225" s="149">
        <f>0.15*I222</f>
        <v>1.3125</v>
      </c>
      <c r="J225" s="149">
        <f>I225</f>
        <v>1.3125</v>
      </c>
      <c r="K225" s="161" t="s">
        <v>179</v>
      </c>
      <c r="L225" s="165">
        <v>0</v>
      </c>
      <c r="M225" s="92" t="str">
        <f t="shared" si="216"/>
        <v>С4</v>
      </c>
      <c r="N225" s="92" t="str">
        <f t="shared" si="217"/>
        <v>Трубопровод Сера</v>
      </c>
      <c r="O225" s="92" t="str">
        <f t="shared" si="218"/>
        <v>Полное-пожар+токси</v>
      </c>
      <c r="P225" s="92">
        <v>12.8</v>
      </c>
      <c r="Q225" s="92">
        <v>16.399999999999999</v>
      </c>
      <c r="R225" s="92">
        <v>21.7</v>
      </c>
      <c r="S225" s="92">
        <v>37.299999999999997</v>
      </c>
      <c r="T225" s="92" t="s">
        <v>83</v>
      </c>
      <c r="U225" s="92" t="s">
        <v>83</v>
      </c>
      <c r="V225" s="92" t="s">
        <v>83</v>
      </c>
      <c r="W225" s="92" t="s">
        <v>83</v>
      </c>
      <c r="X225" s="92" t="s">
        <v>83</v>
      </c>
      <c r="Y225" s="92" t="s">
        <v>83</v>
      </c>
      <c r="Z225" s="92" t="s">
        <v>83</v>
      </c>
      <c r="AA225" s="92" t="s">
        <v>83</v>
      </c>
      <c r="AB225" s="92" t="s">
        <v>83</v>
      </c>
      <c r="AC225" s="92">
        <v>4.8</v>
      </c>
      <c r="AD225" s="92">
        <v>9</v>
      </c>
      <c r="AE225" s="92" t="s">
        <v>83</v>
      </c>
      <c r="AF225" s="92" t="s">
        <v>83</v>
      </c>
      <c r="AG225" s="92" t="s">
        <v>83</v>
      </c>
      <c r="AH225" s="92" t="s">
        <v>83</v>
      </c>
      <c r="AI225" s="92" t="s">
        <v>83</v>
      </c>
      <c r="AJ225" s="92">
        <v>0</v>
      </c>
      <c r="AK225" s="92">
        <v>2</v>
      </c>
      <c r="AL225" s="92">
        <f>0.1*$AL$2</f>
        <v>7.5000000000000011E-2</v>
      </c>
      <c r="AM225" s="92">
        <f>AM222</f>
        <v>2.7E-2</v>
      </c>
      <c r="AN225" s="92">
        <f>ROUNDUP(AN222/3,0)</f>
        <v>1</v>
      </c>
      <c r="AO225" s="92"/>
      <c r="AP225" s="92"/>
      <c r="AQ225" s="93">
        <f>AM225*I225+AL225</f>
        <v>0.11043750000000001</v>
      </c>
      <c r="AR225" s="93">
        <f t="shared" si="219"/>
        <v>1.1043750000000001E-2</v>
      </c>
      <c r="AS225" s="94">
        <f t="shared" si="220"/>
        <v>0.5</v>
      </c>
      <c r="AT225" s="94">
        <f t="shared" si="221"/>
        <v>0.1553703125</v>
      </c>
      <c r="AU225" s="93">
        <f>10068.2*J225*POWER(10,-6)</f>
        <v>1.3214512500000001E-2</v>
      </c>
      <c r="AV225" s="94">
        <f t="shared" si="222"/>
        <v>0.79006607499999992</v>
      </c>
      <c r="AW225" s="95">
        <f t="shared" si="223"/>
        <v>0</v>
      </c>
      <c r="AX225" s="95">
        <f t="shared" si="224"/>
        <v>4.0000000000000003E-5</v>
      </c>
      <c r="AY225" s="95">
        <f t="shared" si="225"/>
        <v>1.5801321499999999E-5</v>
      </c>
    </row>
    <row r="226" spans="1:51" x14ac:dyDescent="0.3">
      <c r="A226" s="48" t="s">
        <v>22</v>
      </c>
      <c r="B226" s="48" t="str">
        <f>B222</f>
        <v>Трубопровод Сера</v>
      </c>
      <c r="C226" s="166" t="s">
        <v>309</v>
      </c>
      <c r="D226" s="49" t="s">
        <v>307</v>
      </c>
      <c r="E226" s="154">
        <f>E225</f>
        <v>1E-4</v>
      </c>
      <c r="F226" s="155">
        <f>F222</f>
        <v>1</v>
      </c>
      <c r="G226" s="48">
        <v>0.04</v>
      </c>
      <c r="H226" s="50">
        <f t="shared" si="215"/>
        <v>4.0000000000000007E-6</v>
      </c>
      <c r="I226" s="149">
        <f>0.15*I222</f>
        <v>1.3125</v>
      </c>
      <c r="J226" s="149">
        <f>I225</f>
        <v>1.3125</v>
      </c>
      <c r="K226" s="161" t="s">
        <v>180</v>
      </c>
      <c r="L226" s="165">
        <v>0</v>
      </c>
      <c r="M226" s="92" t="str">
        <f t="shared" si="216"/>
        <v>С5</v>
      </c>
      <c r="N226" s="92" t="str">
        <f t="shared" si="217"/>
        <v>Трубопровод Сера</v>
      </c>
      <c r="O226" s="92" t="str">
        <f t="shared" si="218"/>
        <v>Полное-пожар+токси</v>
      </c>
      <c r="P226" s="92">
        <v>12.8</v>
      </c>
      <c r="Q226" s="92">
        <v>16.399999999999999</v>
      </c>
      <c r="R226" s="92">
        <v>21.7</v>
      </c>
      <c r="S226" s="92">
        <v>37.299999999999997</v>
      </c>
      <c r="T226" s="92" t="s">
        <v>83</v>
      </c>
      <c r="U226" s="92" t="s">
        <v>83</v>
      </c>
      <c r="V226" s="92" t="s">
        <v>83</v>
      </c>
      <c r="W226" s="92" t="s">
        <v>83</v>
      </c>
      <c r="X226" s="92" t="s">
        <v>83</v>
      </c>
      <c r="Y226" s="92" t="s">
        <v>83</v>
      </c>
      <c r="Z226" s="92" t="s">
        <v>83</v>
      </c>
      <c r="AA226" s="92" t="s">
        <v>83</v>
      </c>
      <c r="AB226" s="92" t="s">
        <v>83</v>
      </c>
      <c r="AC226" s="92">
        <v>4.8</v>
      </c>
      <c r="AD226" s="92">
        <v>9</v>
      </c>
      <c r="AE226" s="92" t="s">
        <v>83</v>
      </c>
      <c r="AF226" s="92" t="s">
        <v>83</v>
      </c>
      <c r="AG226" s="92" t="s">
        <v>83</v>
      </c>
      <c r="AH226" s="92" t="s">
        <v>83</v>
      </c>
      <c r="AI226" s="92" t="s">
        <v>83</v>
      </c>
      <c r="AJ226" s="92">
        <v>0</v>
      </c>
      <c r="AK226" s="92">
        <v>1</v>
      </c>
      <c r="AL226" s="92">
        <f>0.1*$AL$2</f>
        <v>7.5000000000000011E-2</v>
      </c>
      <c r="AM226" s="92">
        <f>AM222</f>
        <v>2.7E-2</v>
      </c>
      <c r="AN226" s="92">
        <f>ROUNDUP(AN222/3,0)</f>
        <v>1</v>
      </c>
      <c r="AO226" s="92"/>
      <c r="AP226" s="92"/>
      <c r="AQ226" s="93">
        <f>AM226*I226+AL226</f>
        <v>0.11043750000000001</v>
      </c>
      <c r="AR226" s="93">
        <f t="shared" si="219"/>
        <v>1.1043750000000001E-2</v>
      </c>
      <c r="AS226" s="94">
        <f t="shared" si="220"/>
        <v>0.25</v>
      </c>
      <c r="AT226" s="94">
        <f t="shared" si="221"/>
        <v>9.2870312499999996E-2</v>
      </c>
      <c r="AU226" s="93">
        <f>10068.2*J226*POWER(10,-6)*10</f>
        <v>0.132145125</v>
      </c>
      <c r="AV226" s="94">
        <f t="shared" si="222"/>
        <v>0.59649668749999996</v>
      </c>
      <c r="AW226" s="95">
        <f t="shared" si="223"/>
        <v>0</v>
      </c>
      <c r="AX226" s="95">
        <f t="shared" si="224"/>
        <v>4.0000000000000007E-6</v>
      </c>
      <c r="AY226" s="95">
        <f t="shared" si="225"/>
        <v>2.3859867500000001E-6</v>
      </c>
    </row>
    <row r="227" spans="1:51" ht="15" thickBot="1" x14ac:dyDescent="0.35">
      <c r="A227" s="48" t="s">
        <v>23</v>
      </c>
      <c r="B227" s="48" t="str">
        <f>B222</f>
        <v>Трубопровод Сера</v>
      </c>
      <c r="C227" s="166" t="s">
        <v>164</v>
      </c>
      <c r="D227" s="49" t="s">
        <v>61</v>
      </c>
      <c r="E227" s="154">
        <f>E225</f>
        <v>1E-4</v>
      </c>
      <c r="F227" s="155">
        <f>F222</f>
        <v>1</v>
      </c>
      <c r="G227" s="48">
        <v>0.76</v>
      </c>
      <c r="H227" s="50">
        <f t="shared" si="215"/>
        <v>7.6000000000000004E-5</v>
      </c>
      <c r="I227" s="149">
        <f>0.15*I222</f>
        <v>1.3125</v>
      </c>
      <c r="J227" s="48">
        <v>0</v>
      </c>
      <c r="K227" s="162" t="s">
        <v>191</v>
      </c>
      <c r="L227" s="168">
        <v>23</v>
      </c>
      <c r="M227" s="92" t="str">
        <f t="shared" si="216"/>
        <v>С6</v>
      </c>
      <c r="N227" s="92" t="str">
        <f t="shared" si="217"/>
        <v>Трубопровод Сера</v>
      </c>
      <c r="O227" s="92" t="str">
        <f t="shared" si="218"/>
        <v>Частичное-ликвидация</v>
      </c>
      <c r="P227" s="92" t="s">
        <v>83</v>
      </c>
      <c r="Q227" s="92" t="s">
        <v>83</v>
      </c>
      <c r="R227" s="92" t="s">
        <v>83</v>
      </c>
      <c r="S227" s="92" t="s">
        <v>83</v>
      </c>
      <c r="T227" s="92" t="s">
        <v>83</v>
      </c>
      <c r="U227" s="92" t="s">
        <v>83</v>
      </c>
      <c r="V227" s="92" t="s">
        <v>83</v>
      </c>
      <c r="W227" s="92" t="s">
        <v>83</v>
      </c>
      <c r="X227" s="92" t="s">
        <v>83</v>
      </c>
      <c r="Y227" s="92" t="s">
        <v>83</v>
      </c>
      <c r="Z227" s="92" t="s">
        <v>83</v>
      </c>
      <c r="AA227" s="92" t="s">
        <v>83</v>
      </c>
      <c r="AB227" s="92" t="s">
        <v>83</v>
      </c>
      <c r="AC227" s="92" t="s">
        <v>83</v>
      </c>
      <c r="AD227" s="92" t="s">
        <v>83</v>
      </c>
      <c r="AE227" s="92" t="s">
        <v>83</v>
      </c>
      <c r="AF227" s="92" t="s">
        <v>83</v>
      </c>
      <c r="AG227" s="92" t="s">
        <v>83</v>
      </c>
      <c r="AH227" s="92" t="s">
        <v>83</v>
      </c>
      <c r="AI227" s="92" t="s">
        <v>83</v>
      </c>
      <c r="AJ227" s="92">
        <v>0</v>
      </c>
      <c r="AK227" s="92">
        <v>0</v>
      </c>
      <c r="AL227" s="92">
        <f>0.1*$AL$2</f>
        <v>7.5000000000000011E-2</v>
      </c>
      <c r="AM227" s="92">
        <f>AM222</f>
        <v>2.7E-2</v>
      </c>
      <c r="AN227" s="92">
        <f>ROUNDUP(AN222/3,0)</f>
        <v>1</v>
      </c>
      <c r="AO227" s="92"/>
      <c r="AP227" s="92"/>
      <c r="AQ227" s="93">
        <f>AM227*I227*0.1+AL227</f>
        <v>7.8543750000000009E-2</v>
      </c>
      <c r="AR227" s="93">
        <f t="shared" si="219"/>
        <v>7.854375000000002E-3</v>
      </c>
      <c r="AS227" s="94">
        <f t="shared" si="220"/>
        <v>0</v>
      </c>
      <c r="AT227" s="94">
        <f t="shared" si="221"/>
        <v>2.1599531250000002E-2</v>
      </c>
      <c r="AU227" s="93">
        <f>1333*J226*POWER(10,-6)</f>
        <v>1.7495624999999998E-3</v>
      </c>
      <c r="AV227" s="94">
        <f t="shared" si="222"/>
        <v>0.10974721875000001</v>
      </c>
      <c r="AW227" s="95">
        <f t="shared" si="223"/>
        <v>0</v>
      </c>
      <c r="AX227" s="95">
        <f t="shared" si="224"/>
        <v>0</v>
      </c>
      <c r="AY227" s="95">
        <f t="shared" si="225"/>
        <v>8.3407886250000012E-6</v>
      </c>
    </row>
    <row r="228" spans="1:51" x14ac:dyDescent="0.3">
      <c r="A228" s="48"/>
      <c r="B228" s="48"/>
      <c r="C228" s="166"/>
      <c r="D228" s="49"/>
      <c r="E228" s="154"/>
      <c r="F228" s="155"/>
      <c r="G228" s="48"/>
      <c r="H228" s="50"/>
      <c r="I228" s="149"/>
      <c r="J228" s="48"/>
      <c r="K228" s="278"/>
      <c r="L228" s="279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3"/>
      <c r="AR228" s="93"/>
      <c r="AS228" s="94"/>
      <c r="AT228" s="94"/>
      <c r="AU228" s="93"/>
      <c r="AV228" s="94"/>
      <c r="AW228" s="95"/>
      <c r="AX228" s="95"/>
      <c r="AY228" s="95"/>
    </row>
    <row r="229" spans="1:51" s="267" customFormat="1" x14ac:dyDescent="0.3">
      <c r="A229" s="48" t="s">
        <v>83</v>
      </c>
      <c r="B229" s="48" t="s">
        <v>83</v>
      </c>
      <c r="C229" s="48" t="s">
        <v>83</v>
      </c>
      <c r="D229" s="48" t="s">
        <v>83</v>
      </c>
      <c r="E229" s="48" t="s">
        <v>83</v>
      </c>
      <c r="F229" s="48" t="s">
        <v>83</v>
      </c>
      <c r="G229" s="48" t="s">
        <v>83</v>
      </c>
      <c r="H229" s="48" t="s">
        <v>83</v>
      </c>
      <c r="I229" s="48" t="s">
        <v>83</v>
      </c>
      <c r="J229" s="48" t="s">
        <v>83</v>
      </c>
      <c r="K229" s="48" t="s">
        <v>83</v>
      </c>
      <c r="L229" s="48" t="s">
        <v>83</v>
      </c>
      <c r="M229" s="48" t="s">
        <v>83</v>
      </c>
      <c r="N229" s="48" t="s">
        <v>83</v>
      </c>
      <c r="O229" s="48" t="s">
        <v>83</v>
      </c>
      <c r="P229" s="48" t="s">
        <v>83</v>
      </c>
      <c r="Q229" s="48" t="s">
        <v>83</v>
      </c>
      <c r="R229" s="48" t="s">
        <v>83</v>
      </c>
      <c r="S229" s="48" t="s">
        <v>83</v>
      </c>
      <c r="T229" s="48" t="s">
        <v>83</v>
      </c>
      <c r="U229" s="48" t="s">
        <v>83</v>
      </c>
      <c r="V229" s="48" t="s">
        <v>83</v>
      </c>
      <c r="W229" s="48" t="s">
        <v>83</v>
      </c>
      <c r="X229" s="48" t="s">
        <v>83</v>
      </c>
      <c r="Y229" s="48" t="s">
        <v>83</v>
      </c>
      <c r="Z229" s="48" t="s">
        <v>83</v>
      </c>
      <c r="AA229" s="48" t="s">
        <v>83</v>
      </c>
      <c r="AB229" s="48" t="s">
        <v>83</v>
      </c>
      <c r="AC229" s="48" t="s">
        <v>83</v>
      </c>
      <c r="AD229" s="48" t="s">
        <v>83</v>
      </c>
      <c r="AE229" s="48" t="s">
        <v>83</v>
      </c>
      <c r="AF229" s="48" t="s">
        <v>83</v>
      </c>
      <c r="AG229" s="48" t="s">
        <v>83</v>
      </c>
      <c r="AH229" s="48" t="s">
        <v>83</v>
      </c>
      <c r="AI229" s="48" t="s">
        <v>83</v>
      </c>
      <c r="AJ229" s="48" t="s">
        <v>83</v>
      </c>
      <c r="AK229" s="48" t="s">
        <v>83</v>
      </c>
      <c r="AL229" s="48" t="s">
        <v>83</v>
      </c>
      <c r="AM229" s="48" t="s">
        <v>83</v>
      </c>
      <c r="AN229" s="48" t="s">
        <v>83</v>
      </c>
      <c r="AO229" s="48" t="s">
        <v>83</v>
      </c>
      <c r="AP229" s="48" t="s">
        <v>83</v>
      </c>
      <c r="AQ229" s="48" t="s">
        <v>83</v>
      </c>
      <c r="AR229" s="48" t="s">
        <v>83</v>
      </c>
      <c r="AS229" s="48" t="s">
        <v>83</v>
      </c>
      <c r="AT229" s="48" t="s">
        <v>83</v>
      </c>
      <c r="AU229" s="48" t="s">
        <v>83</v>
      </c>
      <c r="AV229" s="48" t="s">
        <v>83</v>
      </c>
      <c r="AW229" s="48" t="s">
        <v>83</v>
      </c>
      <c r="AX229" s="48" t="s">
        <v>83</v>
      </c>
      <c r="AY229" s="48" t="s">
        <v>83</v>
      </c>
    </row>
    <row r="230" spans="1:51" s="267" customFormat="1" x14ac:dyDescent="0.3">
      <c r="A230" s="48" t="s">
        <v>83</v>
      </c>
      <c r="B230" s="48" t="s">
        <v>83</v>
      </c>
      <c r="C230" s="48" t="s">
        <v>83</v>
      </c>
      <c r="D230" s="48" t="s">
        <v>83</v>
      </c>
      <c r="E230" s="48" t="s">
        <v>83</v>
      </c>
      <c r="F230" s="48" t="s">
        <v>83</v>
      </c>
      <c r="G230" s="48" t="s">
        <v>83</v>
      </c>
      <c r="H230" s="48" t="s">
        <v>83</v>
      </c>
      <c r="I230" s="48" t="s">
        <v>83</v>
      </c>
      <c r="J230" s="48" t="s">
        <v>83</v>
      </c>
      <c r="K230" s="48" t="s">
        <v>83</v>
      </c>
      <c r="L230" s="48" t="s">
        <v>83</v>
      </c>
      <c r="M230" s="48" t="s">
        <v>83</v>
      </c>
      <c r="N230" s="48" t="s">
        <v>83</v>
      </c>
      <c r="O230" s="48" t="s">
        <v>83</v>
      </c>
      <c r="P230" s="48" t="s">
        <v>83</v>
      </c>
      <c r="Q230" s="48" t="s">
        <v>83</v>
      </c>
      <c r="R230" s="48" t="s">
        <v>83</v>
      </c>
      <c r="S230" s="48" t="s">
        <v>83</v>
      </c>
      <c r="T230" s="48" t="s">
        <v>83</v>
      </c>
      <c r="U230" s="48" t="s">
        <v>83</v>
      </c>
      <c r="V230" s="48" t="s">
        <v>83</v>
      </c>
      <c r="W230" s="48" t="s">
        <v>83</v>
      </c>
      <c r="X230" s="48" t="s">
        <v>83</v>
      </c>
      <c r="Y230" s="48" t="s">
        <v>83</v>
      </c>
      <c r="Z230" s="48" t="s">
        <v>83</v>
      </c>
      <c r="AA230" s="48" t="s">
        <v>83</v>
      </c>
      <c r="AB230" s="48" t="s">
        <v>83</v>
      </c>
      <c r="AC230" s="48" t="s">
        <v>83</v>
      </c>
      <c r="AD230" s="48" t="s">
        <v>83</v>
      </c>
      <c r="AE230" s="48" t="s">
        <v>83</v>
      </c>
      <c r="AF230" s="48" t="s">
        <v>83</v>
      </c>
      <c r="AG230" s="48" t="s">
        <v>83</v>
      </c>
      <c r="AH230" s="48" t="s">
        <v>83</v>
      </c>
      <c r="AI230" s="48" t="s">
        <v>83</v>
      </c>
      <c r="AJ230" s="48" t="s">
        <v>83</v>
      </c>
      <c r="AK230" s="48" t="s">
        <v>83</v>
      </c>
      <c r="AL230" s="48" t="s">
        <v>83</v>
      </c>
      <c r="AM230" s="48" t="s">
        <v>83</v>
      </c>
      <c r="AN230" s="48" t="s">
        <v>83</v>
      </c>
      <c r="AO230" s="48" t="s">
        <v>83</v>
      </c>
      <c r="AP230" s="48" t="s">
        <v>83</v>
      </c>
      <c r="AQ230" s="48" t="s">
        <v>83</v>
      </c>
      <c r="AR230" s="48" t="s">
        <v>83</v>
      </c>
      <c r="AS230" s="48" t="s">
        <v>83</v>
      </c>
      <c r="AT230" s="48" t="s">
        <v>83</v>
      </c>
      <c r="AU230" s="48" t="s">
        <v>83</v>
      </c>
      <c r="AV230" s="48" t="s">
        <v>83</v>
      </c>
      <c r="AW230" s="48" t="s">
        <v>83</v>
      </c>
      <c r="AX230" s="48" t="s">
        <v>83</v>
      </c>
      <c r="AY230" s="48" t="s">
        <v>83</v>
      </c>
    </row>
    <row r="231" spans="1:51" ht="15" thickBot="1" x14ac:dyDescent="0.35"/>
    <row r="232" spans="1:51" s="227" customFormat="1" ht="18" customHeight="1" x14ac:dyDescent="0.3">
      <c r="A232" s="218" t="s">
        <v>18</v>
      </c>
      <c r="B232" s="219" t="s">
        <v>311</v>
      </c>
      <c r="C232" s="53" t="s">
        <v>312</v>
      </c>
      <c r="D232" s="220" t="s">
        <v>59</v>
      </c>
      <c r="E232" s="221">
        <v>1.0000000000000001E-5</v>
      </c>
      <c r="F232" s="219">
        <v>1</v>
      </c>
      <c r="G232" s="218">
        <v>0.2</v>
      </c>
      <c r="H232" s="222">
        <f>E232*F232*G232</f>
        <v>2.0000000000000003E-6</v>
      </c>
      <c r="I232" s="223">
        <v>12</v>
      </c>
      <c r="J232" s="280">
        <f>I232</f>
        <v>12</v>
      </c>
      <c r="K232" s="225" t="s">
        <v>175</v>
      </c>
      <c r="L232" s="226">
        <v>200</v>
      </c>
      <c r="M232" s="227" t="str">
        <f>A232</f>
        <v>С1</v>
      </c>
      <c r="N232" s="227" t="str">
        <f>B232</f>
        <v>Трубопровод ТОКСИ</v>
      </c>
      <c r="O232" s="227" t="str">
        <f>D232</f>
        <v>Полное-пожар</v>
      </c>
      <c r="P232" s="227" t="s">
        <v>83</v>
      </c>
      <c r="Q232" s="227" t="s">
        <v>83</v>
      </c>
      <c r="R232" s="227" t="s">
        <v>83</v>
      </c>
      <c r="S232" s="227" t="s">
        <v>83</v>
      </c>
      <c r="T232" s="227" t="s">
        <v>83</v>
      </c>
      <c r="U232" s="227" t="s">
        <v>83</v>
      </c>
      <c r="V232" s="227" t="s">
        <v>83</v>
      </c>
      <c r="W232" s="227" t="s">
        <v>83</v>
      </c>
      <c r="X232" s="227" t="s">
        <v>83</v>
      </c>
      <c r="Y232" s="227" t="s">
        <v>83</v>
      </c>
      <c r="Z232" s="227" t="s">
        <v>83</v>
      </c>
      <c r="AA232" s="227" t="s">
        <v>83</v>
      </c>
      <c r="AB232" s="227" t="s">
        <v>83</v>
      </c>
      <c r="AC232" s="227" t="s">
        <v>83</v>
      </c>
      <c r="AD232" s="227" t="s">
        <v>83</v>
      </c>
      <c r="AE232" s="227" t="s">
        <v>83</v>
      </c>
      <c r="AF232" s="227" t="s">
        <v>83</v>
      </c>
      <c r="AG232" s="227" t="s">
        <v>83</v>
      </c>
      <c r="AH232" s="227" t="s">
        <v>83</v>
      </c>
      <c r="AI232" s="227">
        <v>240</v>
      </c>
      <c r="AJ232" s="228">
        <v>1</v>
      </c>
      <c r="AK232" s="228">
        <v>2</v>
      </c>
      <c r="AL232" s="229">
        <v>0.75</v>
      </c>
      <c r="AM232" s="229">
        <v>2.7E-2</v>
      </c>
      <c r="AN232" s="229">
        <v>3</v>
      </c>
      <c r="AQ232" s="230">
        <f>AM232*I232+AL232</f>
        <v>1.0740000000000001</v>
      </c>
      <c r="AR232" s="230">
        <f>0.1*AQ232</f>
        <v>0.10740000000000001</v>
      </c>
      <c r="AS232" s="231">
        <f>AJ232*3+0.25*AK232</f>
        <v>3.5</v>
      </c>
      <c r="AT232" s="231">
        <f>SUM(AQ232:AS232)/4</f>
        <v>1.17035</v>
      </c>
      <c r="AU232" s="230">
        <f>10068.2*J232*POWER(10,-6)</f>
        <v>0.12081840000000001</v>
      </c>
      <c r="AV232" s="231">
        <f>AU232+AT232+AS232+AR232+AQ232</f>
        <v>5.9725684000000001</v>
      </c>
      <c r="AW232" s="232">
        <f>AJ232*H232</f>
        <v>2.0000000000000003E-6</v>
      </c>
      <c r="AX232" s="232">
        <f>H232*AK232</f>
        <v>4.0000000000000007E-6</v>
      </c>
      <c r="AY232" s="232">
        <f>H232*AV232</f>
        <v>1.1945136800000002E-5</v>
      </c>
    </row>
    <row r="233" spans="1:51" s="227" customFormat="1" x14ac:dyDescent="0.3">
      <c r="A233" s="218" t="s">
        <v>19</v>
      </c>
      <c r="B233" s="218" t="str">
        <f>B232</f>
        <v>Трубопровод ТОКСИ</v>
      </c>
      <c r="C233" s="53" t="s">
        <v>313</v>
      </c>
      <c r="D233" s="220" t="s">
        <v>62</v>
      </c>
      <c r="E233" s="233">
        <f>E232</f>
        <v>1.0000000000000001E-5</v>
      </c>
      <c r="F233" s="234">
        <f>F232</f>
        <v>1</v>
      </c>
      <c r="G233" s="218">
        <v>0.8</v>
      </c>
      <c r="H233" s="222">
        <f>E233*F233*G233</f>
        <v>8.0000000000000013E-6</v>
      </c>
      <c r="I233" s="235">
        <f>I232</f>
        <v>12</v>
      </c>
      <c r="J233" s="280">
        <f>I232</f>
        <v>12</v>
      </c>
      <c r="K233" s="236" t="s">
        <v>176</v>
      </c>
      <c r="L233" s="237">
        <v>0</v>
      </c>
      <c r="M233" s="227" t="str">
        <f>A233</f>
        <v>С2</v>
      </c>
      <c r="N233" s="227" t="str">
        <f>B233</f>
        <v>Трубопровод ТОКСИ</v>
      </c>
      <c r="O233" s="227" t="str">
        <f>D233</f>
        <v>Полное-взрыв</v>
      </c>
      <c r="P233" s="227" t="s">
        <v>83</v>
      </c>
      <c r="Q233" s="227" t="s">
        <v>83</v>
      </c>
      <c r="R233" s="227" t="s">
        <v>83</v>
      </c>
      <c r="S233" s="227" t="s">
        <v>83</v>
      </c>
      <c r="T233" s="227" t="s">
        <v>83</v>
      </c>
      <c r="U233" s="227" t="s">
        <v>83</v>
      </c>
      <c r="V233" s="227" t="s">
        <v>83</v>
      </c>
      <c r="W233" s="227" t="s">
        <v>83</v>
      </c>
      <c r="X233" s="227" t="s">
        <v>83</v>
      </c>
      <c r="Y233" s="227" t="s">
        <v>83</v>
      </c>
      <c r="Z233" s="227" t="s">
        <v>83</v>
      </c>
      <c r="AA233" s="227" t="s">
        <v>83</v>
      </c>
      <c r="AB233" s="227" t="s">
        <v>83</v>
      </c>
      <c r="AC233" s="227" t="s">
        <v>83</v>
      </c>
      <c r="AD233" s="227" t="s">
        <v>83</v>
      </c>
      <c r="AE233" s="227" t="s">
        <v>83</v>
      </c>
      <c r="AF233" s="227" t="s">
        <v>83</v>
      </c>
      <c r="AG233" s="227" t="s">
        <v>83</v>
      </c>
      <c r="AH233" s="227" t="s">
        <v>83</v>
      </c>
      <c r="AI233" s="227">
        <v>33.333333333333336</v>
      </c>
      <c r="AJ233" s="228">
        <v>2</v>
      </c>
      <c r="AK233" s="228">
        <v>2</v>
      </c>
      <c r="AL233" s="227">
        <f>AL232</f>
        <v>0.75</v>
      </c>
      <c r="AM233" s="227">
        <f>AM232</f>
        <v>2.7E-2</v>
      </c>
      <c r="AN233" s="227">
        <f>AN232</f>
        <v>3</v>
      </c>
      <c r="AQ233" s="230">
        <f>AM233*I233+AL233</f>
        <v>1.0740000000000001</v>
      </c>
      <c r="AR233" s="230">
        <f>0.1*AQ233</f>
        <v>0.10740000000000001</v>
      </c>
      <c r="AS233" s="231">
        <f>AJ233*3+0.25*AK233</f>
        <v>6.5</v>
      </c>
      <c r="AT233" s="231">
        <f>SUM(AQ233:AS233)/4</f>
        <v>1.92035</v>
      </c>
      <c r="AU233" s="230">
        <f>10068.2*J233*POWER(10,-6)*10</f>
        <v>1.2081840000000001</v>
      </c>
      <c r="AV233" s="231">
        <f>AU233+AT233+AS233+AR233+AQ233</f>
        <v>10.809934</v>
      </c>
      <c r="AW233" s="232">
        <f>AJ233*H233</f>
        <v>1.6000000000000003E-5</v>
      </c>
      <c r="AX233" s="232">
        <f>H233*AK233</f>
        <v>1.6000000000000003E-5</v>
      </c>
      <c r="AY233" s="232">
        <f>H233*AV233</f>
        <v>8.6479472000000021E-5</v>
      </c>
    </row>
    <row r="234" spans="1:51" s="227" customFormat="1" x14ac:dyDescent="0.3">
      <c r="A234" s="218"/>
      <c r="B234" s="218"/>
      <c r="C234" s="53"/>
      <c r="D234" s="220"/>
      <c r="E234" s="233"/>
      <c r="F234" s="234"/>
      <c r="G234" s="218"/>
      <c r="H234" s="222"/>
      <c r="I234" s="235"/>
      <c r="J234" s="238"/>
      <c r="K234" s="236" t="s">
        <v>177</v>
      </c>
      <c r="L234" s="237">
        <v>0</v>
      </c>
      <c r="N234" s="227">
        <f>B234</f>
        <v>0</v>
      </c>
      <c r="O234" s="227">
        <f>D234</f>
        <v>0</v>
      </c>
      <c r="P234" s="227" t="s">
        <v>83</v>
      </c>
      <c r="Q234" s="227" t="s">
        <v>83</v>
      </c>
      <c r="R234" s="227" t="s">
        <v>83</v>
      </c>
      <c r="S234" s="227" t="s">
        <v>83</v>
      </c>
      <c r="T234" s="227" t="s">
        <v>83</v>
      </c>
      <c r="U234" s="227" t="s">
        <v>83</v>
      </c>
      <c r="V234" s="227" t="s">
        <v>83</v>
      </c>
      <c r="W234" s="227" t="s">
        <v>83</v>
      </c>
      <c r="X234" s="227" t="s">
        <v>83</v>
      </c>
      <c r="Y234" s="227" t="s">
        <v>83</v>
      </c>
      <c r="Z234" s="227" t="s">
        <v>83</v>
      </c>
      <c r="AA234" s="227" t="s">
        <v>83</v>
      </c>
      <c r="AB234" s="227" t="s">
        <v>83</v>
      </c>
      <c r="AC234" s="227" t="s">
        <v>83</v>
      </c>
      <c r="AD234" s="227" t="s">
        <v>83</v>
      </c>
      <c r="AQ234" s="230"/>
      <c r="AR234" s="230"/>
      <c r="AS234" s="231"/>
      <c r="AT234" s="231"/>
      <c r="AU234" s="230"/>
      <c r="AV234" s="231"/>
      <c r="AW234" s="232"/>
      <c r="AX234" s="232"/>
      <c r="AY234" s="232"/>
    </row>
    <row r="235" spans="1:51" s="227" customFormat="1" x14ac:dyDescent="0.3">
      <c r="A235" s="218"/>
      <c r="B235" s="218"/>
      <c r="C235" s="53"/>
      <c r="D235" s="220"/>
      <c r="E235" s="221"/>
      <c r="F235" s="234"/>
      <c r="G235" s="218"/>
      <c r="H235" s="222"/>
      <c r="I235" s="235"/>
      <c r="J235" s="224"/>
      <c r="K235" s="236" t="s">
        <v>179</v>
      </c>
      <c r="L235" s="237">
        <v>0</v>
      </c>
      <c r="AQ235" s="230"/>
      <c r="AR235" s="230"/>
      <c r="AS235" s="231"/>
      <c r="AT235" s="231"/>
      <c r="AU235" s="230"/>
      <c r="AV235" s="231"/>
      <c r="AW235" s="232"/>
      <c r="AX235" s="232"/>
      <c r="AY235" s="232"/>
    </row>
    <row r="236" spans="1:51" s="227" customFormat="1" x14ac:dyDescent="0.3">
      <c r="A236" s="218"/>
      <c r="B236" s="218"/>
      <c r="C236" s="53"/>
      <c r="D236" s="220"/>
      <c r="E236" s="233"/>
      <c r="F236" s="234"/>
      <c r="G236" s="218"/>
      <c r="H236" s="222"/>
      <c r="I236" s="235"/>
      <c r="J236" s="224"/>
      <c r="K236" s="236" t="s">
        <v>180</v>
      </c>
      <c r="L236" s="237">
        <v>0</v>
      </c>
      <c r="AQ236" s="230"/>
      <c r="AR236" s="230"/>
      <c r="AS236" s="231"/>
      <c r="AT236" s="231"/>
      <c r="AU236" s="230"/>
      <c r="AV236" s="231"/>
      <c r="AW236" s="232"/>
      <c r="AX236" s="232"/>
      <c r="AY236" s="232"/>
    </row>
    <row r="237" spans="1:51" s="227" customFormat="1" ht="15" thickBot="1" x14ac:dyDescent="0.35">
      <c r="A237" s="218"/>
      <c r="B237" s="218"/>
      <c r="C237" s="53"/>
      <c r="D237" s="220"/>
      <c r="E237" s="233"/>
      <c r="F237" s="234"/>
      <c r="G237" s="218"/>
      <c r="H237" s="222"/>
      <c r="I237" s="235"/>
      <c r="J237" s="224"/>
      <c r="K237" s="241" t="s">
        <v>191</v>
      </c>
      <c r="L237" s="253">
        <v>24</v>
      </c>
      <c r="AQ237" s="230"/>
      <c r="AR237" s="230"/>
      <c r="AS237" s="231"/>
      <c r="AT237" s="231"/>
      <c r="AU237" s="230"/>
      <c r="AV237" s="231"/>
      <c r="AW237" s="232"/>
      <c r="AX237" s="232"/>
      <c r="AY237" s="232"/>
    </row>
    <row r="238" spans="1:51" s="227" customFormat="1" x14ac:dyDescent="0.3">
      <c r="A238" s="228"/>
      <c r="B238" s="228"/>
      <c r="D238" s="274"/>
      <c r="E238" s="275"/>
      <c r="F238" s="276"/>
      <c r="G238" s="228"/>
      <c r="H238" s="232"/>
      <c r="I238" s="231"/>
      <c r="J238" s="231"/>
      <c r="K238" s="228"/>
      <c r="L238" s="276"/>
      <c r="AQ238" s="230"/>
      <c r="AR238" s="230"/>
      <c r="AS238" s="231"/>
      <c r="AT238" s="231"/>
      <c r="AU238" s="230"/>
      <c r="AV238" s="231"/>
      <c r="AW238" s="232"/>
      <c r="AX238" s="232"/>
      <c r="AY238" s="232"/>
    </row>
    <row r="239" spans="1:51" s="227" customFormat="1" x14ac:dyDescent="0.3">
      <c r="A239" s="228"/>
      <c r="B239" s="228"/>
      <c r="D239" s="274"/>
      <c r="E239" s="275"/>
      <c r="F239" s="276"/>
      <c r="G239" s="228"/>
      <c r="H239" s="232"/>
      <c r="I239" s="231"/>
      <c r="J239" s="231"/>
      <c r="K239" s="228"/>
      <c r="L239" s="276"/>
      <c r="AQ239" s="230"/>
      <c r="AR239" s="230"/>
      <c r="AS239" s="231"/>
      <c r="AT239" s="231"/>
      <c r="AU239" s="230"/>
      <c r="AV239" s="231"/>
      <c r="AW239" s="232"/>
      <c r="AX239" s="232"/>
      <c r="AY239" s="232"/>
    </row>
    <row r="240" spans="1:51" s="227" customFormat="1" x14ac:dyDescent="0.3">
      <c r="A240" s="228"/>
      <c r="B240" s="228"/>
      <c r="D240" s="274"/>
      <c r="E240" s="275"/>
      <c r="F240" s="276"/>
      <c r="G240" s="228"/>
      <c r="H240" s="232"/>
      <c r="I240" s="231"/>
      <c r="J240" s="231"/>
      <c r="K240" s="228"/>
      <c r="L240" s="276"/>
      <c r="AQ240" s="230"/>
      <c r="AR240" s="230"/>
      <c r="AS240" s="231"/>
      <c r="AT240" s="231"/>
      <c r="AU240" s="230"/>
      <c r="AV240" s="231"/>
      <c r="AW240" s="232"/>
      <c r="AX240" s="232"/>
      <c r="AY240" s="2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topLeftCell="A4" workbookViewId="0">
      <selection activeCell="C8" sqref="C8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3320312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33203125" customWidth="1"/>
    <col min="13" max="13" width="24.5546875" customWidth="1"/>
  </cols>
  <sheetData>
    <row r="1" spans="1:13" ht="23.4" thickBot="1" x14ac:dyDescent="0.35">
      <c r="A1" s="343" t="s">
        <v>317</v>
      </c>
      <c r="B1" s="344" t="s">
        <v>318</v>
      </c>
      <c r="C1" s="344" t="s">
        <v>319</v>
      </c>
      <c r="D1" s="344" t="s">
        <v>320</v>
      </c>
      <c r="E1" s="344" t="s">
        <v>321</v>
      </c>
      <c r="F1" s="344" t="s">
        <v>322</v>
      </c>
      <c r="H1" s="343" t="s">
        <v>317</v>
      </c>
      <c r="I1" s="344" t="s">
        <v>318</v>
      </c>
      <c r="J1" s="344" t="s">
        <v>319</v>
      </c>
      <c r="K1" s="344" t="s">
        <v>320</v>
      </c>
      <c r="L1" s="344" t="s">
        <v>321</v>
      </c>
      <c r="M1" s="344" t="s">
        <v>322</v>
      </c>
    </row>
    <row r="2" spans="1:13" ht="72.599999999999994" thickBot="1" x14ac:dyDescent="0.35">
      <c r="A2" s="346">
        <v>1</v>
      </c>
      <c r="B2" s="348" t="s">
        <v>374</v>
      </c>
      <c r="C2" s="347" t="s">
        <v>323</v>
      </c>
      <c r="D2" s="348" t="s">
        <v>324</v>
      </c>
      <c r="E2" s="348" t="s">
        <v>325</v>
      </c>
      <c r="F2" s="348" t="s">
        <v>83</v>
      </c>
      <c r="H2" s="346">
        <v>1</v>
      </c>
      <c r="I2" s="348" t="s">
        <v>365</v>
      </c>
      <c r="J2" s="348" t="s">
        <v>339</v>
      </c>
      <c r="K2" s="348" t="s">
        <v>340</v>
      </c>
      <c r="L2" s="348" t="s">
        <v>341</v>
      </c>
      <c r="M2" s="348" t="s">
        <v>342</v>
      </c>
    </row>
    <row r="3" spans="1:13" ht="48.6" thickBot="1" x14ac:dyDescent="0.35">
      <c r="A3" s="346">
        <v>2</v>
      </c>
      <c r="B3" s="347" t="s">
        <v>375</v>
      </c>
      <c r="C3" s="347" t="s">
        <v>326</v>
      </c>
      <c r="D3" s="348" t="s">
        <v>370</v>
      </c>
      <c r="E3" s="348" t="s">
        <v>369</v>
      </c>
      <c r="F3" s="348" t="s">
        <v>327</v>
      </c>
      <c r="H3" s="347">
        <v>2</v>
      </c>
      <c r="I3" s="348" t="s">
        <v>364</v>
      </c>
      <c r="J3" s="348" t="s">
        <v>343</v>
      </c>
      <c r="K3" s="348" t="s">
        <v>344</v>
      </c>
      <c r="L3" s="348" t="s">
        <v>345</v>
      </c>
      <c r="M3" s="348" t="s">
        <v>83</v>
      </c>
    </row>
    <row r="4" spans="1:13" ht="96.6" thickBot="1" x14ac:dyDescent="0.35">
      <c r="A4" s="346">
        <v>3</v>
      </c>
      <c r="B4" s="347" t="s">
        <v>376</v>
      </c>
      <c r="C4" s="347" t="s">
        <v>328</v>
      </c>
      <c r="D4" s="348" t="s">
        <v>371</v>
      </c>
      <c r="E4" s="348" t="s">
        <v>329</v>
      </c>
      <c r="F4" s="348" t="s">
        <v>330</v>
      </c>
      <c r="H4" s="347">
        <v>3</v>
      </c>
      <c r="I4" s="348" t="s">
        <v>363</v>
      </c>
      <c r="J4" s="348" t="s">
        <v>339</v>
      </c>
      <c r="K4" s="348" t="s">
        <v>346</v>
      </c>
      <c r="L4" s="348" t="s">
        <v>347</v>
      </c>
      <c r="M4" s="348" t="s">
        <v>348</v>
      </c>
    </row>
    <row r="5" spans="1:13" ht="60.6" thickBot="1" x14ac:dyDescent="0.35">
      <c r="A5" s="346">
        <v>4</v>
      </c>
      <c r="B5" s="346" t="s">
        <v>377</v>
      </c>
      <c r="C5" s="346" t="s">
        <v>331</v>
      </c>
      <c r="D5" s="345" t="s">
        <v>332</v>
      </c>
      <c r="E5" s="345" t="s">
        <v>333</v>
      </c>
      <c r="F5" s="345" t="s">
        <v>83</v>
      </c>
      <c r="H5" s="346">
        <v>4</v>
      </c>
      <c r="I5" s="348" t="s">
        <v>362</v>
      </c>
      <c r="J5" s="348" t="s">
        <v>349</v>
      </c>
      <c r="K5" s="348" t="s">
        <v>350</v>
      </c>
      <c r="L5" s="348" t="s">
        <v>351</v>
      </c>
      <c r="M5" s="348" t="s">
        <v>83</v>
      </c>
    </row>
    <row r="6" spans="1:13" ht="96.6" thickBot="1" x14ac:dyDescent="0.35">
      <c r="A6" s="346">
        <v>5</v>
      </c>
      <c r="B6" s="348" t="s">
        <v>378</v>
      </c>
      <c r="C6" s="348" t="s">
        <v>326</v>
      </c>
      <c r="D6" s="348" t="s">
        <v>372</v>
      </c>
      <c r="E6" s="348" t="s">
        <v>83</v>
      </c>
      <c r="F6" s="348" t="s">
        <v>327</v>
      </c>
      <c r="H6" s="346">
        <v>5</v>
      </c>
      <c r="I6" s="348" t="s">
        <v>361</v>
      </c>
      <c r="J6" s="348" t="s">
        <v>352</v>
      </c>
      <c r="K6" s="348" t="s">
        <v>353</v>
      </c>
      <c r="L6" s="348" t="s">
        <v>354</v>
      </c>
      <c r="M6" s="348" t="s">
        <v>83</v>
      </c>
    </row>
    <row r="7" spans="1:13" ht="84.6" thickBot="1" x14ac:dyDescent="0.35">
      <c r="A7" s="346">
        <v>6</v>
      </c>
      <c r="B7" s="348" t="s">
        <v>379</v>
      </c>
      <c r="C7" s="348" t="s">
        <v>328</v>
      </c>
      <c r="D7" s="348" t="s">
        <v>334</v>
      </c>
      <c r="E7" s="348" t="s">
        <v>83</v>
      </c>
      <c r="F7" s="348" t="s">
        <v>336</v>
      </c>
      <c r="H7" s="346">
        <v>6</v>
      </c>
      <c r="I7" s="348" t="s">
        <v>360</v>
      </c>
      <c r="J7" s="348" t="s">
        <v>339</v>
      </c>
      <c r="K7" s="348" t="s">
        <v>355</v>
      </c>
      <c r="L7" s="348" t="s">
        <v>354</v>
      </c>
      <c r="M7" s="348" t="s">
        <v>83</v>
      </c>
    </row>
    <row r="8" spans="1:13" ht="120.6" thickBot="1" x14ac:dyDescent="0.35">
      <c r="A8" s="346">
        <v>7</v>
      </c>
      <c r="B8" s="348" t="s">
        <v>380</v>
      </c>
      <c r="C8" s="347" t="s">
        <v>335</v>
      </c>
      <c r="D8" s="349" t="s">
        <v>337</v>
      </c>
      <c r="E8" s="348" t="s">
        <v>329</v>
      </c>
      <c r="F8" s="348" t="s">
        <v>368</v>
      </c>
      <c r="H8" s="346">
        <v>7</v>
      </c>
      <c r="I8" s="348" t="s">
        <v>359</v>
      </c>
      <c r="J8" s="348" t="s">
        <v>349</v>
      </c>
      <c r="K8" s="348" t="s">
        <v>356</v>
      </c>
      <c r="L8" s="348" t="s">
        <v>83</v>
      </c>
      <c r="M8" s="348" t="s">
        <v>357</v>
      </c>
    </row>
    <row r="9" spans="1:13" ht="72.599999999999994" thickBot="1" x14ac:dyDescent="0.35">
      <c r="A9" s="346">
        <v>8</v>
      </c>
      <c r="B9" s="347" t="s">
        <v>338</v>
      </c>
      <c r="C9" s="348" t="s">
        <v>331</v>
      </c>
      <c r="D9" s="349" t="s">
        <v>373</v>
      </c>
      <c r="E9" s="348" t="s">
        <v>83</v>
      </c>
      <c r="F9" s="348" t="s">
        <v>83</v>
      </c>
      <c r="H9" s="346">
        <v>8</v>
      </c>
      <c r="I9" s="347" t="s">
        <v>358</v>
      </c>
      <c r="J9" s="348" t="s">
        <v>343</v>
      </c>
      <c r="K9" s="349" t="s">
        <v>366</v>
      </c>
      <c r="L9" s="348" t="s">
        <v>367</v>
      </c>
      <c r="M9" s="348" t="s">
        <v>354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workbookViewId="0">
      <selection activeCell="F118" sqref="F118:F121"/>
    </sheetView>
  </sheetViews>
  <sheetFormatPr defaultRowHeight="14.4" x14ac:dyDescent="0.3"/>
  <cols>
    <col min="1" max="1" width="18.6640625" style="355" customWidth="1"/>
    <col min="2" max="2" width="15.33203125" style="355" customWidth="1"/>
    <col min="3" max="3" width="15.6640625" style="355" customWidth="1"/>
    <col min="4" max="4" width="13.33203125" style="355" customWidth="1"/>
    <col min="5" max="5" width="14.5546875" style="355" customWidth="1"/>
    <col min="6" max="6" width="12.33203125" style="355" customWidth="1"/>
    <col min="7" max="7" width="8.88671875" style="355"/>
    <col min="8" max="8" width="14.6640625" style="355" customWidth="1"/>
  </cols>
  <sheetData>
    <row r="1" spans="1:8" ht="15" thickTop="1" x14ac:dyDescent="0.3">
      <c r="A1" s="437" t="s">
        <v>381</v>
      </c>
      <c r="B1" s="350" t="s">
        <v>382</v>
      </c>
      <c r="C1" s="350" t="s">
        <v>384</v>
      </c>
      <c r="D1" s="350" t="s">
        <v>385</v>
      </c>
      <c r="E1" s="350" t="s">
        <v>386</v>
      </c>
      <c r="F1" s="350" t="s">
        <v>388</v>
      </c>
      <c r="G1" s="439" t="s">
        <v>390</v>
      </c>
      <c r="H1" s="351" t="s">
        <v>391</v>
      </c>
    </row>
    <row r="2" spans="1:8" ht="15" thickBot="1" x14ac:dyDescent="0.35">
      <c r="A2" s="438"/>
      <c r="B2" s="356" t="s">
        <v>383</v>
      </c>
      <c r="C2" s="356" t="s">
        <v>383</v>
      </c>
      <c r="D2" s="356" t="s">
        <v>383</v>
      </c>
      <c r="E2" s="356" t="s">
        <v>387</v>
      </c>
      <c r="F2" s="356" t="s">
        <v>389</v>
      </c>
      <c r="G2" s="440"/>
      <c r="H2" s="357" t="s">
        <v>383</v>
      </c>
    </row>
    <row r="3" spans="1:8" ht="15.6" thickTop="1" thickBot="1" x14ac:dyDescent="0.35">
      <c r="A3" s="353" t="s">
        <v>392</v>
      </c>
      <c r="B3" s="352">
        <v>-8.8000000000000007</v>
      </c>
      <c r="C3" s="352">
        <v>-13</v>
      </c>
      <c r="D3" s="352">
        <v>-10.8</v>
      </c>
      <c r="E3" s="352"/>
      <c r="F3" s="361">
        <v>2</v>
      </c>
      <c r="G3" s="361">
        <v>0</v>
      </c>
      <c r="H3" s="358">
        <v>-14.8</v>
      </c>
    </row>
    <row r="4" spans="1:8" ht="15" thickBot="1" x14ac:dyDescent="0.35">
      <c r="A4" s="353" t="s">
        <v>392</v>
      </c>
      <c r="B4" s="352">
        <v>-7.9</v>
      </c>
      <c r="C4" s="352">
        <v>-20</v>
      </c>
      <c r="D4" s="352">
        <v>-12.5</v>
      </c>
      <c r="E4" s="352"/>
      <c r="F4" s="361">
        <v>2</v>
      </c>
      <c r="G4" s="361">
        <v>0</v>
      </c>
      <c r="H4" s="358">
        <v>-16.600000000000001</v>
      </c>
    </row>
    <row r="5" spans="1:8" ht="15" thickBot="1" x14ac:dyDescent="0.35">
      <c r="A5" s="353" t="s">
        <v>392</v>
      </c>
      <c r="B5" s="352">
        <v>-13.3</v>
      </c>
      <c r="C5" s="352">
        <v>-23</v>
      </c>
      <c r="D5" s="352">
        <v>-19.8</v>
      </c>
      <c r="E5" s="352"/>
      <c r="F5" s="361">
        <v>0</v>
      </c>
      <c r="G5" s="361">
        <v>0</v>
      </c>
      <c r="H5" s="358">
        <v>-23.1</v>
      </c>
    </row>
    <row r="6" spans="1:8" ht="15" thickBot="1" x14ac:dyDescent="0.35">
      <c r="A6" s="353" t="s">
        <v>392</v>
      </c>
      <c r="B6" s="352">
        <v>-13.1</v>
      </c>
      <c r="C6" s="352">
        <v>-23</v>
      </c>
      <c r="D6" s="352">
        <v>-18.100000000000001</v>
      </c>
      <c r="E6" s="352"/>
      <c r="F6" s="361">
        <v>3</v>
      </c>
      <c r="G6" s="361">
        <v>0</v>
      </c>
      <c r="H6" s="358">
        <v>-23.2</v>
      </c>
    </row>
    <row r="7" spans="1:8" ht="15" thickBot="1" x14ac:dyDescent="0.35">
      <c r="A7" s="353" t="s">
        <v>392</v>
      </c>
      <c r="B7" s="352">
        <v>-12.5</v>
      </c>
      <c r="C7" s="352">
        <v>-19</v>
      </c>
      <c r="D7" s="352">
        <v>-16.7</v>
      </c>
      <c r="E7" s="352"/>
      <c r="F7" s="361">
        <v>3</v>
      </c>
      <c r="G7" s="361">
        <v>0</v>
      </c>
      <c r="H7" s="358">
        <v>-21.8</v>
      </c>
    </row>
    <row r="8" spans="1:8" ht="15" thickBot="1" x14ac:dyDescent="0.35">
      <c r="A8" s="353" t="s">
        <v>392</v>
      </c>
      <c r="B8" s="352">
        <v>-13.2</v>
      </c>
      <c r="C8" s="352">
        <v>-21</v>
      </c>
      <c r="D8" s="352">
        <v>-16.2</v>
      </c>
      <c r="E8" s="352"/>
      <c r="F8" s="361">
        <v>2</v>
      </c>
      <c r="G8" s="361">
        <v>0</v>
      </c>
      <c r="H8" s="358">
        <v>-20.6</v>
      </c>
    </row>
    <row r="9" spans="1:8" ht="15" thickBot="1" x14ac:dyDescent="0.35">
      <c r="A9" s="353" t="s">
        <v>392</v>
      </c>
      <c r="B9" s="352">
        <v>-10.7</v>
      </c>
      <c r="C9" s="352">
        <v>-17</v>
      </c>
      <c r="D9" s="352">
        <v>-14.5</v>
      </c>
      <c r="E9" s="352"/>
      <c r="F9" s="361">
        <v>3</v>
      </c>
      <c r="G9" s="361">
        <v>0</v>
      </c>
      <c r="H9" s="358">
        <v>-19.399999999999999</v>
      </c>
    </row>
    <row r="10" spans="1:8" ht="15" thickBot="1" x14ac:dyDescent="0.35">
      <c r="A10" s="353" t="s">
        <v>392</v>
      </c>
      <c r="B10" s="352">
        <v>-13</v>
      </c>
      <c r="C10" s="352">
        <v>-19</v>
      </c>
      <c r="D10" s="352">
        <v>-16.399999999999999</v>
      </c>
      <c r="E10" s="352"/>
      <c r="F10" s="361">
        <v>4</v>
      </c>
      <c r="G10" s="361">
        <v>0</v>
      </c>
      <c r="H10" s="358">
        <v>-22.1</v>
      </c>
    </row>
    <row r="11" spans="1:8" ht="15" thickBot="1" x14ac:dyDescent="0.35">
      <c r="A11" s="353" t="s">
        <v>392</v>
      </c>
      <c r="B11" s="352">
        <v>-7.7</v>
      </c>
      <c r="C11" s="352">
        <v>-15.2</v>
      </c>
      <c r="D11" s="352">
        <v>-9.6</v>
      </c>
      <c r="E11" s="352"/>
      <c r="F11" s="361">
        <v>7</v>
      </c>
      <c r="G11" s="361">
        <v>2</v>
      </c>
      <c r="H11" s="358">
        <v>-16.8</v>
      </c>
    </row>
    <row r="12" spans="1:8" ht="15" thickBot="1" x14ac:dyDescent="0.35">
      <c r="A12" s="353" t="s">
        <v>392</v>
      </c>
      <c r="B12" s="352">
        <v>-6</v>
      </c>
      <c r="C12" s="352">
        <v>-9</v>
      </c>
      <c r="D12" s="352">
        <v>-7.3</v>
      </c>
      <c r="E12" s="352"/>
      <c r="F12" s="361">
        <v>8</v>
      </c>
      <c r="G12" s="361">
        <v>10</v>
      </c>
      <c r="H12" s="358">
        <v>-14.9</v>
      </c>
    </row>
    <row r="13" spans="1:8" ht="15" thickBot="1" x14ac:dyDescent="0.35">
      <c r="A13" s="353" t="s">
        <v>392</v>
      </c>
      <c r="B13" s="352">
        <v>-2.4</v>
      </c>
      <c r="C13" s="352">
        <v>-7.1</v>
      </c>
      <c r="D13" s="352">
        <v>-3.8</v>
      </c>
      <c r="E13" s="352"/>
      <c r="F13" s="361">
        <v>7</v>
      </c>
      <c r="G13" s="361">
        <v>14</v>
      </c>
      <c r="H13" s="358">
        <v>-10.4</v>
      </c>
    </row>
    <row r="14" spans="1:8" ht="15" thickBot="1" x14ac:dyDescent="0.35">
      <c r="A14" s="353" t="s">
        <v>392</v>
      </c>
      <c r="B14" s="352">
        <v>-3</v>
      </c>
      <c r="C14" s="352">
        <v>-11</v>
      </c>
      <c r="D14" s="352">
        <v>-6.8</v>
      </c>
      <c r="E14" s="352"/>
      <c r="F14" s="361">
        <v>6</v>
      </c>
      <c r="G14" s="361">
        <v>3</v>
      </c>
      <c r="H14" s="358">
        <v>-13.1</v>
      </c>
    </row>
    <row r="15" spans="1:8" ht="15" thickBot="1" x14ac:dyDescent="0.35">
      <c r="A15" s="353" t="s">
        <v>392</v>
      </c>
      <c r="B15" s="352">
        <v>-7.2</v>
      </c>
      <c r="C15" s="352">
        <v>-12</v>
      </c>
      <c r="D15" s="352">
        <v>-9.6</v>
      </c>
      <c r="E15" s="352"/>
      <c r="F15" s="361">
        <v>6</v>
      </c>
      <c r="G15" s="361">
        <v>0</v>
      </c>
      <c r="H15" s="358">
        <v>-16.2</v>
      </c>
    </row>
    <row r="16" spans="1:8" ht="15" thickBot="1" x14ac:dyDescent="0.35">
      <c r="A16" s="353" t="s">
        <v>392</v>
      </c>
      <c r="B16" s="352">
        <v>-4.5</v>
      </c>
      <c r="C16" s="352">
        <v>-11</v>
      </c>
      <c r="D16" s="352">
        <v>-6.7</v>
      </c>
      <c r="E16" s="352"/>
      <c r="F16" s="361">
        <v>7</v>
      </c>
      <c r="G16" s="361">
        <v>0</v>
      </c>
      <c r="H16" s="358">
        <v>-13.7</v>
      </c>
    </row>
    <row r="17" spans="1:8" ht="15" thickBot="1" x14ac:dyDescent="0.35">
      <c r="A17" s="353" t="s">
        <v>392</v>
      </c>
      <c r="B17" s="352">
        <v>-3.9</v>
      </c>
      <c r="C17" s="352">
        <v>-13</v>
      </c>
      <c r="D17" s="352">
        <v>-8.9</v>
      </c>
      <c r="E17" s="352"/>
      <c r="F17" s="361">
        <v>3</v>
      </c>
      <c r="G17" s="361">
        <v>5</v>
      </c>
      <c r="H17" s="358">
        <v>-13.4</v>
      </c>
    </row>
    <row r="18" spans="1:8" ht="15" thickBot="1" x14ac:dyDescent="0.35">
      <c r="A18" s="353" t="s">
        <v>392</v>
      </c>
      <c r="B18" s="352">
        <v>-3.6</v>
      </c>
      <c r="C18" s="352">
        <v>-10.9</v>
      </c>
      <c r="D18" s="352">
        <v>-6.6</v>
      </c>
      <c r="E18" s="352"/>
      <c r="F18" s="361">
        <v>4</v>
      </c>
      <c r="G18" s="361">
        <v>1</v>
      </c>
      <c r="H18" s="358">
        <v>-11.5</v>
      </c>
    </row>
    <row r="19" spans="1:8" ht="15" thickBot="1" x14ac:dyDescent="0.35">
      <c r="A19" s="353" t="s">
        <v>392</v>
      </c>
      <c r="B19" s="352">
        <v>-3</v>
      </c>
      <c r="C19" s="352">
        <v>-6</v>
      </c>
      <c r="D19" s="352">
        <v>-4.3</v>
      </c>
      <c r="E19" s="352"/>
      <c r="F19" s="361">
        <v>4</v>
      </c>
      <c r="G19" s="352">
        <v>1</v>
      </c>
      <c r="H19" s="358">
        <v>-9</v>
      </c>
    </row>
    <row r="20" spans="1:8" ht="15" thickBot="1" x14ac:dyDescent="0.35">
      <c r="A20" s="353" t="s">
        <v>392</v>
      </c>
      <c r="B20" s="352">
        <v>2.4</v>
      </c>
      <c r="C20" s="352">
        <v>-4</v>
      </c>
      <c r="D20" s="352">
        <v>0.1</v>
      </c>
      <c r="E20" s="352"/>
      <c r="F20" s="361">
        <v>6</v>
      </c>
      <c r="G20" s="361">
        <v>16</v>
      </c>
      <c r="H20" s="358">
        <v>-5.4</v>
      </c>
    </row>
    <row r="21" spans="1:8" ht="15" thickBot="1" x14ac:dyDescent="0.35">
      <c r="A21" s="353" t="s">
        <v>392</v>
      </c>
      <c r="B21" s="352">
        <v>-3.8</v>
      </c>
      <c r="C21" s="352">
        <v>-14</v>
      </c>
      <c r="D21" s="352">
        <v>-8.6</v>
      </c>
      <c r="E21" s="352"/>
      <c r="F21" s="361">
        <v>7</v>
      </c>
      <c r="G21" s="361">
        <v>0</v>
      </c>
      <c r="H21" s="358">
        <v>-15.7</v>
      </c>
    </row>
    <row r="22" spans="1:8" ht="15" thickBot="1" x14ac:dyDescent="0.35">
      <c r="A22" s="353" t="s">
        <v>392</v>
      </c>
      <c r="B22" s="352">
        <v>-6.6</v>
      </c>
      <c r="C22" s="352">
        <v>-16</v>
      </c>
      <c r="D22" s="352">
        <v>-11.9</v>
      </c>
      <c r="E22" s="352"/>
      <c r="F22" s="361">
        <v>2</v>
      </c>
      <c r="G22" s="361">
        <v>0</v>
      </c>
      <c r="H22" s="358">
        <v>-16</v>
      </c>
    </row>
    <row r="23" spans="1:8" ht="15" thickBot="1" x14ac:dyDescent="0.35">
      <c r="A23" s="353" t="s">
        <v>392</v>
      </c>
      <c r="B23" s="352">
        <v>-5.9</v>
      </c>
      <c r="C23" s="352">
        <v>-12.3</v>
      </c>
      <c r="D23" s="352">
        <v>-9.6</v>
      </c>
      <c r="E23" s="352"/>
      <c r="F23" s="361">
        <v>3</v>
      </c>
      <c r="G23" s="361">
        <v>0</v>
      </c>
      <c r="H23" s="358">
        <v>-14.2</v>
      </c>
    </row>
    <row r="24" spans="1:8" ht="15" thickBot="1" x14ac:dyDescent="0.35">
      <c r="A24" s="353" t="s">
        <v>392</v>
      </c>
      <c r="B24" s="352">
        <v>0.2</v>
      </c>
      <c r="C24" s="352">
        <v>-12.3</v>
      </c>
      <c r="D24" s="352">
        <v>-3.8</v>
      </c>
      <c r="E24" s="352"/>
      <c r="F24" s="361">
        <v>7</v>
      </c>
      <c r="G24" s="361">
        <v>3</v>
      </c>
      <c r="H24" s="358">
        <v>-10.4</v>
      </c>
    </row>
    <row r="25" spans="1:8" ht="15" thickBot="1" x14ac:dyDescent="0.35">
      <c r="A25" s="353" t="s">
        <v>392</v>
      </c>
      <c r="B25" s="352">
        <v>2.2999999999999998</v>
      </c>
      <c r="C25" s="352">
        <v>-2.9</v>
      </c>
      <c r="D25" s="352">
        <v>1.1000000000000001</v>
      </c>
      <c r="E25" s="352"/>
      <c r="F25" s="361">
        <v>5</v>
      </c>
      <c r="G25" s="361">
        <v>2</v>
      </c>
      <c r="H25" s="358">
        <v>-3.7</v>
      </c>
    </row>
    <row r="26" spans="1:8" ht="15" thickBot="1" x14ac:dyDescent="0.35">
      <c r="A26" s="353" t="s">
        <v>392</v>
      </c>
      <c r="B26" s="352">
        <v>2.6</v>
      </c>
      <c r="C26" s="352">
        <v>-1</v>
      </c>
      <c r="D26" s="352">
        <v>0.9</v>
      </c>
      <c r="E26" s="352"/>
      <c r="F26" s="361">
        <v>7</v>
      </c>
      <c r="G26" s="361">
        <v>1</v>
      </c>
      <c r="H26" s="358">
        <v>-5.2</v>
      </c>
    </row>
    <row r="27" spans="1:8" ht="15" thickBot="1" x14ac:dyDescent="0.35">
      <c r="A27" s="353" t="s">
        <v>392</v>
      </c>
      <c r="B27" s="352">
        <v>0.4</v>
      </c>
      <c r="C27" s="352">
        <v>-2</v>
      </c>
      <c r="D27" s="352">
        <v>-1.3</v>
      </c>
      <c r="E27" s="352"/>
      <c r="F27" s="361">
        <v>4</v>
      </c>
      <c r="G27" s="361">
        <v>9</v>
      </c>
      <c r="H27" s="358">
        <v>-5.7</v>
      </c>
    </row>
    <row r="28" spans="1:8" ht="15" thickBot="1" x14ac:dyDescent="0.35">
      <c r="A28" s="353" t="s">
        <v>392</v>
      </c>
      <c r="B28" s="352">
        <v>-0.6</v>
      </c>
      <c r="C28" s="352">
        <v>-7</v>
      </c>
      <c r="D28" s="352">
        <v>-3.9</v>
      </c>
      <c r="E28" s="352"/>
      <c r="F28" s="361">
        <v>3</v>
      </c>
      <c r="G28" s="361">
        <v>0</v>
      </c>
      <c r="H28" s="358">
        <v>-8</v>
      </c>
    </row>
    <row r="29" spans="1:8" ht="15" thickBot="1" x14ac:dyDescent="0.35">
      <c r="A29" s="353" t="s">
        <v>392</v>
      </c>
      <c r="B29" s="352">
        <v>-6.4</v>
      </c>
      <c r="C29" s="352">
        <v>-14</v>
      </c>
      <c r="D29" s="352">
        <v>-10.199999999999999</v>
      </c>
      <c r="E29" s="352"/>
      <c r="F29" s="361">
        <v>3</v>
      </c>
      <c r="G29" s="361">
        <v>0</v>
      </c>
      <c r="H29" s="358">
        <v>-14.8</v>
      </c>
    </row>
    <row r="30" spans="1:8" ht="15" thickBot="1" x14ac:dyDescent="0.35">
      <c r="A30" s="353" t="s">
        <v>392</v>
      </c>
      <c r="B30" s="352">
        <v>-8.6999999999999993</v>
      </c>
      <c r="C30" s="352">
        <v>-16</v>
      </c>
      <c r="D30" s="352">
        <v>-12.6</v>
      </c>
      <c r="E30" s="352"/>
      <c r="F30" s="361">
        <v>5</v>
      </c>
      <c r="G30" s="361">
        <v>0</v>
      </c>
      <c r="H30" s="358">
        <v>-18.7</v>
      </c>
    </row>
    <row r="31" spans="1:8" ht="15" thickBot="1" x14ac:dyDescent="0.35">
      <c r="A31" s="353" t="s">
        <v>392</v>
      </c>
      <c r="B31" s="352">
        <v>-7.3</v>
      </c>
      <c r="C31" s="352">
        <v>-13</v>
      </c>
      <c r="D31" s="352">
        <v>-8.6999999999999993</v>
      </c>
      <c r="E31" s="352"/>
      <c r="F31" s="361">
        <v>4</v>
      </c>
      <c r="G31" s="361">
        <v>6</v>
      </c>
      <c r="H31" s="358">
        <v>-13.8</v>
      </c>
    </row>
    <row r="32" spans="1:8" ht="15" thickBot="1" x14ac:dyDescent="0.35">
      <c r="A32" s="353" t="s">
        <v>392</v>
      </c>
      <c r="B32" s="352">
        <v>-5.7</v>
      </c>
      <c r="C32" s="352">
        <v>-11</v>
      </c>
      <c r="D32" s="352">
        <v>-7.6</v>
      </c>
      <c r="E32" s="352"/>
      <c r="F32" s="361">
        <v>3</v>
      </c>
      <c r="G32" s="361">
        <v>0</v>
      </c>
      <c r="H32" s="358">
        <v>-12</v>
      </c>
    </row>
    <row r="33" spans="1:8" ht="15" thickBot="1" x14ac:dyDescent="0.35">
      <c r="A33" s="353" t="s">
        <v>392</v>
      </c>
      <c r="B33" s="352">
        <v>-4.7</v>
      </c>
      <c r="C33" s="352">
        <v>-9</v>
      </c>
      <c r="D33" s="352">
        <v>-6.6</v>
      </c>
      <c r="E33" s="352"/>
      <c r="F33" s="361">
        <v>5</v>
      </c>
      <c r="G33" s="361">
        <v>4</v>
      </c>
      <c r="H33" s="358">
        <v>-12.2</v>
      </c>
    </row>
    <row r="34" spans="1:8" ht="15" thickBot="1" x14ac:dyDescent="0.35">
      <c r="A34" s="353" t="s">
        <v>393</v>
      </c>
      <c r="B34" s="352">
        <v>1</v>
      </c>
      <c r="C34" s="352">
        <v>-5.3</v>
      </c>
      <c r="D34" s="352">
        <v>-2.7</v>
      </c>
      <c r="E34" s="352"/>
      <c r="F34" s="361">
        <v>5</v>
      </c>
      <c r="G34" s="361">
        <v>1</v>
      </c>
      <c r="H34" s="358">
        <v>-7.9</v>
      </c>
    </row>
    <row r="35" spans="1:8" ht="15" thickBot="1" x14ac:dyDescent="0.35">
      <c r="A35" s="353" t="s">
        <v>393</v>
      </c>
      <c r="B35" s="352">
        <v>1</v>
      </c>
      <c r="C35" s="352">
        <v>-1.3</v>
      </c>
      <c r="D35" s="352">
        <v>-0.2</v>
      </c>
      <c r="E35" s="352"/>
      <c r="F35" s="361">
        <v>7</v>
      </c>
      <c r="G35" s="361">
        <v>11</v>
      </c>
      <c r="H35" s="358">
        <v>-6.5</v>
      </c>
    </row>
    <row r="36" spans="1:8" ht="15" thickBot="1" x14ac:dyDescent="0.35">
      <c r="A36" s="353" t="s">
        <v>393</v>
      </c>
      <c r="B36" s="352">
        <v>-0.8</v>
      </c>
      <c r="C36" s="352">
        <v>-4</v>
      </c>
      <c r="D36" s="352">
        <v>-2.2000000000000002</v>
      </c>
      <c r="E36" s="352"/>
      <c r="F36" s="361">
        <v>5</v>
      </c>
      <c r="G36" s="361">
        <v>0</v>
      </c>
      <c r="H36" s="358">
        <v>-7.4</v>
      </c>
    </row>
    <row r="37" spans="1:8" ht="15" thickBot="1" x14ac:dyDescent="0.35">
      <c r="A37" s="353" t="s">
        <v>393</v>
      </c>
      <c r="B37" s="352">
        <v>-5</v>
      </c>
      <c r="C37" s="352">
        <v>-15</v>
      </c>
      <c r="D37" s="352">
        <v>-9.3000000000000007</v>
      </c>
      <c r="E37" s="352"/>
      <c r="F37" s="361">
        <v>4</v>
      </c>
      <c r="G37" s="361">
        <v>3</v>
      </c>
      <c r="H37" s="358">
        <v>-14.5</v>
      </c>
    </row>
    <row r="38" spans="1:8" ht="15" thickBot="1" x14ac:dyDescent="0.35">
      <c r="A38" s="353" t="s">
        <v>393</v>
      </c>
      <c r="B38" s="352">
        <v>-7</v>
      </c>
      <c r="C38" s="352">
        <v>-15</v>
      </c>
      <c r="D38" s="352">
        <v>-10.1</v>
      </c>
      <c r="E38" s="352"/>
      <c r="F38" s="361">
        <v>3</v>
      </c>
      <c r="G38" s="361">
        <v>1</v>
      </c>
      <c r="H38" s="358">
        <v>-14.7</v>
      </c>
    </row>
    <row r="39" spans="1:8" ht="15" thickBot="1" x14ac:dyDescent="0.35">
      <c r="A39" s="353" t="s">
        <v>393</v>
      </c>
      <c r="B39" s="352">
        <v>-13.7</v>
      </c>
      <c r="C39" s="352">
        <v>-29</v>
      </c>
      <c r="D39" s="352">
        <v>-23.7</v>
      </c>
      <c r="E39" s="352"/>
      <c r="F39" s="361">
        <v>6</v>
      </c>
      <c r="G39" s="361">
        <v>0</v>
      </c>
      <c r="H39" s="358">
        <v>-31.1</v>
      </c>
    </row>
    <row r="40" spans="1:8" ht="15" thickBot="1" x14ac:dyDescent="0.35">
      <c r="A40" s="353" t="s">
        <v>393</v>
      </c>
      <c r="B40" s="352">
        <v>-23</v>
      </c>
      <c r="C40" s="352">
        <v>-30</v>
      </c>
      <c r="D40" s="352">
        <v>-27.3</v>
      </c>
      <c r="E40" s="352"/>
      <c r="F40" s="361">
        <v>7</v>
      </c>
      <c r="G40" s="361">
        <v>1</v>
      </c>
      <c r="H40" s="358">
        <v>-35.6</v>
      </c>
    </row>
    <row r="41" spans="1:8" ht="15" thickBot="1" x14ac:dyDescent="0.35">
      <c r="A41" s="353" t="s">
        <v>393</v>
      </c>
      <c r="B41" s="352">
        <v>-22.3</v>
      </c>
      <c r="C41" s="352">
        <v>-30</v>
      </c>
      <c r="D41" s="352">
        <v>-25.2</v>
      </c>
      <c r="E41" s="352"/>
      <c r="F41" s="361">
        <v>5</v>
      </c>
      <c r="G41" s="361">
        <v>1</v>
      </c>
      <c r="H41" s="358">
        <v>-32</v>
      </c>
    </row>
    <row r="42" spans="1:8" ht="15" thickBot="1" x14ac:dyDescent="0.35">
      <c r="A42" s="353" t="s">
        <v>393</v>
      </c>
      <c r="B42" s="352">
        <v>-27.4</v>
      </c>
      <c r="C42" s="352">
        <v>-34</v>
      </c>
      <c r="D42" s="352">
        <v>-30.8</v>
      </c>
      <c r="E42" s="352"/>
      <c r="F42" s="361">
        <v>3</v>
      </c>
      <c r="G42" s="361">
        <v>1</v>
      </c>
      <c r="H42" s="358">
        <v>-36.6</v>
      </c>
    </row>
    <row r="43" spans="1:8" ht="15" thickBot="1" x14ac:dyDescent="0.35">
      <c r="A43" s="353" t="s">
        <v>393</v>
      </c>
      <c r="B43" s="352">
        <v>-21</v>
      </c>
      <c r="C43" s="352">
        <v>-30</v>
      </c>
      <c r="D43" s="352">
        <v>-25.6</v>
      </c>
      <c r="E43" s="352"/>
      <c r="F43" s="361">
        <v>3</v>
      </c>
      <c r="G43" s="361">
        <v>1</v>
      </c>
      <c r="H43" s="358">
        <v>-31.2</v>
      </c>
    </row>
    <row r="44" spans="1:8" ht="15" thickBot="1" x14ac:dyDescent="0.35">
      <c r="A44" s="353" t="s">
        <v>393</v>
      </c>
      <c r="B44" s="352">
        <v>-17</v>
      </c>
      <c r="C44" s="352">
        <v>-27</v>
      </c>
      <c r="D44" s="352">
        <v>-22.7</v>
      </c>
      <c r="E44" s="352"/>
      <c r="F44" s="361">
        <v>4</v>
      </c>
      <c r="G44" s="361">
        <v>0</v>
      </c>
      <c r="H44" s="358">
        <v>-28.8</v>
      </c>
    </row>
    <row r="45" spans="1:8" ht="15" thickBot="1" x14ac:dyDescent="0.35">
      <c r="A45" s="353" t="s">
        <v>393</v>
      </c>
      <c r="B45" s="352">
        <v>-10.4</v>
      </c>
      <c r="C45" s="352">
        <v>-22.3</v>
      </c>
      <c r="D45" s="352">
        <v>-13.3</v>
      </c>
      <c r="E45" s="352"/>
      <c r="F45" s="361">
        <v>6</v>
      </c>
      <c r="G45" s="361">
        <v>0</v>
      </c>
      <c r="H45" s="358">
        <v>-20.100000000000001</v>
      </c>
    </row>
    <row r="46" spans="1:8" ht="15" thickBot="1" x14ac:dyDescent="0.35">
      <c r="A46" s="353" t="s">
        <v>393</v>
      </c>
      <c r="B46" s="352">
        <v>-12.7</v>
      </c>
      <c r="C46" s="352">
        <v>-16</v>
      </c>
      <c r="D46" s="352">
        <v>-15.1</v>
      </c>
      <c r="E46" s="352"/>
      <c r="F46" s="361">
        <v>6</v>
      </c>
      <c r="G46" s="361">
        <v>0</v>
      </c>
      <c r="H46" s="358">
        <v>-22</v>
      </c>
    </row>
    <row r="47" spans="1:8" ht="15" thickBot="1" x14ac:dyDescent="0.35">
      <c r="A47" s="353" t="s">
        <v>393</v>
      </c>
      <c r="B47" s="352">
        <v>-9.6</v>
      </c>
      <c r="C47" s="352">
        <v>-17</v>
      </c>
      <c r="D47" s="352">
        <v>-13.6</v>
      </c>
      <c r="E47" s="352"/>
      <c r="F47" s="361">
        <v>7</v>
      </c>
      <c r="G47" s="361">
        <v>0</v>
      </c>
      <c r="H47" s="358">
        <v>-21.1</v>
      </c>
    </row>
    <row r="48" spans="1:8" ht="15" thickBot="1" x14ac:dyDescent="0.35">
      <c r="A48" s="353" t="s">
        <v>393</v>
      </c>
      <c r="B48" s="352">
        <v>-12.5</v>
      </c>
      <c r="C48" s="352">
        <v>-17</v>
      </c>
      <c r="D48" s="352">
        <v>-15.2</v>
      </c>
      <c r="E48" s="352"/>
      <c r="F48" s="361">
        <v>5</v>
      </c>
      <c r="G48" s="361">
        <v>0</v>
      </c>
      <c r="H48" s="358">
        <v>-21.5</v>
      </c>
    </row>
    <row r="49" spans="1:8" ht="15" thickBot="1" x14ac:dyDescent="0.35">
      <c r="A49" s="353" t="s">
        <v>393</v>
      </c>
      <c r="B49" s="352">
        <v>-11.4</v>
      </c>
      <c r="C49" s="352">
        <v>-18</v>
      </c>
      <c r="D49" s="352">
        <v>-14.1</v>
      </c>
      <c r="E49" s="352"/>
      <c r="F49" s="361">
        <v>5</v>
      </c>
      <c r="G49" s="361">
        <v>0</v>
      </c>
      <c r="H49" s="358">
        <v>-20.399999999999999</v>
      </c>
    </row>
    <row r="50" spans="1:8" ht="15" thickBot="1" x14ac:dyDescent="0.35">
      <c r="A50" s="353" t="s">
        <v>393</v>
      </c>
      <c r="B50" s="352">
        <v>-8.6</v>
      </c>
      <c r="C50" s="352">
        <v>-17</v>
      </c>
      <c r="D50" s="352">
        <v>-12.6</v>
      </c>
      <c r="E50" s="352"/>
      <c r="F50" s="361">
        <v>6</v>
      </c>
      <c r="G50" s="361">
        <v>0</v>
      </c>
      <c r="H50" s="358">
        <v>-19.399999999999999</v>
      </c>
    </row>
    <row r="51" spans="1:8" ht="15" thickBot="1" x14ac:dyDescent="0.35">
      <c r="A51" s="353" t="s">
        <v>393</v>
      </c>
      <c r="B51" s="352">
        <v>-7.8</v>
      </c>
      <c r="C51" s="352">
        <v>-13</v>
      </c>
      <c r="D51" s="352">
        <v>-10.7</v>
      </c>
      <c r="E51" s="352"/>
      <c r="F51" s="361">
        <v>5</v>
      </c>
      <c r="G51" s="361">
        <v>0</v>
      </c>
      <c r="H51" s="358">
        <v>-16.7</v>
      </c>
    </row>
    <row r="52" spans="1:8" ht="15" thickBot="1" x14ac:dyDescent="0.35">
      <c r="A52" s="353" t="s">
        <v>393</v>
      </c>
      <c r="B52" s="352">
        <v>-8.9</v>
      </c>
      <c r="C52" s="352">
        <v>-15</v>
      </c>
      <c r="D52" s="352">
        <v>-11.9</v>
      </c>
      <c r="E52" s="352"/>
      <c r="F52" s="361">
        <v>5</v>
      </c>
      <c r="G52" s="361">
        <v>0</v>
      </c>
      <c r="H52" s="358">
        <v>-18</v>
      </c>
    </row>
    <row r="53" spans="1:8" ht="15" thickBot="1" x14ac:dyDescent="0.35">
      <c r="A53" s="353" t="s">
        <v>393</v>
      </c>
      <c r="B53" s="352">
        <v>-7.2</v>
      </c>
      <c r="C53" s="352">
        <v>-12</v>
      </c>
      <c r="D53" s="352">
        <v>-10.3</v>
      </c>
      <c r="E53" s="352"/>
      <c r="F53" s="361">
        <v>6</v>
      </c>
      <c r="G53" s="361">
        <v>0</v>
      </c>
      <c r="H53" s="358">
        <v>-16.899999999999999</v>
      </c>
    </row>
    <row r="54" spans="1:8" ht="15" thickBot="1" x14ac:dyDescent="0.35">
      <c r="A54" s="353" t="s">
        <v>393</v>
      </c>
      <c r="B54" s="352">
        <v>-9.1999999999999993</v>
      </c>
      <c r="C54" s="352">
        <v>-13</v>
      </c>
      <c r="D54" s="352">
        <v>-11.8</v>
      </c>
      <c r="E54" s="352"/>
      <c r="F54" s="361">
        <v>5</v>
      </c>
      <c r="G54" s="361">
        <v>0</v>
      </c>
      <c r="H54" s="358">
        <v>-17.899999999999999</v>
      </c>
    </row>
    <row r="55" spans="1:8" ht="15" thickBot="1" x14ac:dyDescent="0.35">
      <c r="A55" s="353" t="s">
        <v>393</v>
      </c>
      <c r="B55" s="352">
        <v>-8.8000000000000007</v>
      </c>
      <c r="C55" s="352">
        <v>-14</v>
      </c>
      <c r="D55" s="352">
        <v>-11.8</v>
      </c>
      <c r="E55" s="352"/>
      <c r="F55" s="361">
        <v>4</v>
      </c>
      <c r="G55" s="361">
        <v>0</v>
      </c>
      <c r="H55" s="358">
        <v>-17.2</v>
      </c>
    </row>
    <row r="56" spans="1:8" ht="15" thickBot="1" x14ac:dyDescent="0.35">
      <c r="A56" s="353" t="s">
        <v>393</v>
      </c>
      <c r="B56" s="352">
        <v>-7.5</v>
      </c>
      <c r="C56" s="352">
        <v>-18</v>
      </c>
      <c r="D56" s="352">
        <v>-14.2</v>
      </c>
      <c r="E56" s="352"/>
      <c r="F56" s="361">
        <v>2</v>
      </c>
      <c r="G56" s="361">
        <v>0</v>
      </c>
      <c r="H56" s="358">
        <v>-18.399999999999999</v>
      </c>
    </row>
    <row r="57" spans="1:8" ht="15" thickBot="1" x14ac:dyDescent="0.35">
      <c r="A57" s="353" t="s">
        <v>393</v>
      </c>
      <c r="B57" s="352">
        <v>-11</v>
      </c>
      <c r="C57" s="352">
        <v>-17</v>
      </c>
      <c r="D57" s="352">
        <v>-14.2</v>
      </c>
      <c r="E57" s="352"/>
      <c r="F57" s="361">
        <v>1</v>
      </c>
      <c r="G57" s="361">
        <v>0</v>
      </c>
      <c r="H57" s="358">
        <v>-17.8</v>
      </c>
    </row>
    <row r="58" spans="1:8" ht="15" thickBot="1" x14ac:dyDescent="0.35">
      <c r="A58" s="353" t="s">
        <v>393</v>
      </c>
      <c r="B58" s="352">
        <v>-4</v>
      </c>
      <c r="C58" s="352">
        <v>-14</v>
      </c>
      <c r="D58" s="352">
        <v>-7.3</v>
      </c>
      <c r="E58" s="352"/>
      <c r="F58" s="361">
        <v>3</v>
      </c>
      <c r="G58" s="361">
        <v>0</v>
      </c>
      <c r="H58" s="358">
        <v>-11.6</v>
      </c>
    </row>
    <row r="59" spans="1:8" ht="15" thickBot="1" x14ac:dyDescent="0.35">
      <c r="A59" s="353" t="s">
        <v>393</v>
      </c>
      <c r="B59" s="352">
        <v>-2</v>
      </c>
      <c r="C59" s="352">
        <v>-8</v>
      </c>
      <c r="D59" s="352">
        <v>-4</v>
      </c>
      <c r="E59" s="352"/>
      <c r="F59" s="361">
        <v>4</v>
      </c>
      <c r="G59" s="361">
        <v>0</v>
      </c>
      <c r="H59" s="358">
        <v>-8.8000000000000007</v>
      </c>
    </row>
    <row r="60" spans="1:8" ht="15" thickBot="1" x14ac:dyDescent="0.35">
      <c r="A60" s="353" t="s">
        <v>393</v>
      </c>
      <c r="B60" s="352">
        <v>-3</v>
      </c>
      <c r="C60" s="352">
        <v>-6.2</v>
      </c>
      <c r="D60" s="352">
        <v>-5.6</v>
      </c>
      <c r="E60" s="352"/>
      <c r="F60" s="361">
        <v>4</v>
      </c>
      <c r="G60" s="361">
        <v>0</v>
      </c>
      <c r="H60" s="358">
        <v>-10.4</v>
      </c>
    </row>
    <row r="61" spans="1:8" ht="15" thickBot="1" x14ac:dyDescent="0.35">
      <c r="A61" s="353" t="s">
        <v>393</v>
      </c>
      <c r="B61" s="352">
        <v>-2</v>
      </c>
      <c r="C61" s="352">
        <v>-5.8</v>
      </c>
      <c r="D61" s="352">
        <v>-3.3</v>
      </c>
      <c r="E61" s="352"/>
      <c r="F61" s="361">
        <v>2</v>
      </c>
      <c r="G61" s="361">
        <v>0</v>
      </c>
      <c r="H61" s="358">
        <v>-6.5</v>
      </c>
    </row>
    <row r="62" spans="1:8" ht="15" thickBot="1" x14ac:dyDescent="0.35">
      <c r="A62" s="353" t="s">
        <v>393</v>
      </c>
      <c r="B62" s="352">
        <v>-2.9</v>
      </c>
      <c r="C62" s="352">
        <v>-14</v>
      </c>
      <c r="D62" s="352">
        <v>-6.5</v>
      </c>
      <c r="E62" s="352"/>
      <c r="F62" s="361">
        <v>4</v>
      </c>
      <c r="G62" s="361">
        <v>0</v>
      </c>
      <c r="H62" s="358">
        <v>-11.4</v>
      </c>
    </row>
    <row r="63" spans="1:8" ht="15" thickBot="1" x14ac:dyDescent="0.35">
      <c r="A63" s="353" t="s">
        <v>393</v>
      </c>
      <c r="B63" s="352">
        <v>-2.8</v>
      </c>
      <c r="C63" s="352">
        <v>-12.4</v>
      </c>
      <c r="D63" s="352">
        <v>-5.8</v>
      </c>
      <c r="E63" s="352"/>
      <c r="F63" s="361">
        <v>6</v>
      </c>
      <c r="G63" s="361">
        <v>3</v>
      </c>
      <c r="H63" s="358">
        <v>-11.9</v>
      </c>
    </row>
    <row r="64" spans="1:8" ht="15" thickBot="1" x14ac:dyDescent="0.35">
      <c r="A64" s="353" t="s">
        <v>393</v>
      </c>
      <c r="B64" s="352">
        <v>0.4</v>
      </c>
      <c r="C64" s="352">
        <v>-4.0999999999999996</v>
      </c>
      <c r="D64" s="352">
        <v>-1.4</v>
      </c>
      <c r="E64" s="352"/>
      <c r="F64" s="361">
        <v>6</v>
      </c>
      <c r="G64" s="361">
        <v>0</v>
      </c>
      <c r="H64" s="358">
        <v>-7.1</v>
      </c>
    </row>
    <row r="65" spans="1:8" ht="15" thickBot="1" x14ac:dyDescent="0.35">
      <c r="A65" s="353" t="s">
        <v>394</v>
      </c>
      <c r="B65" s="352">
        <v>-0.9</v>
      </c>
      <c r="C65" s="352">
        <v>-11</v>
      </c>
      <c r="D65" s="352">
        <v>-5.7</v>
      </c>
      <c r="E65" s="352"/>
      <c r="F65" s="361">
        <v>6</v>
      </c>
      <c r="G65" s="361">
        <v>0</v>
      </c>
      <c r="H65" s="358">
        <v>-11.9</v>
      </c>
    </row>
    <row r="66" spans="1:8" ht="15" thickBot="1" x14ac:dyDescent="0.35">
      <c r="A66" s="353" t="s">
        <v>394</v>
      </c>
      <c r="B66" s="352">
        <v>-5.9</v>
      </c>
      <c r="C66" s="352">
        <v>-15</v>
      </c>
      <c r="D66" s="352">
        <v>-9.4</v>
      </c>
      <c r="E66" s="352"/>
      <c r="F66" s="361">
        <v>4</v>
      </c>
      <c r="G66" s="361">
        <v>0</v>
      </c>
      <c r="H66" s="358">
        <v>-14.6</v>
      </c>
    </row>
    <row r="67" spans="1:8" ht="15" thickBot="1" x14ac:dyDescent="0.35">
      <c r="A67" s="353" t="s">
        <v>394</v>
      </c>
      <c r="B67" s="352">
        <v>-4.5</v>
      </c>
      <c r="C67" s="352">
        <v>-7</v>
      </c>
      <c r="D67" s="352">
        <v>-6</v>
      </c>
      <c r="E67" s="352"/>
      <c r="F67" s="361">
        <v>4</v>
      </c>
      <c r="G67" s="361">
        <v>3</v>
      </c>
      <c r="H67" s="358">
        <v>-10.8</v>
      </c>
    </row>
    <row r="68" spans="1:8" ht="15" thickBot="1" x14ac:dyDescent="0.35">
      <c r="A68" s="353" t="s">
        <v>394</v>
      </c>
      <c r="B68" s="352">
        <v>-6</v>
      </c>
      <c r="C68" s="352">
        <v>-13</v>
      </c>
      <c r="D68" s="352">
        <v>-8.4</v>
      </c>
      <c r="E68" s="352"/>
      <c r="F68" s="361">
        <v>2</v>
      </c>
      <c r="G68" s="361">
        <v>0</v>
      </c>
      <c r="H68" s="358">
        <v>-12.2</v>
      </c>
    </row>
    <row r="69" spans="1:8" ht="15" thickBot="1" x14ac:dyDescent="0.35">
      <c r="A69" s="353" t="s">
        <v>394</v>
      </c>
      <c r="B69" s="352">
        <v>-5.7</v>
      </c>
      <c r="C69" s="352">
        <v>-13</v>
      </c>
      <c r="D69" s="352">
        <v>-10.9</v>
      </c>
      <c r="E69" s="352"/>
      <c r="F69" s="361">
        <v>2</v>
      </c>
      <c r="G69" s="361">
        <v>0</v>
      </c>
      <c r="H69" s="358">
        <v>-14.9</v>
      </c>
    </row>
    <row r="70" spans="1:8" ht="15" thickBot="1" x14ac:dyDescent="0.35">
      <c r="A70" s="353" t="s">
        <v>394</v>
      </c>
      <c r="B70" s="352">
        <v>-7.5</v>
      </c>
      <c r="C70" s="352">
        <v>-16</v>
      </c>
      <c r="D70" s="352">
        <v>-11.3</v>
      </c>
      <c r="E70" s="352"/>
      <c r="F70" s="361">
        <v>2</v>
      </c>
      <c r="G70" s="361">
        <v>0</v>
      </c>
      <c r="H70" s="358">
        <v>-15.3</v>
      </c>
    </row>
    <row r="71" spans="1:8" ht="15" thickBot="1" x14ac:dyDescent="0.35">
      <c r="A71" s="353" t="s">
        <v>394</v>
      </c>
      <c r="B71" s="352">
        <v>-9.4</v>
      </c>
      <c r="C71" s="352">
        <v>-20</v>
      </c>
      <c r="D71" s="352">
        <v>-15</v>
      </c>
      <c r="E71" s="352"/>
      <c r="F71" s="361">
        <v>3</v>
      </c>
      <c r="G71" s="361">
        <v>0</v>
      </c>
      <c r="H71" s="358">
        <v>-19.899999999999999</v>
      </c>
    </row>
    <row r="72" spans="1:8" ht="15" thickBot="1" x14ac:dyDescent="0.35">
      <c r="A72" s="353" t="s">
        <v>394</v>
      </c>
      <c r="B72" s="352">
        <v>-5.9</v>
      </c>
      <c r="C72" s="352">
        <v>-18</v>
      </c>
      <c r="D72" s="352">
        <v>-10</v>
      </c>
      <c r="E72" s="352"/>
      <c r="F72" s="361">
        <v>5</v>
      </c>
      <c r="G72" s="361">
        <v>0</v>
      </c>
      <c r="H72" s="358">
        <v>-15.8</v>
      </c>
    </row>
    <row r="73" spans="1:8" ht="15" thickBot="1" x14ac:dyDescent="0.35">
      <c r="A73" s="353" t="s">
        <v>394</v>
      </c>
      <c r="B73" s="352">
        <v>-3.6</v>
      </c>
      <c r="C73" s="352">
        <v>-8</v>
      </c>
      <c r="D73" s="352">
        <v>-5</v>
      </c>
      <c r="E73" s="352"/>
      <c r="F73" s="361">
        <v>4</v>
      </c>
      <c r="G73" s="361">
        <v>1</v>
      </c>
      <c r="H73" s="358">
        <v>-9.6999999999999993</v>
      </c>
    </row>
    <row r="74" spans="1:8" ht="15" thickBot="1" x14ac:dyDescent="0.35">
      <c r="A74" s="353" t="s">
        <v>394</v>
      </c>
      <c r="B74" s="352">
        <v>-4</v>
      </c>
      <c r="C74" s="352">
        <v>-6</v>
      </c>
      <c r="D74" s="352">
        <v>-5.0999999999999996</v>
      </c>
      <c r="E74" s="352"/>
      <c r="F74" s="361">
        <v>1</v>
      </c>
      <c r="G74" s="361">
        <v>0</v>
      </c>
      <c r="H74" s="358">
        <v>-10.5</v>
      </c>
    </row>
    <row r="75" spans="1:8" ht="15" thickBot="1" x14ac:dyDescent="0.35">
      <c r="A75" s="353" t="s">
        <v>394</v>
      </c>
      <c r="B75" s="352">
        <v>-2.4</v>
      </c>
      <c r="C75" s="352">
        <v>-9</v>
      </c>
      <c r="D75" s="352">
        <v>-4.8</v>
      </c>
      <c r="E75" s="352"/>
      <c r="F75" s="361">
        <v>1</v>
      </c>
      <c r="G75" s="361">
        <v>0</v>
      </c>
      <c r="H75" s="358">
        <v>-10.3</v>
      </c>
    </row>
    <row r="76" spans="1:8" ht="15" thickBot="1" x14ac:dyDescent="0.35">
      <c r="A76" s="353" t="s">
        <v>394</v>
      </c>
      <c r="B76" s="352">
        <v>-6</v>
      </c>
      <c r="C76" s="352">
        <v>-9</v>
      </c>
      <c r="D76" s="352">
        <v>-7.6</v>
      </c>
      <c r="E76" s="352"/>
      <c r="F76" s="361">
        <v>1</v>
      </c>
      <c r="G76" s="361">
        <v>1</v>
      </c>
      <c r="H76" s="358">
        <v>-14.5</v>
      </c>
    </row>
    <row r="77" spans="1:8" ht="15" thickBot="1" x14ac:dyDescent="0.35">
      <c r="A77" s="353" t="s">
        <v>394</v>
      </c>
      <c r="B77" s="352">
        <v>-4</v>
      </c>
      <c r="C77" s="352">
        <v>-9</v>
      </c>
      <c r="D77" s="352">
        <v>-7.1</v>
      </c>
      <c r="E77" s="352"/>
      <c r="F77" s="361">
        <v>1</v>
      </c>
      <c r="G77" s="361">
        <v>1</v>
      </c>
      <c r="H77" s="358">
        <v>-12</v>
      </c>
    </row>
    <row r="78" spans="1:8" ht="15" thickBot="1" x14ac:dyDescent="0.35">
      <c r="A78" s="353" t="s">
        <v>394</v>
      </c>
      <c r="B78" s="352">
        <v>-4.2</v>
      </c>
      <c r="C78" s="352">
        <v>-12</v>
      </c>
      <c r="D78" s="352">
        <v>-6.7</v>
      </c>
      <c r="E78" s="352"/>
      <c r="F78" s="361">
        <v>5</v>
      </c>
      <c r="G78" s="361">
        <v>1</v>
      </c>
      <c r="H78" s="358">
        <v>-12.3</v>
      </c>
    </row>
    <row r="79" spans="1:8" ht="15" thickBot="1" x14ac:dyDescent="0.35">
      <c r="A79" s="353" t="s">
        <v>394</v>
      </c>
      <c r="B79" s="352">
        <v>-7.8</v>
      </c>
      <c r="C79" s="352">
        <v>-13</v>
      </c>
      <c r="D79" s="352">
        <v>-10.199999999999999</v>
      </c>
      <c r="E79" s="352"/>
      <c r="F79" s="361">
        <v>4</v>
      </c>
      <c r="G79" s="361">
        <v>1</v>
      </c>
      <c r="H79" s="358">
        <v>-15.4</v>
      </c>
    </row>
    <row r="80" spans="1:8" ht="15" thickBot="1" x14ac:dyDescent="0.35">
      <c r="A80" s="353" t="s">
        <v>394</v>
      </c>
      <c r="B80" s="352">
        <v>-4.3</v>
      </c>
      <c r="C80" s="352">
        <v>-12</v>
      </c>
      <c r="D80" s="352">
        <v>-6.9</v>
      </c>
      <c r="E80" s="352"/>
      <c r="F80" s="361">
        <v>5</v>
      </c>
      <c r="G80" s="361">
        <v>0</v>
      </c>
      <c r="H80" s="358">
        <v>-12.5</v>
      </c>
    </row>
    <row r="81" spans="1:8" ht="15" thickBot="1" x14ac:dyDescent="0.35">
      <c r="A81" s="353" t="s">
        <v>394</v>
      </c>
      <c r="B81" s="352">
        <v>-5</v>
      </c>
      <c r="C81" s="352">
        <v>-14</v>
      </c>
      <c r="D81" s="352">
        <v>-8</v>
      </c>
      <c r="E81" s="352"/>
      <c r="F81" s="361">
        <v>4</v>
      </c>
      <c r="G81" s="361">
        <v>0</v>
      </c>
      <c r="H81" s="358">
        <v>-13.1</v>
      </c>
    </row>
    <row r="82" spans="1:8" ht="15" thickBot="1" x14ac:dyDescent="0.35">
      <c r="A82" s="353" t="s">
        <v>394</v>
      </c>
      <c r="B82" s="352">
        <v>-7.6</v>
      </c>
      <c r="C82" s="352">
        <v>-17</v>
      </c>
      <c r="D82" s="352">
        <v>-13.5</v>
      </c>
      <c r="E82" s="352"/>
      <c r="F82" s="361">
        <v>2</v>
      </c>
      <c r="G82" s="361">
        <v>0</v>
      </c>
      <c r="H82" s="358">
        <v>-17.7</v>
      </c>
    </row>
    <row r="83" spans="1:8" ht="15" thickBot="1" x14ac:dyDescent="0.35">
      <c r="A83" s="353" t="s">
        <v>394</v>
      </c>
      <c r="B83" s="352">
        <v>-11.1</v>
      </c>
      <c r="C83" s="352">
        <v>-20</v>
      </c>
      <c r="D83" s="352">
        <v>-15.8</v>
      </c>
      <c r="E83" s="352"/>
      <c r="F83" s="361">
        <v>3</v>
      </c>
      <c r="G83" s="361">
        <v>0</v>
      </c>
      <c r="H83" s="358">
        <v>-20.8</v>
      </c>
    </row>
    <row r="84" spans="1:8" ht="15" thickBot="1" x14ac:dyDescent="0.35">
      <c r="A84" s="353" t="s">
        <v>394</v>
      </c>
      <c r="B84" s="352">
        <v>-11.7</v>
      </c>
      <c r="C84" s="352">
        <v>-22</v>
      </c>
      <c r="D84" s="352">
        <v>-15.2</v>
      </c>
      <c r="E84" s="352"/>
      <c r="F84" s="361">
        <v>4</v>
      </c>
      <c r="G84" s="361">
        <v>1</v>
      </c>
      <c r="H84" s="358">
        <v>-20.8</v>
      </c>
    </row>
    <row r="85" spans="1:8" ht="15" thickBot="1" x14ac:dyDescent="0.35">
      <c r="A85" s="353" t="s">
        <v>394</v>
      </c>
      <c r="B85" s="352">
        <v>-9</v>
      </c>
      <c r="C85" s="352">
        <v>-14</v>
      </c>
      <c r="D85" s="352">
        <v>-11.6</v>
      </c>
      <c r="E85" s="352"/>
      <c r="F85" s="361">
        <v>3</v>
      </c>
      <c r="G85" s="361">
        <v>2</v>
      </c>
      <c r="H85" s="358">
        <v>-16.3</v>
      </c>
    </row>
    <row r="86" spans="1:8" ht="15" thickBot="1" x14ac:dyDescent="0.35">
      <c r="A86" s="353" t="s">
        <v>394</v>
      </c>
      <c r="B86" s="352">
        <v>-9</v>
      </c>
      <c r="C86" s="352">
        <v>-14</v>
      </c>
      <c r="D86" s="352">
        <v>-11.3</v>
      </c>
      <c r="E86" s="352"/>
      <c r="F86" s="361">
        <v>6</v>
      </c>
      <c r="G86" s="361">
        <v>1</v>
      </c>
      <c r="H86" s="358">
        <v>-17.899999999999999</v>
      </c>
    </row>
    <row r="87" spans="1:8" ht="15" thickBot="1" x14ac:dyDescent="0.35">
      <c r="A87" s="353" t="s">
        <v>394</v>
      </c>
      <c r="B87" s="352">
        <v>-9.9</v>
      </c>
      <c r="C87" s="352">
        <v>-16</v>
      </c>
      <c r="D87" s="352">
        <v>-13.9</v>
      </c>
      <c r="E87" s="352"/>
      <c r="F87" s="361">
        <v>7</v>
      </c>
      <c r="G87" s="361">
        <v>1</v>
      </c>
      <c r="H87" s="358">
        <v>-21.4</v>
      </c>
    </row>
    <row r="88" spans="1:8" ht="15" thickBot="1" x14ac:dyDescent="0.35">
      <c r="A88" s="353" t="s">
        <v>394</v>
      </c>
      <c r="B88" s="352">
        <v>-7.4</v>
      </c>
      <c r="C88" s="352">
        <v>-18</v>
      </c>
      <c r="D88" s="352">
        <v>-12.1</v>
      </c>
      <c r="E88" s="352"/>
      <c r="F88" s="361">
        <v>5</v>
      </c>
      <c r="G88" s="361">
        <v>0</v>
      </c>
      <c r="H88" s="358">
        <v>-18.2</v>
      </c>
    </row>
    <row r="89" spans="1:8" ht="15" thickBot="1" x14ac:dyDescent="0.35">
      <c r="A89" s="353" t="s">
        <v>394</v>
      </c>
      <c r="B89" s="352">
        <v>-2</v>
      </c>
      <c r="C89" s="352">
        <v>-10.7</v>
      </c>
      <c r="D89" s="352">
        <v>-5.3</v>
      </c>
      <c r="E89" s="352"/>
      <c r="F89" s="361">
        <v>6</v>
      </c>
      <c r="G89" s="361">
        <v>3</v>
      </c>
      <c r="H89" s="358">
        <v>-11.4</v>
      </c>
    </row>
    <row r="90" spans="1:8" ht="15" thickBot="1" x14ac:dyDescent="0.35">
      <c r="A90" s="353" t="s">
        <v>394</v>
      </c>
      <c r="B90" s="352">
        <v>1.6</v>
      </c>
      <c r="C90" s="352">
        <v>-4.3</v>
      </c>
      <c r="D90" s="352">
        <v>0.1</v>
      </c>
      <c r="E90" s="352"/>
      <c r="F90" s="361">
        <v>7</v>
      </c>
      <c r="G90" s="361">
        <v>7</v>
      </c>
      <c r="H90" s="358">
        <v>-6</v>
      </c>
    </row>
    <row r="91" spans="1:8" ht="15" thickBot="1" x14ac:dyDescent="0.35">
      <c r="A91" s="353" t="s">
        <v>394</v>
      </c>
      <c r="B91" s="352">
        <v>2.1</v>
      </c>
      <c r="C91" s="352">
        <v>-3</v>
      </c>
      <c r="D91" s="352">
        <v>-0.3</v>
      </c>
      <c r="E91" s="352"/>
      <c r="F91" s="361">
        <v>7</v>
      </c>
      <c r="G91" s="361">
        <v>4</v>
      </c>
      <c r="H91" s="358">
        <v>-6.6</v>
      </c>
    </row>
    <row r="92" spans="1:8" ht="15" thickBot="1" x14ac:dyDescent="0.35">
      <c r="A92" s="353" t="s">
        <v>394</v>
      </c>
      <c r="B92" s="352">
        <v>-1.4</v>
      </c>
      <c r="C92" s="352">
        <v>-6</v>
      </c>
      <c r="D92" s="352">
        <v>-3.4</v>
      </c>
      <c r="E92" s="352"/>
      <c r="F92" s="361">
        <v>8</v>
      </c>
      <c r="G92" s="361">
        <v>0</v>
      </c>
      <c r="H92" s="358">
        <v>-10.7</v>
      </c>
    </row>
    <row r="93" spans="1:8" ht="15" thickBot="1" x14ac:dyDescent="0.35">
      <c r="A93" s="353" t="s">
        <v>395</v>
      </c>
      <c r="B93" s="352">
        <v>-3.4</v>
      </c>
      <c r="C93" s="352">
        <v>-7</v>
      </c>
      <c r="D93" s="352">
        <v>-5.0999999999999996</v>
      </c>
      <c r="E93" s="352"/>
      <c r="F93" s="361">
        <v>7</v>
      </c>
      <c r="G93" s="361">
        <v>0</v>
      </c>
      <c r="H93" s="358">
        <v>-11.9</v>
      </c>
    </row>
    <row r="94" spans="1:8" ht="15" thickBot="1" x14ac:dyDescent="0.35">
      <c r="A94" s="353" t="s">
        <v>395</v>
      </c>
      <c r="B94" s="352">
        <v>-3</v>
      </c>
      <c r="C94" s="352">
        <v>-13</v>
      </c>
      <c r="D94" s="352">
        <v>-7.4</v>
      </c>
      <c r="E94" s="352"/>
      <c r="F94" s="361">
        <v>6</v>
      </c>
      <c r="G94" s="361">
        <v>1</v>
      </c>
      <c r="H94" s="358">
        <v>-13.7</v>
      </c>
    </row>
    <row r="95" spans="1:8" ht="15" thickBot="1" x14ac:dyDescent="0.35">
      <c r="A95" s="353" t="s">
        <v>395</v>
      </c>
      <c r="B95" s="352">
        <v>-2</v>
      </c>
      <c r="C95" s="352">
        <v>-8</v>
      </c>
      <c r="D95" s="352">
        <v>-4.2</v>
      </c>
      <c r="E95" s="352"/>
      <c r="F95" s="361">
        <v>4</v>
      </c>
      <c r="G95" s="361">
        <v>1</v>
      </c>
      <c r="H95" s="358">
        <v>-8.9</v>
      </c>
    </row>
    <row r="96" spans="1:8" ht="15" thickBot="1" x14ac:dyDescent="0.35">
      <c r="A96" s="353" t="s">
        <v>395</v>
      </c>
      <c r="B96" s="352">
        <v>0.8</v>
      </c>
      <c r="C96" s="352">
        <v>-5.8</v>
      </c>
      <c r="D96" s="352">
        <v>-1.2</v>
      </c>
      <c r="E96" s="352"/>
      <c r="F96" s="361">
        <v>4</v>
      </c>
      <c r="G96" s="361">
        <v>2</v>
      </c>
      <c r="H96" s="358">
        <v>-5.5</v>
      </c>
    </row>
    <row r="97" spans="1:8" ht="15" thickBot="1" x14ac:dyDescent="0.35">
      <c r="A97" s="353" t="s">
        <v>395</v>
      </c>
      <c r="B97" s="352">
        <v>1.4</v>
      </c>
      <c r="C97" s="352">
        <v>-3</v>
      </c>
      <c r="D97" s="352">
        <v>-1.4</v>
      </c>
      <c r="E97" s="352"/>
      <c r="F97" s="361">
        <v>5</v>
      </c>
      <c r="G97" s="361">
        <v>3</v>
      </c>
      <c r="H97" s="358">
        <v>-6.5</v>
      </c>
    </row>
    <row r="98" spans="1:8" ht="15" thickBot="1" x14ac:dyDescent="0.35">
      <c r="A98" s="353" t="s">
        <v>395</v>
      </c>
      <c r="B98" s="352">
        <v>0.3</v>
      </c>
      <c r="C98" s="352">
        <v>-7</v>
      </c>
      <c r="D98" s="352">
        <v>-2.7</v>
      </c>
      <c r="E98" s="352"/>
      <c r="F98" s="361">
        <v>5</v>
      </c>
      <c r="G98" s="361">
        <v>0</v>
      </c>
      <c r="H98" s="358">
        <v>-7.9</v>
      </c>
    </row>
    <row r="99" spans="1:8" ht="15" thickBot="1" x14ac:dyDescent="0.35">
      <c r="A99" s="353" t="s">
        <v>395</v>
      </c>
      <c r="B99" s="352">
        <v>-1.3</v>
      </c>
      <c r="C99" s="352">
        <v>-10</v>
      </c>
      <c r="D99" s="352">
        <v>-5.2</v>
      </c>
      <c r="E99" s="352"/>
      <c r="F99" s="361">
        <v>5</v>
      </c>
      <c r="G99" s="361">
        <v>2</v>
      </c>
      <c r="H99" s="358">
        <v>-10.7</v>
      </c>
    </row>
    <row r="100" spans="1:8" ht="15" thickBot="1" x14ac:dyDescent="0.35">
      <c r="A100" s="353" t="s">
        <v>395</v>
      </c>
      <c r="B100" s="352">
        <v>1</v>
      </c>
      <c r="C100" s="352">
        <v>-11</v>
      </c>
      <c r="D100" s="352">
        <v>-4.5999999999999996</v>
      </c>
      <c r="E100" s="352"/>
      <c r="F100" s="361">
        <v>5</v>
      </c>
      <c r="G100" s="361">
        <v>3</v>
      </c>
      <c r="H100" s="358">
        <v>-10</v>
      </c>
    </row>
    <row r="101" spans="1:8" ht="15" thickBot="1" x14ac:dyDescent="0.35">
      <c r="A101" s="353" t="s">
        <v>395</v>
      </c>
      <c r="B101" s="352">
        <v>4.7</v>
      </c>
      <c r="C101" s="352">
        <v>-5.0999999999999996</v>
      </c>
      <c r="D101" s="352">
        <v>2.1</v>
      </c>
      <c r="E101" s="352"/>
      <c r="F101" s="361">
        <v>7</v>
      </c>
      <c r="G101" s="361">
        <v>1</v>
      </c>
      <c r="H101" s="358">
        <v>-3.8</v>
      </c>
    </row>
    <row r="102" spans="1:8" ht="15" thickBot="1" x14ac:dyDescent="0.35">
      <c r="A102" s="353" t="s">
        <v>395</v>
      </c>
      <c r="B102" s="352">
        <v>4.5</v>
      </c>
      <c r="C102" s="352">
        <v>-3</v>
      </c>
      <c r="D102" s="352">
        <v>1</v>
      </c>
      <c r="E102" s="352"/>
      <c r="F102" s="361">
        <v>7</v>
      </c>
      <c r="G102" s="361">
        <v>1</v>
      </c>
      <c r="H102" s="358">
        <v>-5</v>
      </c>
    </row>
    <row r="103" spans="1:8" ht="15" thickBot="1" x14ac:dyDescent="0.35">
      <c r="A103" s="353" t="s">
        <v>395</v>
      </c>
      <c r="B103" s="352">
        <v>0.4</v>
      </c>
      <c r="C103" s="352">
        <v>-6</v>
      </c>
      <c r="D103" s="352">
        <v>-4.0999999999999996</v>
      </c>
      <c r="E103" s="352"/>
      <c r="F103" s="361">
        <v>4</v>
      </c>
      <c r="G103" s="361">
        <v>1</v>
      </c>
      <c r="H103" s="358">
        <v>-9</v>
      </c>
    </row>
    <row r="104" spans="1:8" ht="15" thickBot="1" x14ac:dyDescent="0.35">
      <c r="A104" s="353" t="s">
        <v>395</v>
      </c>
      <c r="B104" s="352">
        <v>4.2</v>
      </c>
      <c r="C104" s="352">
        <v>-4.3</v>
      </c>
      <c r="D104" s="352">
        <v>0.9</v>
      </c>
      <c r="E104" s="352"/>
      <c r="F104" s="361">
        <v>8</v>
      </c>
      <c r="G104" s="361">
        <v>0</v>
      </c>
      <c r="H104" s="358">
        <v>-5.9</v>
      </c>
    </row>
    <row r="105" spans="1:8" ht="15" thickBot="1" x14ac:dyDescent="0.35">
      <c r="A105" s="353" t="s">
        <v>395</v>
      </c>
      <c r="B105" s="352">
        <v>4.0999999999999996</v>
      </c>
      <c r="C105" s="352">
        <v>-6</v>
      </c>
      <c r="D105" s="352">
        <v>-0.7</v>
      </c>
      <c r="E105" s="352"/>
      <c r="F105" s="361">
        <v>6</v>
      </c>
      <c r="G105" s="361">
        <v>16</v>
      </c>
      <c r="H105" s="358">
        <v>-6.5</v>
      </c>
    </row>
    <row r="106" spans="1:8" ht="15" thickBot="1" x14ac:dyDescent="0.35">
      <c r="A106" s="353" t="s">
        <v>395</v>
      </c>
      <c r="B106" s="352">
        <v>2.6</v>
      </c>
      <c r="C106" s="352">
        <v>-8</v>
      </c>
      <c r="D106" s="352">
        <v>-1.7</v>
      </c>
      <c r="E106" s="352"/>
      <c r="F106" s="361">
        <v>5</v>
      </c>
      <c r="G106" s="361">
        <v>0</v>
      </c>
      <c r="H106" s="358">
        <v>-7</v>
      </c>
    </row>
    <row r="107" spans="1:8" ht="15" thickBot="1" x14ac:dyDescent="0.35">
      <c r="A107" s="353" t="s">
        <v>395</v>
      </c>
      <c r="B107" s="352">
        <v>6.5</v>
      </c>
      <c r="C107" s="352">
        <v>-0.1</v>
      </c>
      <c r="D107" s="352">
        <v>1.9</v>
      </c>
      <c r="E107" s="352"/>
      <c r="F107" s="361">
        <v>6</v>
      </c>
      <c r="G107" s="361">
        <v>0</v>
      </c>
      <c r="H107" s="358">
        <v>-3.7</v>
      </c>
    </row>
    <row r="108" spans="1:8" ht="15" thickBot="1" x14ac:dyDescent="0.35">
      <c r="A108" s="353" t="s">
        <v>395</v>
      </c>
      <c r="B108" s="352">
        <v>5.2</v>
      </c>
      <c r="C108" s="352">
        <v>1</v>
      </c>
      <c r="D108" s="352">
        <v>2.2000000000000002</v>
      </c>
      <c r="E108" s="352"/>
      <c r="F108" s="361">
        <v>6</v>
      </c>
      <c r="G108" s="361">
        <v>0</v>
      </c>
      <c r="H108" s="358">
        <v>-3.3</v>
      </c>
    </row>
    <row r="109" spans="1:8" ht="15" thickBot="1" x14ac:dyDescent="0.35">
      <c r="A109" s="353" t="s">
        <v>395</v>
      </c>
      <c r="B109" s="352">
        <v>6</v>
      </c>
      <c r="C109" s="352">
        <v>0</v>
      </c>
      <c r="D109" s="352">
        <v>2.2000000000000002</v>
      </c>
      <c r="E109" s="352"/>
      <c r="F109" s="361">
        <v>5</v>
      </c>
      <c r="G109" s="361">
        <v>1</v>
      </c>
      <c r="H109" s="358">
        <v>-2.5</v>
      </c>
    </row>
    <row r="110" spans="1:8" ht="15" thickBot="1" x14ac:dyDescent="0.35">
      <c r="A110" s="353" t="s">
        <v>395</v>
      </c>
      <c r="B110" s="352">
        <v>0.6</v>
      </c>
      <c r="C110" s="352">
        <v>-5</v>
      </c>
      <c r="D110" s="352">
        <v>-1.4</v>
      </c>
      <c r="E110" s="352"/>
      <c r="F110" s="361">
        <v>6</v>
      </c>
      <c r="G110" s="361">
        <v>6</v>
      </c>
      <c r="H110" s="358">
        <v>-7.3</v>
      </c>
    </row>
    <row r="111" spans="1:8" ht="15" thickBot="1" x14ac:dyDescent="0.35">
      <c r="A111" s="353" t="s">
        <v>395</v>
      </c>
      <c r="B111" s="352">
        <v>2.2000000000000002</v>
      </c>
      <c r="C111" s="352">
        <v>-7</v>
      </c>
      <c r="D111" s="352">
        <v>-1.7</v>
      </c>
      <c r="E111" s="352"/>
      <c r="F111" s="361">
        <v>4</v>
      </c>
      <c r="G111" s="361">
        <v>0</v>
      </c>
      <c r="H111" s="358">
        <v>-6.3</v>
      </c>
    </row>
    <row r="112" spans="1:8" ht="15" thickBot="1" x14ac:dyDescent="0.35">
      <c r="A112" s="353" t="s">
        <v>395</v>
      </c>
      <c r="B112" s="352">
        <v>1.8</v>
      </c>
      <c r="C112" s="352">
        <v>-0.3</v>
      </c>
      <c r="D112" s="352">
        <v>0.5</v>
      </c>
      <c r="E112" s="352"/>
      <c r="F112" s="361">
        <v>5</v>
      </c>
      <c r="G112" s="361">
        <v>0</v>
      </c>
      <c r="H112" s="358">
        <v>-4.2</v>
      </c>
    </row>
    <row r="113" spans="1:8" ht="15" thickBot="1" x14ac:dyDescent="0.35">
      <c r="A113" s="353" t="s">
        <v>395</v>
      </c>
      <c r="B113" s="352">
        <v>5.9</v>
      </c>
      <c r="C113" s="352">
        <v>0</v>
      </c>
      <c r="D113" s="352">
        <v>2.7</v>
      </c>
      <c r="E113" s="352"/>
      <c r="F113" s="361">
        <v>5</v>
      </c>
      <c r="G113" s="361">
        <v>0</v>
      </c>
      <c r="H113" s="358">
        <v>-1.9</v>
      </c>
    </row>
    <row r="114" spans="1:8" ht="15" thickBot="1" x14ac:dyDescent="0.35">
      <c r="A114" s="353" t="s">
        <v>395</v>
      </c>
      <c r="B114" s="352">
        <v>5</v>
      </c>
      <c r="C114" s="352">
        <v>-3</v>
      </c>
      <c r="D114" s="352">
        <v>1.4</v>
      </c>
      <c r="E114" s="352"/>
      <c r="F114" s="361">
        <v>4</v>
      </c>
      <c r="G114" s="361">
        <v>0</v>
      </c>
      <c r="H114" s="358">
        <v>-2.8</v>
      </c>
    </row>
    <row r="115" spans="1:8" ht="15" thickBot="1" x14ac:dyDescent="0.35">
      <c r="A115" s="353" t="s">
        <v>395</v>
      </c>
      <c r="B115" s="352">
        <v>6.3</v>
      </c>
      <c r="C115" s="352">
        <v>-4</v>
      </c>
      <c r="D115" s="352">
        <v>1.8</v>
      </c>
      <c r="E115" s="352"/>
      <c r="F115" s="361">
        <v>4</v>
      </c>
      <c r="G115" s="361">
        <v>0</v>
      </c>
      <c r="H115" s="358">
        <v>-2.2999999999999998</v>
      </c>
    </row>
    <row r="116" spans="1:8" ht="15" thickBot="1" x14ac:dyDescent="0.35">
      <c r="A116" s="353" t="s">
        <v>395</v>
      </c>
      <c r="B116" s="352">
        <v>11.8</v>
      </c>
      <c r="C116" s="352">
        <v>3</v>
      </c>
      <c r="D116" s="352">
        <v>5.6</v>
      </c>
      <c r="E116" s="352"/>
      <c r="F116" s="361">
        <v>5</v>
      </c>
      <c r="G116" s="361">
        <v>0</v>
      </c>
      <c r="H116" s="358">
        <v>1.3</v>
      </c>
    </row>
    <row r="117" spans="1:8" ht="15" thickBot="1" x14ac:dyDescent="0.35">
      <c r="A117" s="353" t="s">
        <v>395</v>
      </c>
      <c r="B117" s="352">
        <v>10.7</v>
      </c>
      <c r="C117" s="352">
        <v>3.9</v>
      </c>
      <c r="D117" s="352">
        <v>6.1</v>
      </c>
      <c r="E117" s="352"/>
      <c r="F117" s="361">
        <v>5</v>
      </c>
      <c r="G117" s="361">
        <v>5</v>
      </c>
      <c r="H117" s="358">
        <v>2</v>
      </c>
    </row>
    <row r="118" spans="1:8" ht="15" thickBot="1" x14ac:dyDescent="0.35">
      <c r="A118" s="353" t="s">
        <v>395</v>
      </c>
      <c r="B118" s="352">
        <v>14.7</v>
      </c>
      <c r="C118" s="352">
        <v>6</v>
      </c>
      <c r="D118" s="352">
        <v>9.3000000000000007</v>
      </c>
      <c r="E118" s="352"/>
      <c r="F118" s="361">
        <v>1</v>
      </c>
      <c r="G118" s="361">
        <v>0</v>
      </c>
      <c r="H118" s="358">
        <v>6.2</v>
      </c>
    </row>
    <row r="119" spans="1:8" ht="15" thickBot="1" x14ac:dyDescent="0.35">
      <c r="A119" s="353" t="s">
        <v>395</v>
      </c>
      <c r="B119" s="352">
        <v>10.6</v>
      </c>
      <c r="C119" s="352">
        <v>5</v>
      </c>
      <c r="D119" s="352">
        <v>7.7</v>
      </c>
      <c r="E119" s="352"/>
      <c r="F119" s="361">
        <v>1</v>
      </c>
      <c r="G119" s="361">
        <v>1</v>
      </c>
      <c r="H119" s="358">
        <v>4.4000000000000004</v>
      </c>
    </row>
    <row r="120" spans="1:8" ht="15" thickBot="1" x14ac:dyDescent="0.35">
      <c r="A120" s="353" t="s">
        <v>395</v>
      </c>
      <c r="B120" s="352">
        <v>10.199999999999999</v>
      </c>
      <c r="C120" s="352">
        <v>0</v>
      </c>
      <c r="D120" s="352">
        <v>5.2</v>
      </c>
      <c r="E120" s="352"/>
      <c r="F120" s="361">
        <v>1</v>
      </c>
      <c r="G120" s="361">
        <v>0</v>
      </c>
      <c r="H120" s="358">
        <v>0.8</v>
      </c>
    </row>
    <row r="121" spans="1:8" ht="15" thickBot="1" x14ac:dyDescent="0.35">
      <c r="A121" s="353" t="s">
        <v>395</v>
      </c>
      <c r="B121" s="352">
        <v>9</v>
      </c>
      <c r="C121" s="352">
        <v>-1</v>
      </c>
      <c r="D121" s="352">
        <v>3.3</v>
      </c>
      <c r="E121" s="352"/>
      <c r="F121" s="361">
        <v>1</v>
      </c>
      <c r="G121" s="361">
        <v>0</v>
      </c>
      <c r="H121" s="358">
        <v>-2.2000000000000002</v>
      </c>
    </row>
    <row r="122" spans="1:8" ht="15" thickBot="1" x14ac:dyDescent="0.35">
      <c r="A122" s="353" t="s">
        <v>395</v>
      </c>
      <c r="B122" s="352">
        <v>11</v>
      </c>
      <c r="C122" s="352">
        <v>2.5</v>
      </c>
      <c r="D122" s="352">
        <v>6.7</v>
      </c>
      <c r="E122" s="352"/>
      <c r="F122" s="361">
        <v>7</v>
      </c>
      <c r="G122" s="361">
        <v>0</v>
      </c>
      <c r="H122" s="358">
        <v>0.6</v>
      </c>
    </row>
    <row r="123" spans="1:8" ht="15" thickBot="1" x14ac:dyDescent="0.35">
      <c r="A123" s="353" t="s">
        <v>395</v>
      </c>
      <c r="B123" s="352">
        <v>7</v>
      </c>
      <c r="C123" s="352">
        <v>2</v>
      </c>
      <c r="D123" s="352">
        <v>4.3</v>
      </c>
      <c r="E123" s="352"/>
      <c r="F123" s="361">
        <v>5</v>
      </c>
      <c r="G123" s="361">
        <v>2</v>
      </c>
      <c r="H123" s="358">
        <v>-0.2</v>
      </c>
    </row>
    <row r="124" spans="1:8" ht="15" thickBot="1" x14ac:dyDescent="0.35">
      <c r="A124" s="353" t="s">
        <v>396</v>
      </c>
      <c r="B124" s="352">
        <v>7</v>
      </c>
      <c r="C124" s="352">
        <v>1</v>
      </c>
      <c r="D124" s="352">
        <v>4.3</v>
      </c>
      <c r="E124" s="352"/>
      <c r="F124" s="361">
        <v>6</v>
      </c>
      <c r="G124" s="361">
        <v>0</v>
      </c>
      <c r="H124" s="358">
        <v>-1</v>
      </c>
    </row>
    <row r="125" spans="1:8" ht="15" thickBot="1" x14ac:dyDescent="0.35">
      <c r="A125" s="353" t="s">
        <v>396</v>
      </c>
      <c r="B125" s="352">
        <v>12.8</v>
      </c>
      <c r="C125" s="352">
        <v>1</v>
      </c>
      <c r="D125" s="352">
        <v>7.4</v>
      </c>
      <c r="E125" s="352"/>
      <c r="F125" s="361">
        <v>3</v>
      </c>
      <c r="G125" s="361">
        <v>150</v>
      </c>
      <c r="H125" s="358">
        <v>4.3</v>
      </c>
    </row>
    <row r="126" spans="1:8" ht="15" thickBot="1" x14ac:dyDescent="0.35">
      <c r="A126" s="353" t="s">
        <v>396</v>
      </c>
      <c r="B126" s="352">
        <v>16.7</v>
      </c>
      <c r="C126" s="352">
        <v>3</v>
      </c>
      <c r="D126" s="352">
        <v>9.6</v>
      </c>
      <c r="E126" s="352"/>
      <c r="F126" s="361">
        <v>4</v>
      </c>
      <c r="G126" s="361">
        <v>0</v>
      </c>
      <c r="H126" s="358">
        <v>5.7</v>
      </c>
    </row>
    <row r="127" spans="1:8" ht="15" thickBot="1" x14ac:dyDescent="0.35">
      <c r="A127" s="353" t="s">
        <v>396</v>
      </c>
      <c r="B127" s="352">
        <v>18</v>
      </c>
      <c r="C127" s="352">
        <v>2</v>
      </c>
      <c r="D127" s="352">
        <v>10.3</v>
      </c>
      <c r="E127" s="352"/>
      <c r="F127" s="361">
        <v>3</v>
      </c>
      <c r="G127" s="361">
        <v>0</v>
      </c>
      <c r="H127" s="358">
        <v>7.2</v>
      </c>
    </row>
    <row r="128" spans="1:8" ht="15" thickBot="1" x14ac:dyDescent="0.35">
      <c r="A128" s="353" t="s">
        <v>396</v>
      </c>
      <c r="B128" s="352">
        <v>19</v>
      </c>
      <c r="C128" s="352">
        <v>3</v>
      </c>
      <c r="D128" s="352">
        <v>11.4</v>
      </c>
      <c r="E128" s="352"/>
      <c r="F128" s="361">
        <v>2</v>
      </c>
      <c r="G128" s="361">
        <v>0</v>
      </c>
      <c r="H128" s="358">
        <v>9.1999999999999993</v>
      </c>
    </row>
    <row r="129" spans="1:8" ht="15" thickBot="1" x14ac:dyDescent="0.35">
      <c r="A129" s="353" t="s">
        <v>396</v>
      </c>
      <c r="B129" s="352">
        <v>13</v>
      </c>
      <c r="C129" s="352">
        <v>0</v>
      </c>
      <c r="D129" s="352">
        <v>7.2</v>
      </c>
      <c r="E129" s="352"/>
      <c r="F129" s="361">
        <v>6</v>
      </c>
      <c r="G129" s="361">
        <v>0</v>
      </c>
      <c r="H129" s="358">
        <v>1.9</v>
      </c>
    </row>
    <row r="130" spans="1:8" ht="15" thickBot="1" x14ac:dyDescent="0.35">
      <c r="A130" s="353" t="s">
        <v>396</v>
      </c>
      <c r="B130" s="352">
        <v>9</v>
      </c>
      <c r="C130" s="352">
        <v>-1</v>
      </c>
      <c r="D130" s="352">
        <v>3.8</v>
      </c>
      <c r="E130" s="352"/>
      <c r="F130" s="361">
        <v>6</v>
      </c>
      <c r="G130" s="361">
        <v>0</v>
      </c>
      <c r="H130" s="358">
        <v>-2</v>
      </c>
    </row>
    <row r="131" spans="1:8" ht="15" thickBot="1" x14ac:dyDescent="0.35">
      <c r="A131" s="353" t="s">
        <v>396</v>
      </c>
      <c r="B131" s="352">
        <v>11</v>
      </c>
      <c r="C131" s="352">
        <v>-2</v>
      </c>
      <c r="D131" s="352">
        <v>4.4000000000000004</v>
      </c>
      <c r="E131" s="352"/>
      <c r="F131" s="361">
        <v>3</v>
      </c>
      <c r="G131" s="361">
        <v>0</v>
      </c>
      <c r="H131" s="358">
        <v>0.5</v>
      </c>
    </row>
    <row r="132" spans="1:8" ht="15" thickBot="1" x14ac:dyDescent="0.35">
      <c r="A132" s="353" t="s">
        <v>396</v>
      </c>
      <c r="B132" s="352">
        <v>14</v>
      </c>
      <c r="C132" s="352">
        <v>-2</v>
      </c>
      <c r="D132" s="352">
        <v>6.2</v>
      </c>
      <c r="E132" s="352"/>
      <c r="F132" s="361">
        <v>2</v>
      </c>
      <c r="G132" s="361">
        <v>0</v>
      </c>
      <c r="H132" s="358">
        <v>3</v>
      </c>
    </row>
    <row r="133" spans="1:8" ht="15" thickBot="1" x14ac:dyDescent="0.35">
      <c r="A133" s="353" t="s">
        <v>396</v>
      </c>
      <c r="B133" s="352">
        <v>15</v>
      </c>
      <c r="C133" s="352">
        <v>-1</v>
      </c>
      <c r="D133" s="352">
        <v>7.6</v>
      </c>
      <c r="E133" s="352"/>
      <c r="F133" s="361">
        <v>4</v>
      </c>
      <c r="G133" s="361">
        <v>0</v>
      </c>
      <c r="H133" s="358">
        <v>3.3</v>
      </c>
    </row>
    <row r="134" spans="1:8" ht="15" thickBot="1" x14ac:dyDescent="0.35">
      <c r="A134" s="353" t="s">
        <v>396</v>
      </c>
      <c r="B134" s="352">
        <v>14</v>
      </c>
      <c r="C134" s="352">
        <v>-2</v>
      </c>
      <c r="D134" s="352">
        <v>6.6</v>
      </c>
      <c r="E134" s="352"/>
      <c r="F134" s="361">
        <v>3</v>
      </c>
      <c r="G134" s="361">
        <v>0</v>
      </c>
      <c r="H134" s="358">
        <v>3.1</v>
      </c>
    </row>
    <row r="135" spans="1:8" ht="15" thickBot="1" x14ac:dyDescent="0.35">
      <c r="A135" s="353" t="s">
        <v>396</v>
      </c>
      <c r="B135" s="352">
        <v>17</v>
      </c>
      <c r="C135" s="352">
        <v>0</v>
      </c>
      <c r="D135" s="352">
        <v>10.1</v>
      </c>
      <c r="E135" s="352"/>
      <c r="F135" s="361">
        <v>2</v>
      </c>
      <c r="G135" s="361">
        <v>0</v>
      </c>
      <c r="H135" s="358">
        <v>7.4</v>
      </c>
    </row>
    <row r="136" spans="1:8" ht="15" thickBot="1" x14ac:dyDescent="0.35">
      <c r="A136" s="353" t="s">
        <v>396</v>
      </c>
      <c r="B136" s="352">
        <v>18</v>
      </c>
      <c r="C136" s="352">
        <v>1</v>
      </c>
      <c r="D136" s="352">
        <v>9.6</v>
      </c>
      <c r="E136" s="352"/>
      <c r="F136" s="361">
        <v>5</v>
      </c>
      <c r="G136" s="361">
        <v>0</v>
      </c>
      <c r="H136" s="358">
        <v>5</v>
      </c>
    </row>
    <row r="137" spans="1:8" ht="15" thickBot="1" x14ac:dyDescent="0.35">
      <c r="A137" s="353" t="s">
        <v>396</v>
      </c>
      <c r="B137" s="352">
        <v>5</v>
      </c>
      <c r="C137" s="352">
        <v>-4</v>
      </c>
      <c r="D137" s="352">
        <v>1.3</v>
      </c>
      <c r="E137" s="352"/>
      <c r="F137" s="361">
        <v>9</v>
      </c>
      <c r="G137" s="361">
        <v>0</v>
      </c>
      <c r="H137" s="358">
        <v>-6.8</v>
      </c>
    </row>
    <row r="138" spans="1:8" ht="15" thickBot="1" x14ac:dyDescent="0.35">
      <c r="A138" s="353" t="s">
        <v>396</v>
      </c>
      <c r="B138" s="352">
        <v>8</v>
      </c>
      <c r="C138" s="352">
        <v>-5</v>
      </c>
      <c r="D138" s="352">
        <v>1.8</v>
      </c>
      <c r="E138" s="352"/>
      <c r="F138" s="361">
        <v>5</v>
      </c>
      <c r="G138" s="361">
        <v>1</v>
      </c>
      <c r="H138" s="358">
        <v>-3.7</v>
      </c>
    </row>
    <row r="139" spans="1:8" ht="15" thickBot="1" x14ac:dyDescent="0.35">
      <c r="A139" s="353" t="s">
        <v>396</v>
      </c>
      <c r="B139" s="352">
        <v>11.3</v>
      </c>
      <c r="C139" s="352">
        <v>-2</v>
      </c>
      <c r="D139" s="352">
        <v>5.0999999999999996</v>
      </c>
      <c r="E139" s="352"/>
      <c r="F139" s="361">
        <v>5</v>
      </c>
      <c r="G139" s="361">
        <v>1</v>
      </c>
      <c r="H139" s="358">
        <v>-0.1</v>
      </c>
    </row>
    <row r="140" spans="1:8" ht="15" thickBot="1" x14ac:dyDescent="0.35">
      <c r="A140" s="353" t="s">
        <v>396</v>
      </c>
      <c r="B140" s="352">
        <v>16</v>
      </c>
      <c r="C140" s="352">
        <v>-2</v>
      </c>
      <c r="D140" s="352">
        <v>8.6</v>
      </c>
      <c r="E140" s="352"/>
      <c r="F140" s="361">
        <v>3</v>
      </c>
      <c r="G140" s="361">
        <v>1</v>
      </c>
      <c r="H140" s="358">
        <v>5</v>
      </c>
    </row>
    <row r="141" spans="1:8" ht="15" thickBot="1" x14ac:dyDescent="0.35">
      <c r="A141" s="353" t="s">
        <v>396</v>
      </c>
      <c r="B141" s="352">
        <v>18</v>
      </c>
      <c r="C141" s="352">
        <v>5</v>
      </c>
      <c r="D141" s="352">
        <v>12.3</v>
      </c>
      <c r="E141" s="352"/>
      <c r="F141" s="361">
        <v>4</v>
      </c>
      <c r="G141" s="361">
        <v>0</v>
      </c>
      <c r="H141" s="358">
        <v>8.1999999999999993</v>
      </c>
    </row>
    <row r="142" spans="1:8" ht="15" thickBot="1" x14ac:dyDescent="0.35">
      <c r="A142" s="353" t="s">
        <v>396</v>
      </c>
      <c r="B142" s="352">
        <v>18</v>
      </c>
      <c r="C142" s="352">
        <v>5</v>
      </c>
      <c r="D142" s="352">
        <v>11.9</v>
      </c>
      <c r="E142" s="352"/>
      <c r="F142" s="361">
        <v>4</v>
      </c>
      <c r="G142" s="361">
        <v>0</v>
      </c>
      <c r="H142" s="358">
        <v>8.1999999999999993</v>
      </c>
    </row>
    <row r="143" spans="1:8" ht="15" thickBot="1" x14ac:dyDescent="0.35">
      <c r="A143" s="353" t="s">
        <v>396</v>
      </c>
      <c r="B143" s="352">
        <v>17</v>
      </c>
      <c r="C143" s="352">
        <v>4</v>
      </c>
      <c r="D143" s="352">
        <v>11.2</v>
      </c>
      <c r="E143" s="352"/>
      <c r="F143" s="361">
        <v>3</v>
      </c>
      <c r="G143" s="361">
        <v>0</v>
      </c>
      <c r="H143" s="358">
        <v>8.4</v>
      </c>
    </row>
    <row r="144" spans="1:8" ht="15" thickBot="1" x14ac:dyDescent="0.35">
      <c r="A144" s="353" t="s">
        <v>396</v>
      </c>
      <c r="B144" s="352">
        <v>17.3</v>
      </c>
      <c r="C144" s="352">
        <v>6</v>
      </c>
      <c r="D144" s="352">
        <v>11.8</v>
      </c>
      <c r="E144" s="352"/>
      <c r="F144" s="361">
        <v>2</v>
      </c>
      <c r="G144" s="361">
        <v>0</v>
      </c>
      <c r="H144" s="358">
        <v>9.5</v>
      </c>
    </row>
    <row r="145" spans="1:8" ht="15" thickBot="1" x14ac:dyDescent="0.35">
      <c r="A145" s="353" t="s">
        <v>396</v>
      </c>
      <c r="B145" s="352">
        <v>15</v>
      </c>
      <c r="C145" s="352">
        <v>3</v>
      </c>
      <c r="D145" s="352">
        <v>10.3</v>
      </c>
      <c r="E145" s="352"/>
      <c r="F145" s="361">
        <v>2</v>
      </c>
      <c r="G145" s="361">
        <v>0</v>
      </c>
      <c r="H145" s="358">
        <v>8.1999999999999993</v>
      </c>
    </row>
    <row r="146" spans="1:8" ht="15" thickBot="1" x14ac:dyDescent="0.35">
      <c r="A146" s="353" t="s">
        <v>396</v>
      </c>
      <c r="B146" s="352">
        <v>19</v>
      </c>
      <c r="C146" s="352">
        <v>3</v>
      </c>
      <c r="D146" s="352">
        <v>12</v>
      </c>
      <c r="E146" s="352"/>
      <c r="F146" s="361">
        <v>4</v>
      </c>
      <c r="G146" s="361">
        <v>0</v>
      </c>
      <c r="H146" s="358">
        <v>8.1999999999999993</v>
      </c>
    </row>
    <row r="147" spans="1:8" ht="15" thickBot="1" x14ac:dyDescent="0.35">
      <c r="A147" s="353" t="s">
        <v>396</v>
      </c>
      <c r="B147" s="352">
        <v>23</v>
      </c>
      <c r="C147" s="352">
        <v>3</v>
      </c>
      <c r="D147" s="352">
        <v>15.3</v>
      </c>
      <c r="E147" s="352"/>
      <c r="F147" s="361">
        <v>4</v>
      </c>
      <c r="G147" s="361">
        <v>0</v>
      </c>
      <c r="H147" s="358">
        <v>11.6</v>
      </c>
    </row>
    <row r="148" spans="1:8" ht="15" thickBot="1" x14ac:dyDescent="0.35">
      <c r="A148" s="353" t="s">
        <v>396</v>
      </c>
      <c r="B148" s="352">
        <v>19.5</v>
      </c>
      <c r="C148" s="352">
        <v>6</v>
      </c>
      <c r="D148" s="352">
        <v>14</v>
      </c>
      <c r="E148" s="352"/>
      <c r="F148" s="361">
        <v>4</v>
      </c>
      <c r="G148" s="361">
        <v>0</v>
      </c>
      <c r="H148" s="358">
        <v>11.1</v>
      </c>
    </row>
    <row r="149" spans="1:8" ht="15" thickBot="1" x14ac:dyDescent="0.35">
      <c r="A149" s="353" t="s">
        <v>396</v>
      </c>
      <c r="B149" s="352">
        <v>17.5</v>
      </c>
      <c r="C149" s="352">
        <v>11</v>
      </c>
      <c r="D149" s="352">
        <v>13.7</v>
      </c>
      <c r="E149" s="352"/>
      <c r="F149" s="361">
        <v>6</v>
      </c>
      <c r="G149" s="361">
        <v>2</v>
      </c>
      <c r="H149" s="358">
        <v>9.9</v>
      </c>
    </row>
    <row r="150" spans="1:8" ht="15" thickBot="1" x14ac:dyDescent="0.35">
      <c r="A150" s="353" t="s">
        <v>396</v>
      </c>
      <c r="B150" s="352">
        <v>22</v>
      </c>
      <c r="C150" s="352">
        <v>8</v>
      </c>
      <c r="D150" s="352">
        <v>15.4</v>
      </c>
      <c r="E150" s="352"/>
      <c r="F150" s="361">
        <v>6</v>
      </c>
      <c r="G150" s="361">
        <v>0</v>
      </c>
      <c r="H150" s="358">
        <v>11.3</v>
      </c>
    </row>
    <row r="151" spans="1:8" ht="15" thickBot="1" x14ac:dyDescent="0.35">
      <c r="A151" s="353" t="s">
        <v>396</v>
      </c>
      <c r="B151" s="352">
        <v>22.6</v>
      </c>
      <c r="C151" s="352">
        <v>7</v>
      </c>
      <c r="D151" s="352">
        <v>15.9</v>
      </c>
      <c r="E151" s="352"/>
      <c r="F151" s="361">
        <v>2</v>
      </c>
      <c r="G151" s="361">
        <v>0</v>
      </c>
      <c r="H151" s="358">
        <v>14.4</v>
      </c>
    </row>
    <row r="152" spans="1:8" ht="15" thickBot="1" x14ac:dyDescent="0.35">
      <c r="A152" s="353" t="s">
        <v>396</v>
      </c>
      <c r="B152" s="352">
        <v>25.1</v>
      </c>
      <c r="C152" s="352">
        <v>9.6999999999999993</v>
      </c>
      <c r="D152" s="352">
        <v>17.3</v>
      </c>
      <c r="E152" s="352"/>
      <c r="F152" s="361">
        <v>4</v>
      </c>
      <c r="G152" s="361">
        <v>0</v>
      </c>
      <c r="H152" s="358">
        <v>14.4</v>
      </c>
    </row>
    <row r="153" spans="1:8" ht="15" thickBot="1" x14ac:dyDescent="0.35">
      <c r="A153" s="353" t="s">
        <v>396</v>
      </c>
      <c r="B153" s="352">
        <v>20</v>
      </c>
      <c r="C153" s="352">
        <v>12</v>
      </c>
      <c r="D153" s="352">
        <v>15.6</v>
      </c>
      <c r="E153" s="352"/>
      <c r="F153" s="361">
        <v>5</v>
      </c>
      <c r="G153" s="361">
        <v>0</v>
      </c>
      <c r="H153" s="358">
        <v>12.5</v>
      </c>
    </row>
    <row r="154" spans="1:8" ht="15" thickBot="1" x14ac:dyDescent="0.35">
      <c r="A154" s="353" t="s">
        <v>397</v>
      </c>
      <c r="B154" s="352">
        <v>30</v>
      </c>
      <c r="C154" s="352">
        <v>13</v>
      </c>
      <c r="D154" s="352">
        <v>21.3</v>
      </c>
      <c r="E154" s="352"/>
      <c r="F154" s="361">
        <v>7</v>
      </c>
      <c r="G154" s="361">
        <v>0</v>
      </c>
      <c r="H154" s="358">
        <v>16.8</v>
      </c>
    </row>
    <row r="155" spans="1:8" ht="15" thickBot="1" x14ac:dyDescent="0.35">
      <c r="A155" s="353" t="s">
        <v>397</v>
      </c>
      <c r="B155" s="352">
        <v>14</v>
      </c>
      <c r="C155" s="352">
        <v>9</v>
      </c>
      <c r="D155" s="352">
        <v>12</v>
      </c>
      <c r="E155" s="352"/>
      <c r="F155" s="361">
        <v>5</v>
      </c>
      <c r="G155" s="361">
        <v>4</v>
      </c>
      <c r="H155" s="358">
        <v>8.9</v>
      </c>
    </row>
    <row r="156" spans="1:8" ht="15" thickBot="1" x14ac:dyDescent="0.35">
      <c r="A156" s="353" t="s">
        <v>397</v>
      </c>
      <c r="B156" s="352">
        <v>18</v>
      </c>
      <c r="C156" s="352">
        <v>7</v>
      </c>
      <c r="D156" s="352">
        <v>12.9</v>
      </c>
      <c r="E156" s="352"/>
      <c r="F156" s="361">
        <v>3</v>
      </c>
      <c r="G156" s="361">
        <v>1</v>
      </c>
      <c r="H156" s="358">
        <v>10.8</v>
      </c>
    </row>
    <row r="157" spans="1:8" ht="15" thickBot="1" x14ac:dyDescent="0.35">
      <c r="A157" s="353" t="s">
        <v>397</v>
      </c>
      <c r="B157" s="352">
        <v>22.9</v>
      </c>
      <c r="C157" s="352">
        <v>7</v>
      </c>
      <c r="D157" s="352">
        <v>15.7</v>
      </c>
      <c r="E157" s="352"/>
      <c r="F157" s="361">
        <v>4</v>
      </c>
      <c r="G157" s="361">
        <v>0</v>
      </c>
      <c r="H157" s="358">
        <v>12.9</v>
      </c>
    </row>
    <row r="158" spans="1:8" ht="15" thickBot="1" x14ac:dyDescent="0.35">
      <c r="A158" s="353" t="s">
        <v>397</v>
      </c>
      <c r="B158" s="352">
        <v>24</v>
      </c>
      <c r="C158" s="352">
        <v>8</v>
      </c>
      <c r="D158" s="352">
        <v>14.9</v>
      </c>
      <c r="E158" s="352"/>
      <c r="F158" s="361">
        <v>4</v>
      </c>
      <c r="G158" s="361">
        <v>3</v>
      </c>
      <c r="H158" s="358">
        <v>12.2</v>
      </c>
    </row>
    <row r="159" spans="1:8" ht="15" thickBot="1" x14ac:dyDescent="0.35">
      <c r="A159" s="353" t="s">
        <v>397</v>
      </c>
      <c r="B159" s="352">
        <v>11.5</v>
      </c>
      <c r="C159" s="352">
        <v>0</v>
      </c>
      <c r="D159" s="352">
        <v>6.2</v>
      </c>
      <c r="E159" s="352"/>
      <c r="F159" s="361">
        <v>5</v>
      </c>
      <c r="G159" s="361">
        <v>28</v>
      </c>
      <c r="H159" s="358">
        <v>2</v>
      </c>
    </row>
    <row r="160" spans="1:8" ht="15" thickBot="1" x14ac:dyDescent="0.35">
      <c r="A160" s="353" t="s">
        <v>397</v>
      </c>
      <c r="B160" s="352">
        <v>8.1</v>
      </c>
      <c r="C160" s="352">
        <v>0</v>
      </c>
      <c r="D160" s="352">
        <v>4.2</v>
      </c>
      <c r="E160" s="352"/>
      <c r="F160" s="361">
        <v>5</v>
      </c>
      <c r="G160" s="361">
        <v>0</v>
      </c>
      <c r="H160" s="358">
        <v>-0.7</v>
      </c>
    </row>
    <row r="161" spans="1:8" ht="15" thickBot="1" x14ac:dyDescent="0.35">
      <c r="A161" s="353" t="s">
        <v>397</v>
      </c>
      <c r="B161" s="352">
        <v>10</v>
      </c>
      <c r="C161" s="352">
        <v>0</v>
      </c>
      <c r="D161" s="352">
        <v>5.6</v>
      </c>
      <c r="E161" s="352"/>
      <c r="F161" s="361">
        <v>3</v>
      </c>
      <c r="G161" s="361">
        <v>0</v>
      </c>
      <c r="H161" s="358">
        <v>2</v>
      </c>
    </row>
    <row r="162" spans="1:8" ht="15" thickBot="1" x14ac:dyDescent="0.35">
      <c r="A162" s="353" t="s">
        <v>397</v>
      </c>
      <c r="B162" s="352">
        <v>12.6</v>
      </c>
      <c r="C162" s="352">
        <v>0</v>
      </c>
      <c r="D162" s="352">
        <v>7.4</v>
      </c>
      <c r="E162" s="352"/>
      <c r="F162" s="361">
        <v>3</v>
      </c>
      <c r="G162" s="361">
        <v>0</v>
      </c>
      <c r="H162" s="358">
        <v>3.9</v>
      </c>
    </row>
    <row r="163" spans="1:8" ht="15" thickBot="1" x14ac:dyDescent="0.35">
      <c r="A163" s="353" t="s">
        <v>397</v>
      </c>
      <c r="B163" s="352">
        <v>16.3</v>
      </c>
      <c r="C163" s="352">
        <v>2</v>
      </c>
      <c r="D163" s="352">
        <v>10.9</v>
      </c>
      <c r="E163" s="352"/>
      <c r="F163" s="361">
        <v>3</v>
      </c>
      <c r="G163" s="361">
        <v>0</v>
      </c>
      <c r="H163" s="358">
        <v>7.7</v>
      </c>
    </row>
    <row r="164" spans="1:8" ht="15" thickBot="1" x14ac:dyDescent="0.35">
      <c r="A164" s="353" t="s">
        <v>397</v>
      </c>
      <c r="B164" s="352">
        <v>19.5</v>
      </c>
      <c r="C164" s="352">
        <v>6</v>
      </c>
      <c r="D164" s="352">
        <v>13.8</v>
      </c>
      <c r="E164" s="352"/>
      <c r="F164" s="361">
        <v>4</v>
      </c>
      <c r="G164" s="361">
        <v>0</v>
      </c>
      <c r="H164" s="358">
        <v>10.199999999999999</v>
      </c>
    </row>
    <row r="165" spans="1:8" ht="15" thickBot="1" x14ac:dyDescent="0.35">
      <c r="A165" s="353" t="s">
        <v>397</v>
      </c>
      <c r="B165" s="352">
        <v>20</v>
      </c>
      <c r="C165" s="352">
        <v>8</v>
      </c>
      <c r="D165" s="352">
        <v>14.2</v>
      </c>
      <c r="E165" s="352"/>
      <c r="F165" s="361">
        <v>5</v>
      </c>
      <c r="G165" s="361">
        <v>0</v>
      </c>
      <c r="H165" s="358">
        <v>10.1</v>
      </c>
    </row>
    <row r="166" spans="1:8" ht="15" thickBot="1" x14ac:dyDescent="0.35">
      <c r="A166" s="353" t="s">
        <v>397</v>
      </c>
      <c r="B166" s="352">
        <v>21.8</v>
      </c>
      <c r="C166" s="352">
        <v>7</v>
      </c>
      <c r="D166" s="352">
        <v>15</v>
      </c>
      <c r="E166" s="352"/>
      <c r="F166" s="361">
        <v>4</v>
      </c>
      <c r="G166" s="361">
        <v>0</v>
      </c>
      <c r="H166" s="358">
        <v>11.9</v>
      </c>
    </row>
    <row r="167" spans="1:8" ht="15" thickBot="1" x14ac:dyDescent="0.35">
      <c r="A167" s="353" t="s">
        <v>397</v>
      </c>
      <c r="B167" s="352">
        <v>15.1</v>
      </c>
      <c r="C167" s="352">
        <v>8</v>
      </c>
      <c r="D167" s="352">
        <v>11.7</v>
      </c>
      <c r="E167" s="352"/>
      <c r="F167" s="361">
        <v>4</v>
      </c>
      <c r="G167" s="361">
        <v>0</v>
      </c>
      <c r="H167" s="358">
        <v>9</v>
      </c>
    </row>
    <row r="168" spans="1:8" ht="15" thickBot="1" x14ac:dyDescent="0.35">
      <c r="A168" s="353" t="s">
        <v>397</v>
      </c>
      <c r="B168" s="352">
        <v>17.3</v>
      </c>
      <c r="C168" s="352">
        <v>8</v>
      </c>
      <c r="D168" s="352">
        <v>12</v>
      </c>
      <c r="E168" s="352"/>
      <c r="F168" s="361">
        <v>4</v>
      </c>
      <c r="G168" s="361">
        <v>2</v>
      </c>
      <c r="H168" s="358">
        <v>9.1999999999999993</v>
      </c>
    </row>
    <row r="169" spans="1:8" ht="15" thickBot="1" x14ac:dyDescent="0.35">
      <c r="A169" s="353" t="s">
        <v>397</v>
      </c>
      <c r="B169" s="352">
        <v>22.6</v>
      </c>
      <c r="C169" s="352">
        <v>7</v>
      </c>
      <c r="D169" s="352">
        <v>16.3</v>
      </c>
      <c r="E169" s="352"/>
      <c r="F169" s="361">
        <v>3</v>
      </c>
      <c r="G169" s="361">
        <v>1</v>
      </c>
      <c r="H169" s="358">
        <v>14.1</v>
      </c>
    </row>
    <row r="170" spans="1:8" ht="15" thickBot="1" x14ac:dyDescent="0.35">
      <c r="A170" s="353" t="s">
        <v>397</v>
      </c>
      <c r="B170" s="352">
        <v>24.7</v>
      </c>
      <c r="C170" s="352">
        <v>9</v>
      </c>
      <c r="D170" s="352">
        <v>18.3</v>
      </c>
      <c r="E170" s="352"/>
      <c r="F170" s="361">
        <v>3</v>
      </c>
      <c r="G170" s="361">
        <v>0</v>
      </c>
      <c r="H170" s="358">
        <v>16.100000000000001</v>
      </c>
    </row>
    <row r="171" spans="1:8" ht="15" thickBot="1" x14ac:dyDescent="0.35">
      <c r="A171" s="353" t="s">
        <v>397</v>
      </c>
      <c r="B171" s="352">
        <v>24.7</v>
      </c>
      <c r="C171" s="352">
        <v>11</v>
      </c>
      <c r="D171" s="352">
        <v>18.7</v>
      </c>
      <c r="E171" s="352"/>
      <c r="F171" s="361">
        <v>3</v>
      </c>
      <c r="G171" s="361">
        <v>0</v>
      </c>
      <c r="H171" s="358">
        <v>16.3</v>
      </c>
    </row>
    <row r="172" spans="1:8" ht="15" thickBot="1" x14ac:dyDescent="0.35">
      <c r="A172" s="353" t="s">
        <v>397</v>
      </c>
      <c r="B172" s="352">
        <v>21.6</v>
      </c>
      <c r="C172" s="352">
        <v>7</v>
      </c>
      <c r="D172" s="352">
        <v>14.8</v>
      </c>
      <c r="E172" s="352"/>
      <c r="F172" s="361">
        <v>3</v>
      </c>
      <c r="G172" s="361">
        <v>0</v>
      </c>
      <c r="H172" s="358">
        <v>12.2</v>
      </c>
    </row>
    <row r="173" spans="1:8" ht="15" thickBot="1" x14ac:dyDescent="0.35">
      <c r="A173" s="353" t="s">
        <v>397</v>
      </c>
      <c r="B173" s="352">
        <v>21</v>
      </c>
      <c r="C173" s="352">
        <v>9</v>
      </c>
      <c r="D173" s="352">
        <v>16.8</v>
      </c>
      <c r="E173" s="352"/>
      <c r="F173" s="361">
        <v>2</v>
      </c>
      <c r="G173" s="361">
        <v>0</v>
      </c>
      <c r="H173" s="358">
        <v>15.4</v>
      </c>
    </row>
    <row r="174" spans="1:8" ht="15" thickBot="1" x14ac:dyDescent="0.35">
      <c r="A174" s="353" t="s">
        <v>397</v>
      </c>
      <c r="B174" s="352">
        <v>25.3</v>
      </c>
      <c r="C174" s="352">
        <v>11</v>
      </c>
      <c r="D174" s="352">
        <v>19.399999999999999</v>
      </c>
      <c r="E174" s="352"/>
      <c r="F174" s="361">
        <v>3</v>
      </c>
      <c r="G174" s="361">
        <v>0</v>
      </c>
      <c r="H174" s="358">
        <v>17.3</v>
      </c>
    </row>
    <row r="175" spans="1:8" ht="15" thickBot="1" x14ac:dyDescent="0.35">
      <c r="A175" s="353" t="s">
        <v>397</v>
      </c>
      <c r="B175" s="352">
        <v>26.1</v>
      </c>
      <c r="C175" s="352">
        <v>11</v>
      </c>
      <c r="D175" s="352">
        <v>20.100000000000001</v>
      </c>
      <c r="E175" s="352"/>
      <c r="F175" s="361">
        <v>3</v>
      </c>
      <c r="G175" s="361">
        <v>0</v>
      </c>
      <c r="H175" s="358">
        <v>17.7</v>
      </c>
    </row>
    <row r="176" spans="1:8" ht="15" thickBot="1" x14ac:dyDescent="0.35">
      <c r="A176" s="353" t="s">
        <v>397</v>
      </c>
      <c r="B176" s="352">
        <v>27.5</v>
      </c>
      <c r="C176" s="352">
        <v>11</v>
      </c>
      <c r="D176" s="352">
        <v>21.2</v>
      </c>
      <c r="E176" s="352"/>
      <c r="F176" s="361">
        <v>4</v>
      </c>
      <c r="G176" s="361">
        <v>0</v>
      </c>
      <c r="H176" s="358">
        <v>18.399999999999999</v>
      </c>
    </row>
    <row r="177" spans="1:8" ht="15" thickBot="1" x14ac:dyDescent="0.35">
      <c r="A177" s="353" t="s">
        <v>397</v>
      </c>
      <c r="B177" s="352">
        <v>29</v>
      </c>
      <c r="C177" s="352">
        <v>15</v>
      </c>
      <c r="D177" s="352">
        <v>22.2</v>
      </c>
      <c r="E177" s="352"/>
      <c r="F177" s="361">
        <v>5</v>
      </c>
      <c r="G177" s="361">
        <v>0</v>
      </c>
      <c r="H177" s="358">
        <v>18.8</v>
      </c>
    </row>
    <row r="178" spans="1:8" ht="15" thickBot="1" x14ac:dyDescent="0.35">
      <c r="A178" s="353" t="s">
        <v>397</v>
      </c>
      <c r="B178" s="352">
        <v>30</v>
      </c>
      <c r="C178" s="352">
        <v>15</v>
      </c>
      <c r="D178" s="352">
        <v>23.4</v>
      </c>
      <c r="E178" s="352"/>
      <c r="F178" s="361">
        <v>5</v>
      </c>
      <c r="G178" s="361">
        <v>0</v>
      </c>
      <c r="H178" s="358">
        <v>20.5</v>
      </c>
    </row>
    <row r="179" spans="1:8" ht="15" thickBot="1" x14ac:dyDescent="0.35">
      <c r="A179" s="353" t="s">
        <v>397</v>
      </c>
      <c r="B179" s="352">
        <v>26</v>
      </c>
      <c r="C179" s="352">
        <v>18</v>
      </c>
      <c r="D179" s="352">
        <v>21.9</v>
      </c>
      <c r="E179" s="352"/>
      <c r="F179" s="361">
        <v>5</v>
      </c>
      <c r="G179" s="361">
        <v>0</v>
      </c>
      <c r="H179" s="358">
        <v>19.100000000000001</v>
      </c>
    </row>
    <row r="180" spans="1:8" ht="15" thickBot="1" x14ac:dyDescent="0.35">
      <c r="A180" s="353" t="s">
        <v>397</v>
      </c>
      <c r="B180" s="352">
        <v>25.8</v>
      </c>
      <c r="C180" s="352">
        <v>18</v>
      </c>
      <c r="D180" s="352">
        <v>20.7</v>
      </c>
      <c r="E180" s="352"/>
      <c r="F180" s="361">
        <v>5</v>
      </c>
      <c r="G180" s="361">
        <v>0</v>
      </c>
      <c r="H180" s="358">
        <v>18.600000000000001</v>
      </c>
    </row>
    <row r="181" spans="1:8" ht="15" thickBot="1" x14ac:dyDescent="0.35">
      <c r="A181" s="353" t="s">
        <v>397</v>
      </c>
      <c r="B181" s="352">
        <v>28</v>
      </c>
      <c r="C181" s="352">
        <v>16</v>
      </c>
      <c r="D181" s="352">
        <v>20.100000000000001</v>
      </c>
      <c r="E181" s="352"/>
      <c r="F181" s="361">
        <v>5</v>
      </c>
      <c r="G181" s="361">
        <v>0</v>
      </c>
      <c r="H181" s="358">
        <v>18.2</v>
      </c>
    </row>
    <row r="182" spans="1:8" ht="15" thickBot="1" x14ac:dyDescent="0.35">
      <c r="A182" s="353" t="s">
        <v>397</v>
      </c>
      <c r="B182" s="352">
        <v>19</v>
      </c>
      <c r="C182" s="352">
        <v>10</v>
      </c>
      <c r="D182" s="352">
        <v>15.9</v>
      </c>
      <c r="E182" s="352"/>
      <c r="F182" s="361">
        <v>4</v>
      </c>
      <c r="G182" s="361">
        <v>1</v>
      </c>
      <c r="H182" s="358">
        <v>13.6</v>
      </c>
    </row>
    <row r="183" spans="1:8" ht="15" thickBot="1" x14ac:dyDescent="0.35">
      <c r="A183" s="353" t="s">
        <v>397</v>
      </c>
      <c r="B183" s="352">
        <v>24</v>
      </c>
      <c r="C183" s="352">
        <v>11</v>
      </c>
      <c r="D183" s="352">
        <v>18.7</v>
      </c>
      <c r="E183" s="352"/>
      <c r="F183" s="361">
        <v>4</v>
      </c>
      <c r="G183" s="361">
        <v>0</v>
      </c>
      <c r="H183" s="358">
        <v>16.7</v>
      </c>
    </row>
    <row r="184" spans="1:8" ht="15" thickBot="1" x14ac:dyDescent="0.35">
      <c r="A184" s="353" t="s">
        <v>397</v>
      </c>
      <c r="B184" s="352">
        <v>26</v>
      </c>
      <c r="C184" s="352">
        <v>15</v>
      </c>
      <c r="D184" s="352">
        <v>19.899999999999999</v>
      </c>
      <c r="E184" s="352"/>
      <c r="F184" s="361">
        <v>4</v>
      </c>
      <c r="G184" s="361">
        <v>0</v>
      </c>
      <c r="H184" s="358">
        <v>18.600000000000001</v>
      </c>
    </row>
    <row r="185" spans="1:8" ht="15" thickBot="1" x14ac:dyDescent="0.35">
      <c r="A185" s="353" t="s">
        <v>398</v>
      </c>
      <c r="B185" s="352">
        <v>19.399999999999999</v>
      </c>
      <c r="C185" s="352">
        <v>12</v>
      </c>
      <c r="D185" s="352">
        <v>15.7</v>
      </c>
      <c r="E185" s="352"/>
      <c r="F185" s="361">
        <v>4</v>
      </c>
      <c r="G185" s="361">
        <v>0</v>
      </c>
      <c r="H185" s="358">
        <v>13.5</v>
      </c>
    </row>
    <row r="186" spans="1:8" ht="15" thickBot="1" x14ac:dyDescent="0.35">
      <c r="A186" s="353" t="s">
        <v>398</v>
      </c>
      <c r="B186" s="352">
        <v>20.6</v>
      </c>
      <c r="C186" s="352">
        <v>10</v>
      </c>
      <c r="D186" s="352">
        <v>16.7</v>
      </c>
      <c r="E186" s="352"/>
      <c r="F186" s="361">
        <v>4</v>
      </c>
      <c r="G186" s="361">
        <v>0</v>
      </c>
      <c r="H186" s="358">
        <v>14.6</v>
      </c>
    </row>
    <row r="187" spans="1:8" ht="15" thickBot="1" x14ac:dyDescent="0.35">
      <c r="A187" s="353" t="s">
        <v>398</v>
      </c>
      <c r="B187" s="352">
        <v>26</v>
      </c>
      <c r="C187" s="352">
        <v>15</v>
      </c>
      <c r="D187" s="352">
        <v>19.899999999999999</v>
      </c>
      <c r="E187" s="352"/>
      <c r="F187" s="361">
        <v>4</v>
      </c>
      <c r="G187" s="361">
        <v>0</v>
      </c>
      <c r="H187" s="358">
        <v>18</v>
      </c>
    </row>
    <row r="188" spans="1:8" ht="15" thickBot="1" x14ac:dyDescent="0.35">
      <c r="A188" s="353" t="s">
        <v>398</v>
      </c>
      <c r="B188" s="352">
        <v>22</v>
      </c>
      <c r="C188" s="352">
        <v>6</v>
      </c>
      <c r="D188" s="352">
        <v>14.5</v>
      </c>
      <c r="E188" s="352"/>
      <c r="F188" s="361">
        <v>5</v>
      </c>
      <c r="G188" s="361">
        <v>2</v>
      </c>
      <c r="H188" s="358">
        <v>11.4</v>
      </c>
    </row>
    <row r="189" spans="1:8" ht="15" thickBot="1" x14ac:dyDescent="0.35">
      <c r="A189" s="353" t="s">
        <v>398</v>
      </c>
      <c r="B189" s="352">
        <v>19.399999999999999</v>
      </c>
      <c r="C189" s="352">
        <v>6</v>
      </c>
      <c r="D189" s="352">
        <v>14.3</v>
      </c>
      <c r="E189" s="352"/>
      <c r="F189" s="361">
        <v>2</v>
      </c>
      <c r="G189" s="361">
        <v>0</v>
      </c>
      <c r="H189" s="358">
        <v>12.4</v>
      </c>
    </row>
    <row r="190" spans="1:8" ht="15" thickBot="1" x14ac:dyDescent="0.35">
      <c r="A190" s="353" t="s">
        <v>398</v>
      </c>
      <c r="B190" s="352">
        <v>21</v>
      </c>
      <c r="C190" s="352">
        <v>8</v>
      </c>
      <c r="D190" s="352">
        <v>15.4</v>
      </c>
      <c r="E190" s="352"/>
      <c r="F190" s="361">
        <v>4</v>
      </c>
      <c r="G190" s="361">
        <v>0</v>
      </c>
      <c r="H190" s="358">
        <v>12.5</v>
      </c>
    </row>
    <row r="191" spans="1:8" ht="15" thickBot="1" x14ac:dyDescent="0.35">
      <c r="A191" s="353" t="s">
        <v>398</v>
      </c>
      <c r="B191" s="352">
        <v>21</v>
      </c>
      <c r="C191" s="352">
        <v>9</v>
      </c>
      <c r="D191" s="352">
        <v>15.9</v>
      </c>
      <c r="E191" s="352"/>
      <c r="F191" s="361">
        <v>4</v>
      </c>
      <c r="G191" s="361">
        <v>0</v>
      </c>
      <c r="H191" s="358">
        <v>13.2</v>
      </c>
    </row>
    <row r="192" spans="1:8" ht="15" thickBot="1" x14ac:dyDescent="0.35">
      <c r="A192" s="353" t="s">
        <v>398</v>
      </c>
      <c r="B192" s="352">
        <v>19.100000000000001</v>
      </c>
      <c r="C192" s="352">
        <v>6</v>
      </c>
      <c r="D192" s="352">
        <v>14.4</v>
      </c>
      <c r="E192" s="352"/>
      <c r="F192" s="361">
        <v>5</v>
      </c>
      <c r="G192" s="361">
        <v>0</v>
      </c>
      <c r="H192" s="358">
        <v>10.9</v>
      </c>
    </row>
    <row r="193" spans="1:8" ht="15" thickBot="1" x14ac:dyDescent="0.35">
      <c r="A193" s="353" t="s">
        <v>398</v>
      </c>
      <c r="B193" s="352">
        <v>22.5</v>
      </c>
      <c r="C193" s="352">
        <v>5</v>
      </c>
      <c r="D193" s="352">
        <v>15.7</v>
      </c>
      <c r="E193" s="352"/>
      <c r="F193" s="361">
        <v>3</v>
      </c>
      <c r="G193" s="361">
        <v>0</v>
      </c>
      <c r="H193" s="358">
        <v>13.9</v>
      </c>
    </row>
    <row r="194" spans="1:8" ht="15" thickBot="1" x14ac:dyDescent="0.35">
      <c r="A194" s="353" t="s">
        <v>398</v>
      </c>
      <c r="B194" s="352">
        <v>39</v>
      </c>
      <c r="C194" s="352">
        <v>6</v>
      </c>
      <c r="D194" s="352">
        <v>12.6</v>
      </c>
      <c r="E194" s="352"/>
      <c r="F194" s="361">
        <v>4</v>
      </c>
      <c r="G194" s="361">
        <v>5</v>
      </c>
      <c r="H194" s="358">
        <v>9.8000000000000007</v>
      </c>
    </row>
    <row r="195" spans="1:8" ht="15" thickBot="1" x14ac:dyDescent="0.35">
      <c r="A195" s="353" t="s">
        <v>398</v>
      </c>
      <c r="B195" s="352">
        <v>17</v>
      </c>
      <c r="C195" s="352">
        <v>5</v>
      </c>
      <c r="D195" s="352">
        <v>11.7</v>
      </c>
      <c r="E195" s="352"/>
      <c r="F195" s="361">
        <v>4</v>
      </c>
      <c r="G195" s="361">
        <v>0</v>
      </c>
      <c r="H195" s="358">
        <v>8.1999999999999993</v>
      </c>
    </row>
    <row r="196" spans="1:8" ht="15" thickBot="1" x14ac:dyDescent="0.35">
      <c r="A196" s="353" t="s">
        <v>398</v>
      </c>
      <c r="B196" s="352">
        <v>19</v>
      </c>
      <c r="C196" s="352">
        <v>5</v>
      </c>
      <c r="D196" s="352">
        <v>13.7</v>
      </c>
      <c r="E196" s="352"/>
      <c r="F196" s="361">
        <v>4</v>
      </c>
      <c r="G196" s="361">
        <v>0</v>
      </c>
      <c r="H196" s="358">
        <v>10.199999999999999</v>
      </c>
    </row>
    <row r="197" spans="1:8" ht="15" thickBot="1" x14ac:dyDescent="0.35">
      <c r="A197" s="353" t="s">
        <v>398</v>
      </c>
      <c r="B197" s="352">
        <v>21</v>
      </c>
      <c r="C197" s="352">
        <v>9</v>
      </c>
      <c r="D197" s="352">
        <v>16.2</v>
      </c>
      <c r="E197" s="352"/>
      <c r="F197" s="361">
        <v>5</v>
      </c>
      <c r="G197" s="361">
        <v>0</v>
      </c>
      <c r="H197" s="358">
        <v>12.1</v>
      </c>
    </row>
    <row r="198" spans="1:8" ht="15" thickBot="1" x14ac:dyDescent="0.35">
      <c r="A198" s="353" t="s">
        <v>398</v>
      </c>
      <c r="B198" s="352">
        <v>39</v>
      </c>
      <c r="C198" s="352">
        <v>9</v>
      </c>
      <c r="D198" s="352">
        <v>18.100000000000001</v>
      </c>
      <c r="E198" s="352"/>
      <c r="F198" s="361">
        <v>3</v>
      </c>
      <c r="G198" s="361">
        <v>0</v>
      </c>
      <c r="H198" s="358">
        <v>15.6</v>
      </c>
    </row>
    <row r="199" spans="1:8" ht="15" thickBot="1" x14ac:dyDescent="0.35">
      <c r="A199" s="353" t="s">
        <v>398</v>
      </c>
      <c r="B199" s="352">
        <v>26.3</v>
      </c>
      <c r="C199" s="352">
        <v>12</v>
      </c>
      <c r="D199" s="352">
        <v>20</v>
      </c>
      <c r="E199" s="352"/>
      <c r="F199" s="361">
        <v>3</v>
      </c>
      <c r="G199" s="361">
        <v>0</v>
      </c>
      <c r="H199" s="358">
        <v>17.8</v>
      </c>
    </row>
    <row r="200" spans="1:8" ht="15" thickBot="1" x14ac:dyDescent="0.35">
      <c r="A200" s="353" t="s">
        <v>398</v>
      </c>
      <c r="B200" s="352">
        <v>28</v>
      </c>
      <c r="C200" s="352">
        <v>13</v>
      </c>
      <c r="D200" s="352">
        <v>21.7</v>
      </c>
      <c r="E200" s="352"/>
      <c r="F200" s="361">
        <v>3</v>
      </c>
      <c r="G200" s="361">
        <v>0</v>
      </c>
      <c r="H200" s="358">
        <v>19.899999999999999</v>
      </c>
    </row>
    <row r="201" spans="1:8" ht="15" thickBot="1" x14ac:dyDescent="0.35">
      <c r="A201" s="353" t="s">
        <v>398</v>
      </c>
      <c r="B201" s="352">
        <v>24</v>
      </c>
      <c r="C201" s="352">
        <v>9</v>
      </c>
      <c r="D201" s="352">
        <v>18.2</v>
      </c>
      <c r="E201" s="352"/>
      <c r="F201" s="361">
        <v>6</v>
      </c>
      <c r="G201" s="361">
        <v>0</v>
      </c>
      <c r="H201" s="358">
        <v>13.9</v>
      </c>
    </row>
    <row r="202" spans="1:8" ht="15" thickBot="1" x14ac:dyDescent="0.35">
      <c r="A202" s="353" t="s">
        <v>398</v>
      </c>
      <c r="B202" s="352">
        <v>18</v>
      </c>
      <c r="C202" s="352">
        <v>6</v>
      </c>
      <c r="D202" s="352">
        <v>12.9</v>
      </c>
      <c r="E202" s="352"/>
      <c r="F202" s="361">
        <v>6</v>
      </c>
      <c r="G202" s="361">
        <v>0</v>
      </c>
      <c r="H202" s="358">
        <v>8</v>
      </c>
    </row>
    <row r="203" spans="1:8" ht="15" thickBot="1" x14ac:dyDescent="0.35">
      <c r="A203" s="353" t="s">
        <v>398</v>
      </c>
      <c r="B203" s="352">
        <v>39</v>
      </c>
      <c r="C203" s="352">
        <v>5</v>
      </c>
      <c r="D203" s="352">
        <v>11.8</v>
      </c>
      <c r="E203" s="352"/>
      <c r="F203" s="361">
        <v>4</v>
      </c>
      <c r="G203" s="361">
        <v>0</v>
      </c>
      <c r="H203" s="358">
        <v>8.3000000000000007</v>
      </c>
    </row>
    <row r="204" spans="1:8" ht="15" thickBot="1" x14ac:dyDescent="0.35">
      <c r="A204" s="353" t="s">
        <v>398</v>
      </c>
      <c r="B204" s="352">
        <v>17.100000000000001</v>
      </c>
      <c r="C204" s="352">
        <v>7</v>
      </c>
      <c r="D204" s="352">
        <v>12.1</v>
      </c>
      <c r="E204" s="352"/>
      <c r="F204" s="361">
        <v>4</v>
      </c>
      <c r="G204" s="361">
        <v>1</v>
      </c>
      <c r="H204" s="358">
        <v>8.9</v>
      </c>
    </row>
    <row r="205" spans="1:8" ht="15" thickBot="1" x14ac:dyDescent="0.35">
      <c r="A205" s="353" t="s">
        <v>398</v>
      </c>
      <c r="B205" s="352">
        <v>15</v>
      </c>
      <c r="C205" s="352">
        <v>6</v>
      </c>
      <c r="D205" s="352">
        <v>11.4</v>
      </c>
      <c r="E205" s="352"/>
      <c r="F205" s="361">
        <v>5</v>
      </c>
      <c r="G205" s="361">
        <v>0</v>
      </c>
      <c r="H205" s="358">
        <v>7.4</v>
      </c>
    </row>
    <row r="206" spans="1:8" ht="15" thickBot="1" x14ac:dyDescent="0.35">
      <c r="A206" s="353" t="s">
        <v>398</v>
      </c>
      <c r="B206" s="352">
        <v>17</v>
      </c>
      <c r="C206" s="352">
        <v>8</v>
      </c>
      <c r="D206" s="352">
        <v>12.1</v>
      </c>
      <c r="E206" s="352"/>
      <c r="F206" s="361">
        <v>4</v>
      </c>
      <c r="G206" s="361">
        <v>0</v>
      </c>
      <c r="H206" s="358">
        <v>9</v>
      </c>
    </row>
    <row r="207" spans="1:8" ht="15" thickBot="1" x14ac:dyDescent="0.35">
      <c r="A207" s="353" t="s">
        <v>398</v>
      </c>
      <c r="B207" s="352">
        <v>21</v>
      </c>
      <c r="C207" s="352">
        <v>9</v>
      </c>
      <c r="D207" s="352">
        <v>14.8</v>
      </c>
      <c r="E207" s="352"/>
      <c r="F207" s="361">
        <v>2</v>
      </c>
      <c r="G207" s="361">
        <v>1</v>
      </c>
      <c r="H207" s="358">
        <v>13.2</v>
      </c>
    </row>
    <row r="208" spans="1:8" ht="15" thickBot="1" x14ac:dyDescent="0.35">
      <c r="A208" s="353" t="s">
        <v>398</v>
      </c>
      <c r="B208" s="352">
        <v>21</v>
      </c>
      <c r="C208" s="352">
        <v>8</v>
      </c>
      <c r="D208" s="352">
        <v>15.5</v>
      </c>
      <c r="E208" s="352"/>
      <c r="F208" s="361">
        <v>2</v>
      </c>
      <c r="G208" s="361">
        <v>0</v>
      </c>
      <c r="H208" s="358">
        <v>14</v>
      </c>
    </row>
    <row r="209" spans="1:8" ht="15" thickBot="1" x14ac:dyDescent="0.35">
      <c r="A209" s="353" t="s">
        <v>398</v>
      </c>
      <c r="B209" s="352">
        <v>24.1</v>
      </c>
      <c r="C209" s="352">
        <v>8</v>
      </c>
      <c r="D209" s="352">
        <v>16.8</v>
      </c>
      <c r="E209" s="352"/>
      <c r="F209" s="361">
        <v>4</v>
      </c>
      <c r="G209" s="361">
        <v>0</v>
      </c>
      <c r="H209" s="358">
        <v>14.1</v>
      </c>
    </row>
    <row r="210" spans="1:8" ht="15" thickBot="1" x14ac:dyDescent="0.35">
      <c r="A210" s="353" t="s">
        <v>398</v>
      </c>
      <c r="B210" s="352">
        <v>23.1</v>
      </c>
      <c r="C210" s="352">
        <v>11</v>
      </c>
      <c r="D210" s="352">
        <v>17.8</v>
      </c>
      <c r="E210" s="352"/>
      <c r="F210" s="361">
        <v>4</v>
      </c>
      <c r="G210" s="361">
        <v>0</v>
      </c>
      <c r="H210" s="358">
        <v>14.8</v>
      </c>
    </row>
    <row r="211" spans="1:8" ht="15" thickBot="1" x14ac:dyDescent="0.35">
      <c r="A211" s="353" t="s">
        <v>398</v>
      </c>
      <c r="B211" s="352">
        <v>26</v>
      </c>
      <c r="C211" s="352">
        <v>11</v>
      </c>
      <c r="D211" s="352">
        <v>19.399999999999999</v>
      </c>
      <c r="E211" s="352"/>
      <c r="F211" s="361">
        <v>3</v>
      </c>
      <c r="G211" s="361">
        <v>0</v>
      </c>
      <c r="H211" s="358">
        <v>17.399999999999999</v>
      </c>
    </row>
    <row r="212" spans="1:8" ht="15" thickBot="1" x14ac:dyDescent="0.35">
      <c r="A212" s="353" t="s">
        <v>398</v>
      </c>
      <c r="B212" s="352">
        <v>27.2</v>
      </c>
      <c r="C212" s="352">
        <v>11</v>
      </c>
      <c r="D212" s="352">
        <v>21.1</v>
      </c>
      <c r="E212" s="352"/>
      <c r="F212" s="361">
        <v>2</v>
      </c>
      <c r="G212" s="361">
        <v>0</v>
      </c>
      <c r="H212" s="358">
        <v>19.899999999999999</v>
      </c>
    </row>
    <row r="213" spans="1:8" ht="15" thickBot="1" x14ac:dyDescent="0.35">
      <c r="A213" s="353" t="s">
        <v>398</v>
      </c>
      <c r="B213" s="352">
        <v>26</v>
      </c>
      <c r="C213" s="352">
        <v>13</v>
      </c>
      <c r="D213" s="352">
        <v>21.1</v>
      </c>
      <c r="E213" s="352"/>
      <c r="F213" s="361">
        <v>4</v>
      </c>
      <c r="G213" s="361">
        <v>0</v>
      </c>
      <c r="H213" s="358">
        <v>18.899999999999999</v>
      </c>
    </row>
    <row r="214" spans="1:8" ht="15" thickBot="1" x14ac:dyDescent="0.35">
      <c r="A214" s="353" t="s">
        <v>398</v>
      </c>
      <c r="B214" s="352">
        <v>30</v>
      </c>
      <c r="C214" s="352">
        <v>15</v>
      </c>
      <c r="D214" s="352">
        <v>22.3</v>
      </c>
      <c r="E214" s="352"/>
      <c r="F214" s="361">
        <v>4</v>
      </c>
      <c r="G214" s="361">
        <v>0</v>
      </c>
      <c r="H214" s="358">
        <v>20.5</v>
      </c>
    </row>
    <row r="215" spans="1:8" ht="15" thickBot="1" x14ac:dyDescent="0.35">
      <c r="A215" s="353" t="s">
        <v>399</v>
      </c>
      <c r="B215" s="352">
        <v>26</v>
      </c>
      <c r="C215" s="352">
        <v>14</v>
      </c>
      <c r="D215" s="352">
        <v>19.600000000000001</v>
      </c>
      <c r="E215" s="352"/>
      <c r="F215" s="361">
        <v>3</v>
      </c>
      <c r="G215" s="361">
        <v>1</v>
      </c>
      <c r="H215" s="358">
        <v>18.8</v>
      </c>
    </row>
    <row r="216" spans="1:8" ht="15" thickBot="1" x14ac:dyDescent="0.35">
      <c r="A216" s="353" t="s">
        <v>399</v>
      </c>
      <c r="B216" s="352">
        <v>26</v>
      </c>
      <c r="C216" s="352">
        <v>14</v>
      </c>
      <c r="D216" s="352">
        <v>20.3</v>
      </c>
      <c r="E216" s="352"/>
      <c r="F216" s="361">
        <v>3</v>
      </c>
      <c r="G216" s="361">
        <v>1</v>
      </c>
      <c r="H216" s="358">
        <v>19.3</v>
      </c>
    </row>
    <row r="217" spans="1:8" ht="15" thickBot="1" x14ac:dyDescent="0.35">
      <c r="A217" s="353" t="s">
        <v>399</v>
      </c>
      <c r="B217" s="352">
        <v>28</v>
      </c>
      <c r="C217" s="352">
        <v>16</v>
      </c>
      <c r="D217" s="352">
        <v>22.5</v>
      </c>
      <c r="E217" s="352"/>
      <c r="F217" s="361">
        <v>2</v>
      </c>
      <c r="G217" s="361">
        <v>0</v>
      </c>
      <c r="H217" s="358">
        <v>22.4</v>
      </c>
    </row>
    <row r="218" spans="1:8" ht="15" thickBot="1" x14ac:dyDescent="0.35">
      <c r="A218" s="353" t="s">
        <v>399</v>
      </c>
      <c r="B218" s="352">
        <v>29</v>
      </c>
      <c r="C218" s="352">
        <v>17</v>
      </c>
      <c r="D218" s="352">
        <v>23.8</v>
      </c>
      <c r="E218" s="352"/>
      <c r="F218" s="361">
        <v>3</v>
      </c>
      <c r="G218" s="361">
        <v>0</v>
      </c>
      <c r="H218" s="358">
        <v>22.5</v>
      </c>
    </row>
    <row r="219" spans="1:8" ht="15" thickBot="1" x14ac:dyDescent="0.35">
      <c r="A219" s="353" t="s">
        <v>399</v>
      </c>
      <c r="B219" s="352">
        <v>30</v>
      </c>
      <c r="C219" s="352">
        <v>16</v>
      </c>
      <c r="D219" s="352">
        <v>24.3</v>
      </c>
      <c r="E219" s="352"/>
      <c r="F219" s="361">
        <v>3</v>
      </c>
      <c r="G219" s="361">
        <v>0</v>
      </c>
      <c r="H219" s="358">
        <v>23</v>
      </c>
    </row>
    <row r="220" spans="1:8" ht="15" thickBot="1" x14ac:dyDescent="0.35">
      <c r="A220" s="353" t="s">
        <v>399</v>
      </c>
      <c r="B220" s="352">
        <v>30.9</v>
      </c>
      <c r="C220" s="352">
        <v>18</v>
      </c>
      <c r="D220" s="352">
        <v>24.4</v>
      </c>
      <c r="E220" s="352"/>
      <c r="F220" s="361">
        <v>3</v>
      </c>
      <c r="G220" s="361">
        <v>0</v>
      </c>
      <c r="H220" s="358">
        <v>23.5</v>
      </c>
    </row>
    <row r="221" spans="1:8" ht="15" thickBot="1" x14ac:dyDescent="0.35">
      <c r="A221" s="353" t="s">
        <v>399</v>
      </c>
      <c r="B221" s="352">
        <v>30.3</v>
      </c>
      <c r="C221" s="352">
        <v>17</v>
      </c>
      <c r="D221" s="352">
        <v>24.2</v>
      </c>
      <c r="E221" s="352"/>
      <c r="F221" s="361">
        <v>2</v>
      </c>
      <c r="G221" s="361">
        <v>0</v>
      </c>
      <c r="H221" s="358">
        <v>23.6</v>
      </c>
    </row>
    <row r="222" spans="1:8" ht="15" thickBot="1" x14ac:dyDescent="0.35">
      <c r="A222" s="353" t="s">
        <v>399</v>
      </c>
      <c r="B222" s="352">
        <v>34</v>
      </c>
      <c r="C222" s="352">
        <v>17</v>
      </c>
      <c r="D222" s="352">
        <v>26.8</v>
      </c>
      <c r="E222" s="352"/>
      <c r="F222" s="361">
        <v>3</v>
      </c>
      <c r="G222" s="361">
        <v>0</v>
      </c>
      <c r="H222" s="358">
        <v>26.5</v>
      </c>
    </row>
    <row r="223" spans="1:8" ht="15" thickBot="1" x14ac:dyDescent="0.35">
      <c r="A223" s="353" t="s">
        <v>399</v>
      </c>
      <c r="B223" s="352">
        <v>39</v>
      </c>
      <c r="C223" s="352">
        <v>19</v>
      </c>
      <c r="D223" s="352">
        <v>26.2</v>
      </c>
      <c r="E223" s="352"/>
      <c r="F223" s="361">
        <v>4</v>
      </c>
      <c r="G223" s="361">
        <v>0</v>
      </c>
      <c r="H223" s="358">
        <v>25.5</v>
      </c>
    </row>
    <row r="224" spans="1:8" ht="15" thickBot="1" x14ac:dyDescent="0.35">
      <c r="A224" s="353" t="s">
        <v>399</v>
      </c>
      <c r="B224" s="352">
        <v>33.4</v>
      </c>
      <c r="C224" s="352">
        <v>22</v>
      </c>
      <c r="D224" s="352">
        <v>27.1</v>
      </c>
      <c r="E224" s="352"/>
      <c r="F224" s="361">
        <v>5</v>
      </c>
      <c r="G224" s="361">
        <v>0</v>
      </c>
      <c r="H224" s="358">
        <v>25.9</v>
      </c>
    </row>
    <row r="225" spans="1:8" ht="15" thickBot="1" x14ac:dyDescent="0.35">
      <c r="A225" s="353" t="s">
        <v>399</v>
      </c>
      <c r="B225" s="352">
        <v>32.200000000000003</v>
      </c>
      <c r="C225" s="352">
        <v>15</v>
      </c>
      <c r="D225" s="352">
        <v>23.5</v>
      </c>
      <c r="E225" s="352"/>
      <c r="F225" s="361">
        <v>5</v>
      </c>
      <c r="G225" s="361">
        <v>0</v>
      </c>
      <c r="H225" s="358">
        <v>21.9</v>
      </c>
    </row>
    <row r="226" spans="1:8" ht="15" thickBot="1" x14ac:dyDescent="0.35">
      <c r="A226" s="353" t="s">
        <v>399</v>
      </c>
      <c r="B226" s="352">
        <v>16.100000000000001</v>
      </c>
      <c r="C226" s="352">
        <v>11</v>
      </c>
      <c r="D226" s="352">
        <v>14.1</v>
      </c>
      <c r="E226" s="352"/>
      <c r="F226" s="361">
        <v>4</v>
      </c>
      <c r="G226" s="361">
        <v>8</v>
      </c>
      <c r="H226" s="358">
        <v>12.1</v>
      </c>
    </row>
    <row r="227" spans="1:8" ht="15" thickBot="1" x14ac:dyDescent="0.35">
      <c r="A227" s="353" t="s">
        <v>399</v>
      </c>
      <c r="B227" s="352">
        <v>22.9</v>
      </c>
      <c r="C227" s="352">
        <v>11</v>
      </c>
      <c r="D227" s="352">
        <v>16.8</v>
      </c>
      <c r="E227" s="352"/>
      <c r="F227" s="361">
        <v>3</v>
      </c>
      <c r="G227" s="361">
        <v>1</v>
      </c>
      <c r="H227" s="358">
        <v>15.1</v>
      </c>
    </row>
    <row r="228" spans="1:8" ht="15" thickBot="1" x14ac:dyDescent="0.35">
      <c r="A228" s="353" t="s">
        <v>399</v>
      </c>
      <c r="B228" s="352">
        <v>23.3</v>
      </c>
      <c r="C228" s="352">
        <v>11</v>
      </c>
      <c r="D228" s="352">
        <v>17.3</v>
      </c>
      <c r="E228" s="352"/>
      <c r="F228" s="361">
        <v>2</v>
      </c>
      <c r="G228" s="361">
        <v>4</v>
      </c>
      <c r="H228" s="358">
        <v>16.7</v>
      </c>
    </row>
    <row r="229" spans="1:8" ht="15" thickBot="1" x14ac:dyDescent="0.35">
      <c r="A229" s="353" t="s">
        <v>399</v>
      </c>
      <c r="B229" s="352">
        <v>27</v>
      </c>
      <c r="C229" s="352">
        <v>13</v>
      </c>
      <c r="D229" s="352">
        <v>19.600000000000001</v>
      </c>
      <c r="E229" s="352"/>
      <c r="F229" s="361">
        <v>4</v>
      </c>
      <c r="G229" s="361">
        <v>0</v>
      </c>
      <c r="H229" s="358">
        <v>17.7</v>
      </c>
    </row>
    <row r="230" spans="1:8" ht="15" thickBot="1" x14ac:dyDescent="0.35">
      <c r="A230" s="353" t="s">
        <v>399</v>
      </c>
      <c r="B230" s="352">
        <v>20.100000000000001</v>
      </c>
      <c r="C230" s="352">
        <v>13</v>
      </c>
      <c r="D230" s="352">
        <v>17.7</v>
      </c>
      <c r="E230" s="352"/>
      <c r="F230" s="361">
        <v>5</v>
      </c>
      <c r="G230" s="361">
        <v>0</v>
      </c>
      <c r="H230" s="358">
        <v>15.3</v>
      </c>
    </row>
    <row r="231" spans="1:8" ht="15" thickBot="1" x14ac:dyDescent="0.35">
      <c r="A231" s="353" t="s">
        <v>399</v>
      </c>
      <c r="B231" s="352">
        <v>24</v>
      </c>
      <c r="C231" s="352">
        <v>16</v>
      </c>
      <c r="D231" s="352">
        <v>19.399999999999999</v>
      </c>
      <c r="E231" s="352"/>
      <c r="F231" s="361">
        <v>5</v>
      </c>
      <c r="G231" s="361">
        <v>3</v>
      </c>
      <c r="H231" s="358">
        <v>17.3</v>
      </c>
    </row>
    <row r="232" spans="1:8" ht="15" thickBot="1" x14ac:dyDescent="0.35">
      <c r="A232" s="353" t="s">
        <v>399</v>
      </c>
      <c r="B232" s="352">
        <v>29</v>
      </c>
      <c r="C232" s="352">
        <v>14</v>
      </c>
      <c r="D232" s="352">
        <v>20.9</v>
      </c>
      <c r="E232" s="352"/>
      <c r="F232" s="361">
        <v>4</v>
      </c>
      <c r="G232" s="361">
        <v>0</v>
      </c>
      <c r="H232" s="358">
        <v>19.399999999999999</v>
      </c>
    </row>
    <row r="233" spans="1:8" ht="15" thickBot="1" x14ac:dyDescent="0.35">
      <c r="A233" s="353" t="s">
        <v>399</v>
      </c>
      <c r="B233" s="352">
        <v>29</v>
      </c>
      <c r="C233" s="352">
        <v>13</v>
      </c>
      <c r="D233" s="352">
        <v>19.899999999999999</v>
      </c>
      <c r="E233" s="352"/>
      <c r="F233" s="361">
        <v>3</v>
      </c>
      <c r="G233" s="361">
        <v>6</v>
      </c>
      <c r="H233" s="358">
        <v>19.3</v>
      </c>
    </row>
    <row r="234" spans="1:8" ht="15" thickBot="1" x14ac:dyDescent="0.35">
      <c r="A234" s="353" t="s">
        <v>399</v>
      </c>
      <c r="B234" s="352">
        <v>25</v>
      </c>
      <c r="C234" s="352">
        <v>13</v>
      </c>
      <c r="D234" s="352">
        <v>18.3</v>
      </c>
      <c r="E234" s="352"/>
      <c r="F234" s="361">
        <v>5</v>
      </c>
      <c r="G234" s="361">
        <v>2</v>
      </c>
      <c r="H234" s="358">
        <v>15.7</v>
      </c>
    </row>
    <row r="235" spans="1:8" ht="15" thickBot="1" x14ac:dyDescent="0.35">
      <c r="A235" s="353" t="s">
        <v>399</v>
      </c>
      <c r="B235" s="352">
        <v>25</v>
      </c>
      <c r="C235" s="352">
        <v>13</v>
      </c>
      <c r="D235" s="352">
        <v>19.3</v>
      </c>
      <c r="E235" s="352"/>
      <c r="F235" s="361">
        <v>4</v>
      </c>
      <c r="G235" s="361">
        <v>2</v>
      </c>
      <c r="H235" s="358">
        <v>17.399999999999999</v>
      </c>
    </row>
    <row r="236" spans="1:8" ht="15" thickBot="1" x14ac:dyDescent="0.35">
      <c r="A236" s="353" t="s">
        <v>399</v>
      </c>
      <c r="B236" s="352">
        <v>24</v>
      </c>
      <c r="C236" s="352">
        <v>13</v>
      </c>
      <c r="D236" s="352">
        <v>17.899999999999999</v>
      </c>
      <c r="E236" s="352"/>
      <c r="F236" s="361">
        <v>4</v>
      </c>
      <c r="G236" s="361">
        <v>4</v>
      </c>
      <c r="H236" s="358">
        <v>16.2</v>
      </c>
    </row>
    <row r="237" spans="1:8" ht="15" thickBot="1" x14ac:dyDescent="0.35">
      <c r="A237" s="353" t="s">
        <v>399</v>
      </c>
      <c r="B237" s="352">
        <v>25</v>
      </c>
      <c r="C237" s="352">
        <v>13</v>
      </c>
      <c r="D237" s="352">
        <v>19.3</v>
      </c>
      <c r="E237" s="352"/>
      <c r="F237" s="361">
        <v>3</v>
      </c>
      <c r="G237" s="361">
        <v>2</v>
      </c>
      <c r="H237" s="358">
        <v>18.100000000000001</v>
      </c>
    </row>
    <row r="238" spans="1:8" ht="15" thickBot="1" x14ac:dyDescent="0.35">
      <c r="A238" s="353" t="s">
        <v>399</v>
      </c>
      <c r="B238" s="352">
        <v>23.1</v>
      </c>
      <c r="C238" s="352">
        <v>12</v>
      </c>
      <c r="D238" s="352">
        <v>18.399999999999999</v>
      </c>
      <c r="E238" s="352"/>
      <c r="F238" s="361">
        <v>3</v>
      </c>
      <c r="G238" s="361">
        <v>4</v>
      </c>
      <c r="H238" s="358">
        <v>17.7</v>
      </c>
    </row>
    <row r="239" spans="1:8" ht="15" thickBot="1" x14ac:dyDescent="0.35">
      <c r="A239" s="353" t="s">
        <v>399</v>
      </c>
      <c r="B239" s="352">
        <v>25</v>
      </c>
      <c r="C239" s="352">
        <v>12</v>
      </c>
      <c r="D239" s="352">
        <v>18.899999999999999</v>
      </c>
      <c r="E239" s="352"/>
      <c r="F239" s="361">
        <v>3</v>
      </c>
      <c r="G239" s="361">
        <v>2</v>
      </c>
      <c r="H239" s="358">
        <v>18.100000000000001</v>
      </c>
    </row>
    <row r="240" spans="1:8" ht="15" thickBot="1" x14ac:dyDescent="0.35">
      <c r="A240" s="353" t="s">
        <v>399</v>
      </c>
      <c r="B240" s="352">
        <v>28.1</v>
      </c>
      <c r="C240" s="352">
        <v>15</v>
      </c>
      <c r="D240" s="352">
        <v>21.9</v>
      </c>
      <c r="E240" s="352"/>
      <c r="F240" s="361">
        <v>3</v>
      </c>
      <c r="G240" s="361">
        <v>0</v>
      </c>
      <c r="H240" s="358">
        <v>21.9</v>
      </c>
    </row>
    <row r="241" spans="1:8" ht="15" thickBot="1" x14ac:dyDescent="0.35">
      <c r="A241" s="353" t="s">
        <v>400</v>
      </c>
      <c r="B241" s="352">
        <v>31</v>
      </c>
      <c r="C241" s="352">
        <v>18</v>
      </c>
      <c r="D241" s="352">
        <v>25.4</v>
      </c>
      <c r="E241" s="352"/>
      <c r="F241" s="361">
        <v>5</v>
      </c>
      <c r="G241" s="361">
        <v>0</v>
      </c>
      <c r="H241" s="358">
        <v>24.3</v>
      </c>
    </row>
    <row r="242" spans="1:8" ht="15" thickBot="1" x14ac:dyDescent="0.35">
      <c r="A242" s="353" t="s">
        <v>400</v>
      </c>
      <c r="B242" s="352">
        <v>34.5</v>
      </c>
      <c r="C242" s="352">
        <v>18</v>
      </c>
      <c r="D242" s="352">
        <v>26.8</v>
      </c>
      <c r="E242" s="352"/>
      <c r="F242" s="361">
        <v>4</v>
      </c>
      <c r="G242" s="361">
        <v>0</v>
      </c>
      <c r="H242" s="358">
        <v>26.5</v>
      </c>
    </row>
    <row r="243" spans="1:8" ht="15" thickBot="1" x14ac:dyDescent="0.35">
      <c r="A243" s="353" t="s">
        <v>400</v>
      </c>
      <c r="B243" s="352">
        <v>34.4</v>
      </c>
      <c r="C243" s="352">
        <v>19</v>
      </c>
      <c r="D243" s="352">
        <v>25.7</v>
      </c>
      <c r="E243" s="352"/>
      <c r="F243" s="361">
        <v>6</v>
      </c>
      <c r="G243" s="361">
        <v>15</v>
      </c>
      <c r="H243" s="358">
        <v>24.2</v>
      </c>
    </row>
    <row r="244" spans="1:8" ht="15" thickBot="1" x14ac:dyDescent="0.35">
      <c r="A244" s="353" t="s">
        <v>400</v>
      </c>
      <c r="B244" s="352">
        <v>28.8</v>
      </c>
      <c r="C244" s="352">
        <v>16</v>
      </c>
      <c r="D244" s="352">
        <v>22.9</v>
      </c>
      <c r="E244" s="352"/>
      <c r="F244" s="361">
        <v>4</v>
      </c>
      <c r="G244" s="361">
        <v>4</v>
      </c>
      <c r="H244" s="358">
        <v>22.3</v>
      </c>
    </row>
    <row r="245" spans="1:8" ht="15" thickBot="1" x14ac:dyDescent="0.35">
      <c r="A245" s="353" t="s">
        <v>400</v>
      </c>
      <c r="B245" s="352">
        <v>21.2</v>
      </c>
      <c r="C245" s="352">
        <v>17</v>
      </c>
      <c r="D245" s="352">
        <v>18.3</v>
      </c>
      <c r="E245" s="352"/>
      <c r="F245" s="361">
        <v>3</v>
      </c>
      <c r="G245" s="361">
        <v>0</v>
      </c>
      <c r="H245" s="358">
        <v>17.899999999999999</v>
      </c>
    </row>
    <row r="246" spans="1:8" ht="15" thickBot="1" x14ac:dyDescent="0.35">
      <c r="A246" s="353" t="s">
        <v>400</v>
      </c>
      <c r="B246" s="352">
        <v>39</v>
      </c>
      <c r="C246" s="352">
        <v>16</v>
      </c>
      <c r="D246" s="352">
        <v>19.5</v>
      </c>
      <c r="E246" s="352"/>
      <c r="F246" s="361">
        <v>4</v>
      </c>
      <c r="G246" s="361">
        <v>0</v>
      </c>
      <c r="H246" s="358">
        <v>18.5</v>
      </c>
    </row>
    <row r="247" spans="1:8" ht="15" thickBot="1" x14ac:dyDescent="0.35">
      <c r="A247" s="353" t="s">
        <v>400</v>
      </c>
      <c r="B247" s="352">
        <v>28</v>
      </c>
      <c r="C247" s="352">
        <v>16</v>
      </c>
      <c r="D247" s="352">
        <v>22.4</v>
      </c>
      <c r="E247" s="352"/>
      <c r="F247" s="361">
        <v>3</v>
      </c>
      <c r="G247" s="361">
        <v>0</v>
      </c>
      <c r="H247" s="358">
        <v>22.1</v>
      </c>
    </row>
    <row r="248" spans="1:8" ht="15" thickBot="1" x14ac:dyDescent="0.35">
      <c r="A248" s="353" t="s">
        <v>400</v>
      </c>
      <c r="B248" s="352">
        <v>27.8</v>
      </c>
      <c r="C248" s="352">
        <v>15</v>
      </c>
      <c r="D248" s="352">
        <v>22.4</v>
      </c>
      <c r="E248" s="352"/>
      <c r="F248" s="361">
        <v>1</v>
      </c>
      <c r="G248" s="361">
        <v>0</v>
      </c>
      <c r="H248" s="358">
        <v>23.7</v>
      </c>
    </row>
    <row r="249" spans="1:8" ht="15" thickBot="1" x14ac:dyDescent="0.35">
      <c r="A249" s="353" t="s">
        <v>400</v>
      </c>
      <c r="B249" s="352">
        <v>39</v>
      </c>
      <c r="C249" s="352">
        <v>16</v>
      </c>
      <c r="D249" s="352">
        <v>24.3</v>
      </c>
      <c r="E249" s="352"/>
      <c r="F249" s="361">
        <v>2</v>
      </c>
      <c r="G249" s="361">
        <v>0</v>
      </c>
      <c r="H249" s="358">
        <v>25</v>
      </c>
    </row>
    <row r="250" spans="1:8" ht="15" thickBot="1" x14ac:dyDescent="0.35">
      <c r="A250" s="353" t="s">
        <v>400</v>
      </c>
      <c r="B250" s="352">
        <v>32.1</v>
      </c>
      <c r="C250" s="352">
        <v>17</v>
      </c>
      <c r="D250" s="352">
        <v>25.6</v>
      </c>
      <c r="E250" s="352"/>
      <c r="F250" s="361">
        <v>4</v>
      </c>
      <c r="G250" s="361">
        <v>0</v>
      </c>
      <c r="H250" s="358">
        <v>25.1</v>
      </c>
    </row>
    <row r="251" spans="1:8" ht="15" thickBot="1" x14ac:dyDescent="0.35">
      <c r="A251" s="353" t="s">
        <v>400</v>
      </c>
      <c r="B251" s="352">
        <v>29.5</v>
      </c>
      <c r="C251" s="352">
        <v>17</v>
      </c>
      <c r="D251" s="352">
        <v>23.7</v>
      </c>
      <c r="E251" s="352"/>
      <c r="F251" s="361">
        <v>4</v>
      </c>
      <c r="G251" s="361">
        <v>0</v>
      </c>
      <c r="H251" s="358">
        <v>22.6</v>
      </c>
    </row>
    <row r="252" spans="1:8" ht="15" thickBot="1" x14ac:dyDescent="0.35">
      <c r="A252" s="353" t="s">
        <v>400</v>
      </c>
      <c r="B252" s="352">
        <v>28.2</v>
      </c>
      <c r="C252" s="352">
        <v>17</v>
      </c>
      <c r="D252" s="352">
        <v>22.4</v>
      </c>
      <c r="E252" s="352"/>
      <c r="F252" s="361">
        <v>4</v>
      </c>
      <c r="G252" s="361">
        <v>0</v>
      </c>
      <c r="H252" s="358">
        <v>20.9</v>
      </c>
    </row>
    <row r="253" spans="1:8" ht="15" thickBot="1" x14ac:dyDescent="0.35">
      <c r="A253" s="353" t="s">
        <v>400</v>
      </c>
      <c r="B253" s="352">
        <v>28.7</v>
      </c>
      <c r="C253" s="352">
        <v>16</v>
      </c>
      <c r="D253" s="352">
        <v>22.8</v>
      </c>
      <c r="E253" s="352"/>
      <c r="F253" s="361">
        <v>4</v>
      </c>
      <c r="G253" s="361">
        <v>0</v>
      </c>
      <c r="H253" s="358">
        <v>21.2</v>
      </c>
    </row>
    <row r="254" spans="1:8" ht="15" thickBot="1" x14ac:dyDescent="0.35">
      <c r="A254" s="353" t="s">
        <v>400</v>
      </c>
      <c r="B254" s="352">
        <v>30</v>
      </c>
      <c r="C254" s="352">
        <v>13</v>
      </c>
      <c r="D254" s="352">
        <v>22.9</v>
      </c>
      <c r="E254" s="352"/>
      <c r="F254" s="361">
        <v>3</v>
      </c>
      <c r="G254" s="361">
        <v>0</v>
      </c>
      <c r="H254" s="358">
        <v>22</v>
      </c>
    </row>
    <row r="255" spans="1:8" ht="15" thickBot="1" x14ac:dyDescent="0.35">
      <c r="A255" s="353" t="s">
        <v>400</v>
      </c>
      <c r="B255" s="352">
        <v>31.7</v>
      </c>
      <c r="C255" s="352">
        <v>15</v>
      </c>
      <c r="D255" s="352">
        <v>24.7</v>
      </c>
      <c r="E255" s="352"/>
      <c r="F255" s="361">
        <v>2</v>
      </c>
      <c r="G255" s="361">
        <v>0</v>
      </c>
      <c r="H255" s="358">
        <v>24.5</v>
      </c>
    </row>
    <row r="256" spans="1:8" ht="15" thickBot="1" x14ac:dyDescent="0.35">
      <c r="A256" s="353" t="s">
        <v>400</v>
      </c>
      <c r="B256" s="352">
        <v>30.7</v>
      </c>
      <c r="C256" s="352">
        <v>17</v>
      </c>
      <c r="D256" s="352">
        <v>24.6</v>
      </c>
      <c r="E256" s="352"/>
      <c r="F256" s="361">
        <v>3</v>
      </c>
      <c r="G256" s="361">
        <v>0</v>
      </c>
      <c r="H256" s="358">
        <v>23.7</v>
      </c>
    </row>
    <row r="257" spans="1:8" ht="15" thickBot="1" x14ac:dyDescent="0.35">
      <c r="A257" s="353" t="s">
        <v>400</v>
      </c>
      <c r="B257" s="352">
        <v>29.1</v>
      </c>
      <c r="C257" s="352">
        <v>15</v>
      </c>
      <c r="D257" s="352">
        <v>22.6</v>
      </c>
      <c r="E257" s="352"/>
      <c r="F257" s="361">
        <v>3</v>
      </c>
      <c r="G257" s="361">
        <v>0</v>
      </c>
      <c r="H257" s="358">
        <v>21</v>
      </c>
    </row>
    <row r="258" spans="1:8" ht="15" thickBot="1" x14ac:dyDescent="0.35">
      <c r="A258" s="353" t="s">
        <v>400</v>
      </c>
      <c r="B258" s="352">
        <v>30.7</v>
      </c>
      <c r="C258" s="352">
        <v>16</v>
      </c>
      <c r="D258" s="352">
        <v>24.1</v>
      </c>
      <c r="E258" s="352"/>
      <c r="F258" s="361">
        <v>4</v>
      </c>
      <c r="G258" s="361">
        <v>0</v>
      </c>
      <c r="H258" s="358">
        <v>22.1</v>
      </c>
    </row>
    <row r="259" spans="1:8" ht="15" thickBot="1" x14ac:dyDescent="0.35">
      <c r="A259" s="353" t="s">
        <v>400</v>
      </c>
      <c r="B259" s="352">
        <v>26</v>
      </c>
      <c r="C259" s="352">
        <v>17</v>
      </c>
      <c r="D259" s="352">
        <v>21.8</v>
      </c>
      <c r="E259" s="352"/>
      <c r="F259" s="361">
        <v>4</v>
      </c>
      <c r="G259" s="361">
        <v>0</v>
      </c>
      <c r="H259" s="358">
        <v>20.6</v>
      </c>
    </row>
    <row r="260" spans="1:8" ht="15" thickBot="1" x14ac:dyDescent="0.35">
      <c r="A260" s="353" t="s">
        <v>400</v>
      </c>
      <c r="B260" s="352">
        <v>27</v>
      </c>
      <c r="C260" s="352">
        <v>15</v>
      </c>
      <c r="D260" s="352">
        <v>21.9</v>
      </c>
      <c r="E260" s="352"/>
      <c r="F260" s="361">
        <v>4</v>
      </c>
      <c r="G260" s="361">
        <v>0</v>
      </c>
      <c r="H260" s="358">
        <v>21.1</v>
      </c>
    </row>
    <row r="261" spans="1:8" ht="15" thickBot="1" x14ac:dyDescent="0.35">
      <c r="A261" s="353" t="s">
        <v>400</v>
      </c>
      <c r="B261" s="352">
        <v>25</v>
      </c>
      <c r="C261" s="352">
        <v>17</v>
      </c>
      <c r="D261" s="352">
        <v>20</v>
      </c>
      <c r="E261" s="352"/>
      <c r="F261" s="361">
        <v>4</v>
      </c>
      <c r="G261" s="361">
        <v>1</v>
      </c>
      <c r="H261" s="358">
        <v>19.399999999999999</v>
      </c>
    </row>
    <row r="262" spans="1:8" ht="15" thickBot="1" x14ac:dyDescent="0.35">
      <c r="A262" s="353" t="s">
        <v>400</v>
      </c>
      <c r="B262" s="352">
        <v>32</v>
      </c>
      <c r="C262" s="352">
        <v>17</v>
      </c>
      <c r="D262" s="352">
        <v>24.3</v>
      </c>
      <c r="E262" s="352"/>
      <c r="F262" s="361">
        <v>3</v>
      </c>
      <c r="G262" s="361">
        <v>0</v>
      </c>
      <c r="H262" s="358">
        <v>23.8</v>
      </c>
    </row>
    <row r="263" spans="1:8" ht="15" thickBot="1" x14ac:dyDescent="0.35">
      <c r="A263" s="353" t="s">
        <v>400</v>
      </c>
      <c r="B263" s="352">
        <v>34</v>
      </c>
      <c r="C263" s="352">
        <v>17</v>
      </c>
      <c r="D263" s="352">
        <v>26.1</v>
      </c>
      <c r="E263" s="352"/>
      <c r="F263" s="361">
        <v>3</v>
      </c>
      <c r="G263" s="361">
        <v>0</v>
      </c>
      <c r="H263" s="358">
        <v>25.5</v>
      </c>
    </row>
    <row r="264" spans="1:8" ht="15" thickBot="1" x14ac:dyDescent="0.35">
      <c r="A264" s="353" t="s">
        <v>400</v>
      </c>
      <c r="B264" s="352">
        <v>26</v>
      </c>
      <c r="C264" s="352">
        <v>10</v>
      </c>
      <c r="D264" s="352">
        <v>20.8</v>
      </c>
      <c r="E264" s="352"/>
      <c r="F264" s="361">
        <v>5</v>
      </c>
      <c r="G264" s="361">
        <v>0</v>
      </c>
      <c r="H264" s="358">
        <v>18.600000000000001</v>
      </c>
    </row>
    <row r="265" spans="1:8" ht="15" thickBot="1" x14ac:dyDescent="0.35">
      <c r="A265" s="353" t="s">
        <v>400</v>
      </c>
      <c r="B265" s="352">
        <v>23</v>
      </c>
      <c r="C265" s="352">
        <v>9</v>
      </c>
      <c r="D265" s="352">
        <v>17.399999999999999</v>
      </c>
      <c r="E265" s="352"/>
      <c r="F265" s="361">
        <v>3</v>
      </c>
      <c r="G265" s="361">
        <v>0</v>
      </c>
      <c r="H265" s="358">
        <v>15.9</v>
      </c>
    </row>
    <row r="266" spans="1:8" ht="15" thickBot="1" x14ac:dyDescent="0.35">
      <c r="A266" s="353" t="s">
        <v>400</v>
      </c>
      <c r="B266" s="352">
        <v>22.1</v>
      </c>
      <c r="C266" s="352">
        <v>11</v>
      </c>
      <c r="D266" s="352">
        <v>16.100000000000001</v>
      </c>
      <c r="E266" s="352"/>
      <c r="F266" s="361">
        <v>4</v>
      </c>
      <c r="G266" s="361">
        <v>14</v>
      </c>
      <c r="H266" s="358">
        <v>13.9</v>
      </c>
    </row>
    <row r="267" spans="1:8" ht="15" thickBot="1" x14ac:dyDescent="0.35">
      <c r="A267" s="353" t="s">
        <v>400</v>
      </c>
      <c r="B267" s="352">
        <v>20.5</v>
      </c>
      <c r="C267" s="352">
        <v>10</v>
      </c>
      <c r="D267" s="352">
        <v>15.3</v>
      </c>
      <c r="E267" s="352"/>
      <c r="F267" s="361">
        <v>2</v>
      </c>
      <c r="G267" s="361">
        <v>0</v>
      </c>
      <c r="H267" s="358">
        <v>13.9</v>
      </c>
    </row>
    <row r="268" spans="1:8" ht="15" thickBot="1" x14ac:dyDescent="0.35">
      <c r="A268" s="353" t="s">
        <v>400</v>
      </c>
      <c r="B268" s="352">
        <v>20</v>
      </c>
      <c r="C268" s="352">
        <v>11</v>
      </c>
      <c r="D268" s="352">
        <v>15.1</v>
      </c>
      <c r="E268" s="352"/>
      <c r="F268" s="361">
        <v>3</v>
      </c>
      <c r="G268" s="361">
        <v>2</v>
      </c>
      <c r="H268" s="358">
        <v>13.1</v>
      </c>
    </row>
    <row r="269" spans="1:8" ht="15" thickBot="1" x14ac:dyDescent="0.35">
      <c r="A269" s="353" t="s">
        <v>400</v>
      </c>
      <c r="B269" s="352">
        <v>19.5</v>
      </c>
      <c r="C269" s="352">
        <v>10</v>
      </c>
      <c r="D269" s="352">
        <v>14.2</v>
      </c>
      <c r="E269" s="352"/>
      <c r="F269" s="361">
        <v>3</v>
      </c>
      <c r="G269" s="361">
        <v>0</v>
      </c>
      <c r="H269" s="358">
        <v>11.8</v>
      </c>
    </row>
    <row r="270" spans="1:8" ht="15" thickBot="1" x14ac:dyDescent="0.35">
      <c r="A270" s="353" t="s">
        <v>400</v>
      </c>
      <c r="B270" s="352">
        <v>18</v>
      </c>
      <c r="C270" s="352">
        <v>10</v>
      </c>
      <c r="D270" s="352">
        <v>13.8</v>
      </c>
      <c r="E270" s="352"/>
      <c r="F270" s="361">
        <v>4</v>
      </c>
      <c r="G270" s="361">
        <v>0</v>
      </c>
      <c r="H270" s="358">
        <v>10.8</v>
      </c>
    </row>
    <row r="271" spans="1:8" ht="15" thickBot="1" x14ac:dyDescent="0.35">
      <c r="A271" s="353" t="s">
        <v>400</v>
      </c>
      <c r="B271" s="352">
        <v>18</v>
      </c>
      <c r="C271" s="352">
        <v>8</v>
      </c>
      <c r="D271" s="352">
        <v>13</v>
      </c>
      <c r="E271" s="352"/>
      <c r="F271" s="361">
        <v>4</v>
      </c>
      <c r="G271" s="361">
        <v>0</v>
      </c>
      <c r="H271" s="358">
        <v>10.199999999999999</v>
      </c>
    </row>
    <row r="272" spans="1:8" ht="15" thickBot="1" x14ac:dyDescent="0.35">
      <c r="A272" s="353" t="s">
        <v>400</v>
      </c>
      <c r="B272" s="352">
        <v>16</v>
      </c>
      <c r="C272" s="352">
        <v>6</v>
      </c>
      <c r="D272" s="352">
        <v>11.7</v>
      </c>
      <c r="E272" s="352"/>
      <c r="F272" s="361">
        <v>4</v>
      </c>
      <c r="G272" s="361">
        <v>2</v>
      </c>
      <c r="H272" s="358">
        <v>9.1</v>
      </c>
    </row>
    <row r="273" spans="1:8" ht="15" thickBot="1" x14ac:dyDescent="0.35">
      <c r="A273" s="353" t="s">
        <v>400</v>
      </c>
      <c r="B273" s="352">
        <v>13.1</v>
      </c>
      <c r="C273" s="352">
        <v>8</v>
      </c>
      <c r="D273" s="352">
        <v>10.3</v>
      </c>
      <c r="E273" s="352"/>
      <c r="F273" s="361">
        <v>8</v>
      </c>
      <c r="G273" s="361">
        <v>2</v>
      </c>
      <c r="H273" s="358">
        <v>4.8</v>
      </c>
    </row>
    <row r="274" spans="1:8" ht="15" thickBot="1" x14ac:dyDescent="0.35">
      <c r="A274" s="353" t="s">
        <v>400</v>
      </c>
      <c r="B274" s="352">
        <v>21</v>
      </c>
      <c r="C274" s="352">
        <v>8.8000000000000007</v>
      </c>
      <c r="D274" s="352">
        <v>13.9</v>
      </c>
      <c r="E274" s="352"/>
      <c r="F274" s="361">
        <v>6</v>
      </c>
      <c r="G274" s="361">
        <v>0</v>
      </c>
      <c r="H274" s="358">
        <v>9.8000000000000007</v>
      </c>
    </row>
    <row r="275" spans="1:8" ht="15" thickBot="1" x14ac:dyDescent="0.35">
      <c r="A275" s="353" t="s">
        <v>400</v>
      </c>
      <c r="B275" s="352">
        <v>19.2</v>
      </c>
      <c r="C275" s="352">
        <v>8</v>
      </c>
      <c r="D275" s="352">
        <v>13.6</v>
      </c>
      <c r="E275" s="352"/>
      <c r="F275" s="361">
        <v>5</v>
      </c>
      <c r="G275" s="361">
        <v>0</v>
      </c>
      <c r="H275" s="358">
        <v>10.1</v>
      </c>
    </row>
    <row r="276" spans="1:8" ht="15" thickBot="1" x14ac:dyDescent="0.35">
      <c r="A276" s="353" t="s">
        <v>400</v>
      </c>
      <c r="B276" s="352">
        <v>22</v>
      </c>
      <c r="C276" s="352">
        <v>7</v>
      </c>
      <c r="D276" s="352">
        <v>15.3</v>
      </c>
      <c r="E276" s="352"/>
      <c r="F276" s="361">
        <v>5</v>
      </c>
      <c r="G276" s="361">
        <v>0</v>
      </c>
      <c r="H276" s="358">
        <v>12</v>
      </c>
    </row>
    <row r="277" spans="1:8" ht="15" thickBot="1" x14ac:dyDescent="0.35">
      <c r="A277" s="353" t="s">
        <v>401</v>
      </c>
      <c r="B277" s="352">
        <v>24</v>
      </c>
      <c r="C277" s="352">
        <v>10</v>
      </c>
      <c r="D277" s="352">
        <v>17.100000000000001</v>
      </c>
      <c r="E277" s="352"/>
      <c r="F277" s="361">
        <v>5</v>
      </c>
      <c r="G277" s="361">
        <v>0</v>
      </c>
      <c r="H277" s="358">
        <v>14</v>
      </c>
    </row>
    <row r="278" spans="1:8" ht="15" thickBot="1" x14ac:dyDescent="0.35">
      <c r="A278" s="353" t="s">
        <v>401</v>
      </c>
      <c r="B278" s="352">
        <v>22.7</v>
      </c>
      <c r="C278" s="352">
        <v>8</v>
      </c>
      <c r="D278" s="352">
        <v>15.9</v>
      </c>
      <c r="E278" s="352"/>
      <c r="F278" s="361">
        <v>2</v>
      </c>
      <c r="G278" s="361">
        <v>0</v>
      </c>
      <c r="H278" s="358">
        <v>14.7</v>
      </c>
    </row>
    <row r="279" spans="1:8" ht="15" thickBot="1" x14ac:dyDescent="0.35">
      <c r="A279" s="353" t="s">
        <v>401</v>
      </c>
      <c r="B279" s="352">
        <v>23.1</v>
      </c>
      <c r="C279" s="352">
        <v>8</v>
      </c>
      <c r="D279" s="352">
        <v>16.2</v>
      </c>
      <c r="E279" s="352"/>
      <c r="F279" s="361">
        <v>2</v>
      </c>
      <c r="G279" s="361">
        <v>0</v>
      </c>
      <c r="H279" s="358">
        <v>14.8</v>
      </c>
    </row>
    <row r="280" spans="1:8" ht="15" thickBot="1" x14ac:dyDescent="0.35">
      <c r="A280" s="353" t="s">
        <v>401</v>
      </c>
      <c r="B280" s="352">
        <v>25</v>
      </c>
      <c r="C280" s="352">
        <v>8</v>
      </c>
      <c r="D280" s="352">
        <v>17.100000000000001</v>
      </c>
      <c r="E280" s="352"/>
      <c r="F280" s="361">
        <v>2</v>
      </c>
      <c r="G280" s="361">
        <v>0</v>
      </c>
      <c r="H280" s="358">
        <v>16</v>
      </c>
    </row>
    <row r="281" spans="1:8" ht="15" thickBot="1" x14ac:dyDescent="0.35">
      <c r="A281" s="353" t="s">
        <v>401</v>
      </c>
      <c r="B281" s="352">
        <v>24</v>
      </c>
      <c r="C281" s="352">
        <v>11</v>
      </c>
      <c r="D281" s="352">
        <v>17.100000000000001</v>
      </c>
      <c r="E281" s="352"/>
      <c r="F281" s="361">
        <v>2</v>
      </c>
      <c r="G281" s="361">
        <v>2</v>
      </c>
      <c r="H281" s="358">
        <v>16.600000000000001</v>
      </c>
    </row>
    <row r="282" spans="1:8" ht="15" thickBot="1" x14ac:dyDescent="0.35">
      <c r="A282" s="353" t="s">
        <v>401</v>
      </c>
      <c r="B282" s="352">
        <v>24</v>
      </c>
      <c r="C282" s="352">
        <v>10</v>
      </c>
      <c r="D282" s="352">
        <v>17.899999999999999</v>
      </c>
      <c r="E282" s="352"/>
      <c r="F282" s="361">
        <v>3</v>
      </c>
      <c r="G282" s="361">
        <v>0</v>
      </c>
      <c r="H282" s="358">
        <v>16.5</v>
      </c>
    </row>
    <row r="283" spans="1:8" ht="15" thickBot="1" x14ac:dyDescent="0.35">
      <c r="A283" s="353" t="s">
        <v>401</v>
      </c>
      <c r="B283" s="352">
        <v>15</v>
      </c>
      <c r="C283" s="352">
        <v>5</v>
      </c>
      <c r="D283" s="352">
        <v>11.4</v>
      </c>
      <c r="E283" s="352"/>
      <c r="F283" s="361">
        <v>6</v>
      </c>
      <c r="G283" s="361">
        <v>6</v>
      </c>
      <c r="H283" s="358">
        <v>7.4</v>
      </c>
    </row>
    <row r="284" spans="1:8" ht="15" thickBot="1" x14ac:dyDescent="0.35">
      <c r="A284" s="353" t="s">
        <v>401</v>
      </c>
      <c r="B284" s="352">
        <v>14</v>
      </c>
      <c r="C284" s="352">
        <v>4</v>
      </c>
      <c r="D284" s="352">
        <v>8.6999999999999993</v>
      </c>
      <c r="E284" s="352"/>
      <c r="F284" s="361">
        <v>2</v>
      </c>
      <c r="G284" s="361">
        <v>0</v>
      </c>
      <c r="H284" s="358">
        <v>6.8</v>
      </c>
    </row>
    <row r="285" spans="1:8" ht="15" thickBot="1" x14ac:dyDescent="0.35">
      <c r="A285" s="353" t="s">
        <v>401</v>
      </c>
      <c r="B285" s="352">
        <v>23</v>
      </c>
      <c r="C285" s="352">
        <v>7.2</v>
      </c>
      <c r="D285" s="352">
        <v>14.1</v>
      </c>
      <c r="E285" s="352"/>
      <c r="F285" s="361">
        <v>6</v>
      </c>
      <c r="G285" s="361">
        <v>1</v>
      </c>
      <c r="H285" s="358">
        <v>10</v>
      </c>
    </row>
    <row r="286" spans="1:8" ht="15" thickBot="1" x14ac:dyDescent="0.35">
      <c r="A286" s="353" t="s">
        <v>401</v>
      </c>
      <c r="B286" s="352">
        <v>20.5</v>
      </c>
      <c r="C286" s="352">
        <v>8</v>
      </c>
      <c r="D286" s="352">
        <v>15.4</v>
      </c>
      <c r="E286" s="352"/>
      <c r="F286" s="361">
        <v>5</v>
      </c>
      <c r="G286" s="361">
        <v>0</v>
      </c>
      <c r="H286" s="358">
        <v>11.9</v>
      </c>
    </row>
    <row r="287" spans="1:8" ht="15" thickBot="1" x14ac:dyDescent="0.35">
      <c r="A287" s="353" t="s">
        <v>401</v>
      </c>
      <c r="B287" s="352">
        <v>17.5</v>
      </c>
      <c r="C287" s="352">
        <v>8</v>
      </c>
      <c r="D287" s="352">
        <v>12.9</v>
      </c>
      <c r="E287" s="352"/>
      <c r="F287" s="361">
        <v>5</v>
      </c>
      <c r="G287" s="361">
        <v>0</v>
      </c>
      <c r="H287" s="358">
        <v>9.4</v>
      </c>
    </row>
    <row r="288" spans="1:8" ht="15" thickBot="1" x14ac:dyDescent="0.35">
      <c r="A288" s="353" t="s">
        <v>401</v>
      </c>
      <c r="B288" s="352">
        <v>20</v>
      </c>
      <c r="C288" s="352">
        <v>7</v>
      </c>
      <c r="D288" s="352">
        <v>13.7</v>
      </c>
      <c r="E288" s="352"/>
      <c r="F288" s="361">
        <v>4</v>
      </c>
      <c r="G288" s="361">
        <v>0</v>
      </c>
      <c r="H288" s="358">
        <v>11.1</v>
      </c>
    </row>
    <row r="289" spans="1:8" ht="15" thickBot="1" x14ac:dyDescent="0.35">
      <c r="A289" s="353" t="s">
        <v>401</v>
      </c>
      <c r="B289" s="352">
        <v>22.2</v>
      </c>
      <c r="C289" s="352">
        <v>8</v>
      </c>
      <c r="D289" s="352">
        <v>14.8</v>
      </c>
      <c r="E289" s="352"/>
      <c r="F289" s="361">
        <v>2</v>
      </c>
      <c r="G289" s="361">
        <v>0</v>
      </c>
      <c r="H289" s="358">
        <v>13.3</v>
      </c>
    </row>
    <row r="290" spans="1:8" ht="15" thickBot="1" x14ac:dyDescent="0.35">
      <c r="A290" s="353" t="s">
        <v>401</v>
      </c>
      <c r="B290" s="352">
        <v>22.1</v>
      </c>
      <c r="C290" s="352">
        <v>6</v>
      </c>
      <c r="D290" s="352">
        <v>13.7</v>
      </c>
      <c r="E290" s="352"/>
      <c r="F290" s="361">
        <v>1</v>
      </c>
      <c r="G290" s="361">
        <v>0</v>
      </c>
      <c r="H290" s="358">
        <v>12.8</v>
      </c>
    </row>
    <row r="291" spans="1:8" ht="15" thickBot="1" x14ac:dyDescent="0.35">
      <c r="A291" s="353" t="s">
        <v>401</v>
      </c>
      <c r="B291" s="352">
        <v>23.7</v>
      </c>
      <c r="C291" s="352">
        <v>6</v>
      </c>
      <c r="D291" s="352">
        <v>15.4</v>
      </c>
      <c r="E291" s="352"/>
      <c r="F291" s="361">
        <v>2</v>
      </c>
      <c r="G291" s="361">
        <v>0</v>
      </c>
      <c r="H291" s="358">
        <v>13.8</v>
      </c>
    </row>
    <row r="292" spans="1:8" ht="15" thickBot="1" x14ac:dyDescent="0.35">
      <c r="A292" s="353" t="s">
        <v>401</v>
      </c>
      <c r="B292" s="352">
        <v>24</v>
      </c>
      <c r="C292" s="352">
        <v>6</v>
      </c>
      <c r="D292" s="352">
        <v>14.7</v>
      </c>
      <c r="E292" s="352"/>
      <c r="F292" s="361">
        <v>2</v>
      </c>
      <c r="G292" s="361">
        <v>0</v>
      </c>
      <c r="H292" s="358">
        <v>13.3</v>
      </c>
    </row>
    <row r="293" spans="1:8" ht="15" thickBot="1" x14ac:dyDescent="0.35">
      <c r="A293" s="353" t="s">
        <v>401</v>
      </c>
      <c r="B293" s="352">
        <v>21.2</v>
      </c>
      <c r="C293" s="352">
        <v>6</v>
      </c>
      <c r="D293" s="352">
        <v>14</v>
      </c>
      <c r="E293" s="352"/>
      <c r="F293" s="361">
        <v>3</v>
      </c>
      <c r="G293" s="361">
        <v>0</v>
      </c>
      <c r="H293" s="358">
        <v>12.1</v>
      </c>
    </row>
    <row r="294" spans="1:8" ht="15" thickBot="1" x14ac:dyDescent="0.35">
      <c r="A294" s="353" t="s">
        <v>401</v>
      </c>
      <c r="B294" s="352">
        <v>19.3</v>
      </c>
      <c r="C294" s="352">
        <v>3</v>
      </c>
      <c r="D294" s="352">
        <v>13.2</v>
      </c>
      <c r="E294" s="352"/>
      <c r="F294" s="361">
        <v>3</v>
      </c>
      <c r="G294" s="361">
        <v>0</v>
      </c>
      <c r="H294" s="358">
        <v>11.1</v>
      </c>
    </row>
    <row r="295" spans="1:8" ht="15" thickBot="1" x14ac:dyDescent="0.35">
      <c r="A295" s="353" t="s">
        <v>401</v>
      </c>
      <c r="B295" s="352">
        <v>17</v>
      </c>
      <c r="C295" s="352">
        <v>9</v>
      </c>
      <c r="D295" s="352">
        <v>13.3</v>
      </c>
      <c r="E295" s="352"/>
      <c r="F295" s="361">
        <v>4</v>
      </c>
      <c r="G295" s="361">
        <v>0</v>
      </c>
      <c r="H295" s="358">
        <v>10.199999999999999</v>
      </c>
    </row>
    <row r="296" spans="1:8" ht="15" thickBot="1" x14ac:dyDescent="0.35">
      <c r="A296" s="353" t="s">
        <v>401</v>
      </c>
      <c r="B296" s="352">
        <v>22</v>
      </c>
      <c r="C296" s="352">
        <v>3</v>
      </c>
      <c r="D296" s="352">
        <v>14.1</v>
      </c>
      <c r="E296" s="352"/>
      <c r="F296" s="361">
        <v>4</v>
      </c>
      <c r="G296" s="361">
        <v>0</v>
      </c>
      <c r="H296" s="358">
        <v>11.2</v>
      </c>
    </row>
    <row r="297" spans="1:8" ht="15" thickBot="1" x14ac:dyDescent="0.35">
      <c r="A297" s="353" t="s">
        <v>401</v>
      </c>
      <c r="B297" s="352">
        <v>25.3</v>
      </c>
      <c r="C297" s="352">
        <v>10</v>
      </c>
      <c r="D297" s="352">
        <v>18.7</v>
      </c>
      <c r="E297" s="352"/>
      <c r="F297" s="361">
        <v>5</v>
      </c>
      <c r="G297" s="361">
        <v>0</v>
      </c>
      <c r="H297" s="358">
        <v>15.6</v>
      </c>
    </row>
    <row r="298" spans="1:8" ht="15" thickBot="1" x14ac:dyDescent="0.35">
      <c r="A298" s="353" t="s">
        <v>401</v>
      </c>
      <c r="B298" s="352">
        <v>23</v>
      </c>
      <c r="C298" s="352">
        <v>12</v>
      </c>
      <c r="D298" s="352">
        <v>17.3</v>
      </c>
      <c r="E298" s="352"/>
      <c r="F298" s="361">
        <v>3</v>
      </c>
      <c r="G298" s="361">
        <v>0</v>
      </c>
      <c r="H298" s="358">
        <v>15.9</v>
      </c>
    </row>
    <row r="299" spans="1:8" ht="15" thickBot="1" x14ac:dyDescent="0.35">
      <c r="A299" s="353" t="s">
        <v>401</v>
      </c>
      <c r="B299" s="352">
        <v>26</v>
      </c>
      <c r="C299" s="352">
        <v>10</v>
      </c>
      <c r="D299" s="352">
        <v>17.899999999999999</v>
      </c>
      <c r="E299" s="352"/>
      <c r="F299" s="361">
        <v>2</v>
      </c>
      <c r="G299" s="361">
        <v>0</v>
      </c>
      <c r="H299" s="358">
        <v>17.3</v>
      </c>
    </row>
    <row r="300" spans="1:8" ht="15" thickBot="1" x14ac:dyDescent="0.35">
      <c r="A300" s="353" t="s">
        <v>401</v>
      </c>
      <c r="B300" s="352">
        <v>26</v>
      </c>
      <c r="C300" s="352">
        <v>10</v>
      </c>
      <c r="D300" s="352">
        <v>17.899999999999999</v>
      </c>
      <c r="E300" s="352"/>
      <c r="F300" s="361">
        <v>3</v>
      </c>
      <c r="G300" s="361">
        <v>0</v>
      </c>
      <c r="H300" s="358">
        <v>15.9</v>
      </c>
    </row>
    <row r="301" spans="1:8" ht="15" thickBot="1" x14ac:dyDescent="0.35">
      <c r="A301" s="353" t="s">
        <v>401</v>
      </c>
      <c r="B301" s="352">
        <v>26</v>
      </c>
      <c r="C301" s="352">
        <v>11</v>
      </c>
      <c r="D301" s="352">
        <v>17.2</v>
      </c>
      <c r="E301" s="352"/>
      <c r="F301" s="361">
        <v>5</v>
      </c>
      <c r="G301" s="361">
        <v>0</v>
      </c>
      <c r="H301" s="358">
        <v>14</v>
      </c>
    </row>
    <row r="302" spans="1:8" ht="15" thickBot="1" x14ac:dyDescent="0.35">
      <c r="A302" s="353" t="s">
        <v>401</v>
      </c>
      <c r="B302" s="352">
        <v>19.3</v>
      </c>
      <c r="C302" s="352">
        <v>7</v>
      </c>
      <c r="D302" s="352">
        <v>13.3</v>
      </c>
      <c r="E302" s="352"/>
      <c r="F302" s="361">
        <v>3</v>
      </c>
      <c r="G302" s="361">
        <v>0</v>
      </c>
      <c r="H302" s="358">
        <v>11.6</v>
      </c>
    </row>
    <row r="303" spans="1:8" ht="15" thickBot="1" x14ac:dyDescent="0.35">
      <c r="A303" s="353" t="s">
        <v>401</v>
      </c>
      <c r="B303" s="352">
        <v>18</v>
      </c>
      <c r="C303" s="352">
        <v>7</v>
      </c>
      <c r="D303" s="352">
        <v>12.8</v>
      </c>
      <c r="E303" s="352"/>
      <c r="F303" s="361">
        <v>4</v>
      </c>
      <c r="G303" s="361">
        <v>0</v>
      </c>
      <c r="H303" s="358">
        <v>10</v>
      </c>
    </row>
    <row r="304" spans="1:8" ht="15" thickBot="1" x14ac:dyDescent="0.35">
      <c r="A304" s="353" t="s">
        <v>401</v>
      </c>
      <c r="B304" s="352">
        <v>19</v>
      </c>
      <c r="C304" s="352">
        <v>5</v>
      </c>
      <c r="D304" s="352">
        <v>13.6</v>
      </c>
      <c r="E304" s="352"/>
      <c r="F304" s="361">
        <v>3</v>
      </c>
      <c r="G304" s="361">
        <v>0</v>
      </c>
      <c r="H304" s="358">
        <v>11.3</v>
      </c>
    </row>
    <row r="305" spans="1:8" ht="15" thickBot="1" x14ac:dyDescent="0.35">
      <c r="A305" s="353" t="s">
        <v>401</v>
      </c>
      <c r="B305" s="352">
        <v>18</v>
      </c>
      <c r="C305" s="352">
        <v>9</v>
      </c>
      <c r="D305" s="352">
        <v>13.9</v>
      </c>
      <c r="E305" s="352"/>
      <c r="F305" s="361">
        <v>5</v>
      </c>
      <c r="G305" s="361">
        <v>1</v>
      </c>
      <c r="H305" s="358">
        <v>10.6</v>
      </c>
    </row>
    <row r="306" spans="1:8" ht="15" thickBot="1" x14ac:dyDescent="0.35">
      <c r="A306" s="353" t="s">
        <v>401</v>
      </c>
      <c r="B306" s="352">
        <v>17</v>
      </c>
      <c r="C306" s="352">
        <v>8</v>
      </c>
      <c r="D306" s="352">
        <v>12.1</v>
      </c>
      <c r="E306" s="352"/>
      <c r="F306" s="361">
        <v>2</v>
      </c>
      <c r="G306" s="361">
        <v>0</v>
      </c>
      <c r="H306" s="358">
        <v>10.4</v>
      </c>
    </row>
    <row r="307" spans="1:8" ht="15" thickBot="1" x14ac:dyDescent="0.35">
      <c r="A307" s="353" t="s">
        <v>402</v>
      </c>
      <c r="B307" s="352">
        <v>22.4</v>
      </c>
      <c r="C307" s="352">
        <v>9</v>
      </c>
      <c r="D307" s="352">
        <v>15.1</v>
      </c>
      <c r="E307" s="352"/>
      <c r="F307" s="361">
        <v>5</v>
      </c>
      <c r="G307" s="361">
        <v>0</v>
      </c>
      <c r="H307" s="358">
        <v>11.9</v>
      </c>
    </row>
    <row r="308" spans="1:8" ht="15" thickBot="1" x14ac:dyDescent="0.35">
      <c r="A308" s="353" t="s">
        <v>402</v>
      </c>
      <c r="B308" s="352">
        <v>17</v>
      </c>
      <c r="C308" s="352">
        <v>10</v>
      </c>
      <c r="D308" s="352">
        <v>13.5</v>
      </c>
      <c r="E308" s="352"/>
      <c r="F308" s="361">
        <v>2</v>
      </c>
      <c r="G308" s="361">
        <v>2</v>
      </c>
      <c r="H308" s="358">
        <v>12.6</v>
      </c>
    </row>
    <row r="309" spans="1:8" ht="15" thickBot="1" x14ac:dyDescent="0.35">
      <c r="A309" s="353" t="s">
        <v>402</v>
      </c>
      <c r="B309" s="352">
        <v>15.1</v>
      </c>
      <c r="C309" s="352">
        <v>5</v>
      </c>
      <c r="D309" s="352">
        <v>10.9</v>
      </c>
      <c r="E309" s="352"/>
      <c r="F309" s="361">
        <v>3</v>
      </c>
      <c r="G309" s="361">
        <v>2</v>
      </c>
      <c r="H309" s="358">
        <v>8.9</v>
      </c>
    </row>
    <row r="310" spans="1:8" ht="15" thickBot="1" x14ac:dyDescent="0.35">
      <c r="A310" s="353" t="s">
        <v>402</v>
      </c>
      <c r="B310" s="352">
        <v>17</v>
      </c>
      <c r="C310" s="352">
        <v>5</v>
      </c>
      <c r="D310" s="352">
        <v>11.8</v>
      </c>
      <c r="E310" s="352"/>
      <c r="F310" s="361">
        <v>5</v>
      </c>
      <c r="G310" s="361">
        <v>0</v>
      </c>
      <c r="H310" s="358">
        <v>8.1999999999999993</v>
      </c>
    </row>
    <row r="311" spans="1:8" ht="15" thickBot="1" x14ac:dyDescent="0.35">
      <c r="A311" s="353" t="s">
        <v>402</v>
      </c>
      <c r="B311" s="352">
        <v>17</v>
      </c>
      <c r="C311" s="352">
        <v>5</v>
      </c>
      <c r="D311" s="352">
        <v>12.1</v>
      </c>
      <c r="E311" s="352"/>
      <c r="F311" s="361">
        <v>3</v>
      </c>
      <c r="G311" s="361">
        <v>0</v>
      </c>
      <c r="H311" s="358">
        <v>9.6999999999999993</v>
      </c>
    </row>
    <row r="312" spans="1:8" ht="15" thickBot="1" x14ac:dyDescent="0.35">
      <c r="A312" s="353" t="s">
        <v>402</v>
      </c>
      <c r="B312" s="352">
        <v>16</v>
      </c>
      <c r="C312" s="352">
        <v>5</v>
      </c>
      <c r="D312" s="352">
        <v>11.1</v>
      </c>
      <c r="E312" s="352"/>
      <c r="F312" s="361">
        <v>3</v>
      </c>
      <c r="G312" s="361">
        <v>0</v>
      </c>
      <c r="H312" s="358">
        <v>8.6999999999999993</v>
      </c>
    </row>
    <row r="313" spans="1:8" ht="15" thickBot="1" x14ac:dyDescent="0.35">
      <c r="A313" s="353" t="s">
        <v>402</v>
      </c>
      <c r="B313" s="352">
        <v>12</v>
      </c>
      <c r="C313" s="352">
        <v>3</v>
      </c>
      <c r="D313" s="352">
        <v>8.3000000000000007</v>
      </c>
      <c r="E313" s="352"/>
      <c r="F313" s="361">
        <v>3</v>
      </c>
      <c r="G313" s="361">
        <v>2</v>
      </c>
      <c r="H313" s="358">
        <v>5.9</v>
      </c>
    </row>
    <row r="314" spans="1:8" ht="15" thickBot="1" x14ac:dyDescent="0.35">
      <c r="A314" s="353" t="s">
        <v>402</v>
      </c>
      <c r="B314" s="352">
        <v>10</v>
      </c>
      <c r="C314" s="352">
        <v>3.8</v>
      </c>
      <c r="D314" s="352">
        <v>5.7</v>
      </c>
      <c r="E314" s="352"/>
      <c r="F314" s="361">
        <v>6</v>
      </c>
      <c r="G314" s="361">
        <v>9</v>
      </c>
      <c r="H314" s="358">
        <v>0.9</v>
      </c>
    </row>
    <row r="315" spans="1:8" ht="15" thickBot="1" x14ac:dyDescent="0.35">
      <c r="A315" s="353" t="s">
        <v>402</v>
      </c>
      <c r="B315" s="352">
        <v>6</v>
      </c>
      <c r="C315" s="352">
        <v>1</v>
      </c>
      <c r="D315" s="352">
        <v>2.9</v>
      </c>
      <c r="E315" s="352"/>
      <c r="F315" s="361">
        <v>4</v>
      </c>
      <c r="G315" s="361">
        <v>0</v>
      </c>
      <c r="H315" s="358">
        <v>-1</v>
      </c>
    </row>
    <row r="316" spans="1:8" ht="15" thickBot="1" x14ac:dyDescent="0.35">
      <c r="A316" s="353" t="s">
        <v>402</v>
      </c>
      <c r="B316" s="352">
        <v>6</v>
      </c>
      <c r="C316" s="352">
        <v>1.6</v>
      </c>
      <c r="D316" s="352">
        <v>4.0999999999999996</v>
      </c>
      <c r="E316" s="352"/>
      <c r="F316" s="361">
        <v>4</v>
      </c>
      <c r="G316" s="361">
        <v>4</v>
      </c>
      <c r="H316" s="358">
        <v>0.4</v>
      </c>
    </row>
    <row r="317" spans="1:8" ht="15" thickBot="1" x14ac:dyDescent="0.35">
      <c r="A317" s="353" t="s">
        <v>402</v>
      </c>
      <c r="B317" s="352">
        <v>5</v>
      </c>
      <c r="C317" s="352">
        <v>0</v>
      </c>
      <c r="D317" s="352">
        <v>2.7</v>
      </c>
      <c r="E317" s="352"/>
      <c r="F317" s="361">
        <v>4</v>
      </c>
      <c r="G317" s="361">
        <v>2</v>
      </c>
      <c r="H317" s="358">
        <v>-1.1000000000000001</v>
      </c>
    </row>
    <row r="318" spans="1:8" ht="15" thickBot="1" x14ac:dyDescent="0.35">
      <c r="A318" s="353" t="s">
        <v>402</v>
      </c>
      <c r="B318" s="352">
        <v>8.1999999999999993</v>
      </c>
      <c r="C318" s="352">
        <v>0.2</v>
      </c>
      <c r="D318" s="352">
        <v>5.7</v>
      </c>
      <c r="E318" s="352"/>
      <c r="F318" s="361">
        <v>8</v>
      </c>
      <c r="G318" s="361">
        <v>1</v>
      </c>
      <c r="H318" s="358">
        <v>-0.6</v>
      </c>
    </row>
    <row r="319" spans="1:8" ht="15" thickBot="1" x14ac:dyDescent="0.35">
      <c r="A319" s="353" t="s">
        <v>402</v>
      </c>
      <c r="B319" s="352">
        <v>11.8</v>
      </c>
      <c r="C319" s="352">
        <v>6</v>
      </c>
      <c r="D319" s="352">
        <v>8.9</v>
      </c>
      <c r="E319" s="352"/>
      <c r="F319" s="361">
        <v>6</v>
      </c>
      <c r="G319" s="361">
        <v>7</v>
      </c>
      <c r="H319" s="358">
        <v>4.4000000000000004</v>
      </c>
    </row>
    <row r="320" spans="1:8" ht="15" thickBot="1" x14ac:dyDescent="0.35">
      <c r="A320" s="353" t="s">
        <v>402</v>
      </c>
      <c r="B320" s="352">
        <v>12</v>
      </c>
      <c r="C320" s="352">
        <v>4</v>
      </c>
      <c r="D320" s="352">
        <v>8.1999999999999993</v>
      </c>
      <c r="E320" s="352"/>
      <c r="F320" s="361">
        <v>5</v>
      </c>
      <c r="G320" s="361">
        <v>0</v>
      </c>
      <c r="H320" s="358">
        <v>4.2</v>
      </c>
    </row>
    <row r="321" spans="1:8" ht="15" thickBot="1" x14ac:dyDescent="0.35">
      <c r="A321" s="353" t="s">
        <v>402</v>
      </c>
      <c r="B321" s="352">
        <v>16.100000000000001</v>
      </c>
      <c r="C321" s="352">
        <v>7.3</v>
      </c>
      <c r="D321" s="352">
        <v>12.8</v>
      </c>
      <c r="E321" s="352"/>
      <c r="F321" s="361">
        <v>5</v>
      </c>
      <c r="G321" s="361">
        <v>4</v>
      </c>
      <c r="H321" s="358">
        <v>9.6999999999999993</v>
      </c>
    </row>
    <row r="322" spans="1:8" ht="15" thickBot="1" x14ac:dyDescent="0.35">
      <c r="A322" s="353" t="s">
        <v>402</v>
      </c>
      <c r="B322" s="352">
        <v>17</v>
      </c>
      <c r="C322" s="352">
        <v>9</v>
      </c>
      <c r="D322" s="352">
        <v>12.5</v>
      </c>
      <c r="E322" s="352"/>
      <c r="F322" s="361">
        <v>6</v>
      </c>
      <c r="G322" s="361">
        <v>0</v>
      </c>
      <c r="H322" s="358">
        <v>8.3000000000000007</v>
      </c>
    </row>
    <row r="323" spans="1:8" ht="15" thickBot="1" x14ac:dyDescent="0.35">
      <c r="A323" s="353" t="s">
        <v>402</v>
      </c>
      <c r="B323" s="352">
        <v>10.3</v>
      </c>
      <c r="C323" s="352">
        <v>3</v>
      </c>
      <c r="D323" s="352">
        <v>6.7</v>
      </c>
      <c r="E323" s="352"/>
      <c r="F323" s="361">
        <v>9</v>
      </c>
      <c r="G323" s="361">
        <v>0</v>
      </c>
      <c r="H323" s="358">
        <v>-0.2</v>
      </c>
    </row>
    <row r="324" spans="1:8" ht="15" thickBot="1" x14ac:dyDescent="0.35">
      <c r="A324" s="353" t="s">
        <v>402</v>
      </c>
      <c r="B324" s="352">
        <v>6.6</v>
      </c>
      <c r="C324" s="352">
        <v>1</v>
      </c>
      <c r="D324" s="352">
        <v>4.0999999999999996</v>
      </c>
      <c r="E324" s="352"/>
      <c r="F324" s="361">
        <v>6</v>
      </c>
      <c r="G324" s="361">
        <v>1</v>
      </c>
      <c r="H324" s="358">
        <v>-1</v>
      </c>
    </row>
    <row r="325" spans="1:8" ht="15" thickBot="1" x14ac:dyDescent="0.35">
      <c r="A325" s="353" t="s">
        <v>402</v>
      </c>
      <c r="B325" s="352">
        <v>8.1999999999999993</v>
      </c>
      <c r="C325" s="352">
        <v>1</v>
      </c>
      <c r="D325" s="352">
        <v>4.7</v>
      </c>
      <c r="E325" s="352"/>
      <c r="F325" s="361">
        <v>3</v>
      </c>
      <c r="G325" s="361">
        <v>2</v>
      </c>
      <c r="H325" s="358">
        <v>1.8</v>
      </c>
    </row>
    <row r="326" spans="1:8" ht="15" thickBot="1" x14ac:dyDescent="0.35">
      <c r="A326" s="353" t="s">
        <v>402</v>
      </c>
      <c r="B326" s="352">
        <v>7</v>
      </c>
      <c r="C326" s="352">
        <v>3</v>
      </c>
      <c r="D326" s="352">
        <v>4.5999999999999996</v>
      </c>
      <c r="E326" s="352"/>
      <c r="F326" s="361">
        <v>2</v>
      </c>
      <c r="G326" s="361">
        <v>1</v>
      </c>
      <c r="H326" s="358">
        <v>2.2999999999999998</v>
      </c>
    </row>
    <row r="327" spans="1:8" ht="15" thickBot="1" x14ac:dyDescent="0.35">
      <c r="A327" s="353" t="s">
        <v>402</v>
      </c>
      <c r="B327" s="352">
        <v>4.0999999999999996</v>
      </c>
      <c r="C327" s="352">
        <v>-2</v>
      </c>
      <c r="D327" s="352">
        <v>1.7</v>
      </c>
      <c r="E327" s="352"/>
      <c r="F327" s="361">
        <v>6</v>
      </c>
      <c r="G327" s="361">
        <v>1</v>
      </c>
      <c r="H327" s="358">
        <v>-3.7</v>
      </c>
    </row>
    <row r="328" spans="1:8" ht="15" thickBot="1" x14ac:dyDescent="0.35">
      <c r="A328" s="353" t="s">
        <v>402</v>
      </c>
      <c r="B328" s="352">
        <v>3.6</v>
      </c>
      <c r="C328" s="352">
        <v>-3</v>
      </c>
      <c r="D328" s="352">
        <v>0</v>
      </c>
      <c r="E328" s="352"/>
      <c r="F328" s="361">
        <v>5</v>
      </c>
      <c r="G328" s="361">
        <v>0</v>
      </c>
      <c r="H328" s="358">
        <v>-5</v>
      </c>
    </row>
    <row r="329" spans="1:8" ht="15" thickBot="1" x14ac:dyDescent="0.35">
      <c r="A329" s="353" t="s">
        <v>402</v>
      </c>
      <c r="B329" s="352">
        <v>7</v>
      </c>
      <c r="C329" s="352">
        <v>-0.4</v>
      </c>
      <c r="D329" s="352">
        <v>2.7</v>
      </c>
      <c r="E329" s="352"/>
      <c r="F329" s="361">
        <v>3</v>
      </c>
      <c r="G329" s="361">
        <v>8</v>
      </c>
      <c r="H329" s="358">
        <v>-0.5</v>
      </c>
    </row>
    <row r="330" spans="1:8" ht="15" thickBot="1" x14ac:dyDescent="0.35">
      <c r="A330" s="353" t="s">
        <v>402</v>
      </c>
      <c r="B330" s="352">
        <v>7</v>
      </c>
      <c r="C330" s="352">
        <v>-2</v>
      </c>
      <c r="D330" s="352">
        <v>1.1000000000000001</v>
      </c>
      <c r="E330" s="352"/>
      <c r="F330" s="361">
        <v>5</v>
      </c>
      <c r="G330" s="361">
        <v>13</v>
      </c>
      <c r="H330" s="358">
        <v>-3.5</v>
      </c>
    </row>
    <row r="331" spans="1:8" ht="15" thickBot="1" x14ac:dyDescent="0.35">
      <c r="A331" s="353" t="s">
        <v>402</v>
      </c>
      <c r="B331" s="352">
        <v>-0.2</v>
      </c>
      <c r="C331" s="352">
        <v>-2</v>
      </c>
      <c r="D331" s="352">
        <v>-1.4</v>
      </c>
      <c r="E331" s="352"/>
      <c r="F331" s="361">
        <v>4</v>
      </c>
      <c r="G331" s="361">
        <v>0</v>
      </c>
      <c r="H331" s="358">
        <v>-5.9</v>
      </c>
    </row>
    <row r="332" spans="1:8" ht="15" thickBot="1" x14ac:dyDescent="0.35">
      <c r="A332" s="353" t="s">
        <v>402</v>
      </c>
      <c r="B332" s="352">
        <v>1</v>
      </c>
      <c r="C332" s="352">
        <v>-4</v>
      </c>
      <c r="D332" s="352">
        <v>-1.3</v>
      </c>
      <c r="E332" s="352"/>
      <c r="F332" s="361">
        <v>3</v>
      </c>
      <c r="G332" s="361">
        <v>1</v>
      </c>
      <c r="H332" s="358">
        <v>-5.0999999999999996</v>
      </c>
    </row>
    <row r="333" spans="1:8" ht="15" thickBot="1" x14ac:dyDescent="0.35">
      <c r="A333" s="353" t="s">
        <v>402</v>
      </c>
      <c r="B333" s="352">
        <v>0</v>
      </c>
      <c r="C333" s="352">
        <v>-3</v>
      </c>
      <c r="D333" s="352">
        <v>-1.4</v>
      </c>
      <c r="E333" s="352"/>
      <c r="F333" s="361">
        <v>7</v>
      </c>
      <c r="G333" s="361">
        <v>0</v>
      </c>
      <c r="H333" s="358">
        <v>-7.9</v>
      </c>
    </row>
    <row r="334" spans="1:8" ht="15" thickBot="1" x14ac:dyDescent="0.35">
      <c r="A334" s="353" t="s">
        <v>402</v>
      </c>
      <c r="B334" s="352">
        <v>0</v>
      </c>
      <c r="C334" s="352">
        <v>-2.5</v>
      </c>
      <c r="D334" s="352">
        <v>-0.8</v>
      </c>
      <c r="E334" s="352"/>
      <c r="F334" s="361">
        <v>5</v>
      </c>
      <c r="G334" s="361">
        <v>3</v>
      </c>
      <c r="H334" s="358">
        <v>-5.7</v>
      </c>
    </row>
    <row r="335" spans="1:8" ht="15" thickBot="1" x14ac:dyDescent="0.35">
      <c r="A335" s="353" t="s">
        <v>402</v>
      </c>
      <c r="B335" s="352">
        <v>2</v>
      </c>
      <c r="C335" s="352">
        <v>-1</v>
      </c>
      <c r="D335" s="352">
        <v>0.6</v>
      </c>
      <c r="E335" s="352"/>
      <c r="F335" s="361">
        <v>6</v>
      </c>
      <c r="G335" s="361">
        <v>8</v>
      </c>
      <c r="H335" s="358">
        <v>-4.7</v>
      </c>
    </row>
    <row r="336" spans="1:8" ht="15" thickBot="1" x14ac:dyDescent="0.35">
      <c r="A336" s="353" t="s">
        <v>402</v>
      </c>
      <c r="B336" s="352">
        <v>0.4</v>
      </c>
      <c r="C336" s="352">
        <v>-1</v>
      </c>
      <c r="D336" s="352">
        <v>-0.4</v>
      </c>
      <c r="E336" s="352"/>
      <c r="F336" s="361">
        <v>6</v>
      </c>
      <c r="G336" s="361">
        <v>0</v>
      </c>
      <c r="H336" s="358">
        <v>-5.9</v>
      </c>
    </row>
    <row r="337" spans="1:8" ht="15" thickBot="1" x14ac:dyDescent="0.35">
      <c r="A337" s="353" t="s">
        <v>402</v>
      </c>
      <c r="B337" s="352">
        <v>5</v>
      </c>
      <c r="C337" s="352">
        <v>-1</v>
      </c>
      <c r="D337" s="352">
        <v>2.7</v>
      </c>
      <c r="E337" s="352"/>
      <c r="F337" s="361">
        <v>3</v>
      </c>
      <c r="G337" s="361">
        <v>7</v>
      </c>
      <c r="H337" s="358">
        <v>-0.4</v>
      </c>
    </row>
    <row r="338" spans="1:8" ht="15" thickBot="1" x14ac:dyDescent="0.35">
      <c r="A338" s="353" t="s">
        <v>403</v>
      </c>
      <c r="B338" s="352">
        <v>9</v>
      </c>
      <c r="C338" s="352">
        <v>1.7</v>
      </c>
      <c r="D338" s="352">
        <v>5.3</v>
      </c>
      <c r="E338" s="352"/>
      <c r="F338" s="361">
        <v>5</v>
      </c>
      <c r="G338" s="361">
        <v>0</v>
      </c>
      <c r="H338" s="358">
        <v>1.3</v>
      </c>
    </row>
    <row r="339" spans="1:8" ht="15" thickBot="1" x14ac:dyDescent="0.35">
      <c r="A339" s="353" t="s">
        <v>403</v>
      </c>
      <c r="B339" s="352">
        <v>11.4</v>
      </c>
      <c r="C339" s="352">
        <v>6</v>
      </c>
      <c r="D339" s="352">
        <v>8.9</v>
      </c>
      <c r="E339" s="352"/>
      <c r="F339" s="361">
        <v>6</v>
      </c>
      <c r="G339" s="361">
        <v>0</v>
      </c>
      <c r="H339" s="358">
        <v>4.7</v>
      </c>
    </row>
    <row r="340" spans="1:8" ht="15" thickBot="1" x14ac:dyDescent="0.35">
      <c r="A340" s="353" t="s">
        <v>403</v>
      </c>
      <c r="B340" s="352">
        <v>10</v>
      </c>
      <c r="C340" s="352">
        <v>-2</v>
      </c>
      <c r="D340" s="352">
        <v>4.4000000000000004</v>
      </c>
      <c r="E340" s="352"/>
      <c r="F340" s="361">
        <v>6</v>
      </c>
      <c r="G340" s="361">
        <v>0</v>
      </c>
      <c r="H340" s="358">
        <v>-0.7</v>
      </c>
    </row>
    <row r="341" spans="1:8" ht="15" thickBot="1" x14ac:dyDescent="0.35">
      <c r="A341" s="353" t="s">
        <v>403</v>
      </c>
      <c r="B341" s="352">
        <v>4</v>
      </c>
      <c r="C341" s="352">
        <v>-3</v>
      </c>
      <c r="D341" s="352">
        <v>-0.6</v>
      </c>
      <c r="E341" s="352"/>
      <c r="F341" s="361">
        <v>3</v>
      </c>
      <c r="G341" s="361">
        <v>0</v>
      </c>
      <c r="H341" s="358">
        <v>-4.3</v>
      </c>
    </row>
    <row r="342" spans="1:8" ht="15" thickBot="1" x14ac:dyDescent="0.35">
      <c r="A342" s="353" t="s">
        <v>403</v>
      </c>
      <c r="B342" s="352">
        <v>4.0999999999999996</v>
      </c>
      <c r="C342" s="352">
        <v>-3</v>
      </c>
      <c r="D342" s="352">
        <v>1.1000000000000001</v>
      </c>
      <c r="E342" s="352"/>
      <c r="F342" s="361">
        <v>5</v>
      </c>
      <c r="G342" s="361">
        <v>0</v>
      </c>
      <c r="H342" s="358">
        <v>-3.6</v>
      </c>
    </row>
    <row r="343" spans="1:8" ht="15" thickBot="1" x14ac:dyDescent="0.35">
      <c r="A343" s="353" t="s">
        <v>403</v>
      </c>
      <c r="B343" s="352">
        <v>7.5</v>
      </c>
      <c r="C343" s="352">
        <v>2</v>
      </c>
      <c r="D343" s="352">
        <v>6</v>
      </c>
      <c r="E343" s="352"/>
      <c r="F343" s="361">
        <v>7</v>
      </c>
      <c r="G343" s="361">
        <v>0</v>
      </c>
      <c r="H343" s="358">
        <v>0.7</v>
      </c>
    </row>
    <row r="344" spans="1:8" ht="15" thickBot="1" x14ac:dyDescent="0.35">
      <c r="A344" s="353" t="s">
        <v>403</v>
      </c>
      <c r="B344" s="352">
        <v>7</v>
      </c>
      <c r="C344" s="352">
        <v>5</v>
      </c>
      <c r="D344" s="352">
        <v>5.7</v>
      </c>
      <c r="E344" s="352"/>
      <c r="F344" s="361">
        <v>4</v>
      </c>
      <c r="G344" s="361">
        <v>12</v>
      </c>
      <c r="H344" s="358">
        <v>2.4</v>
      </c>
    </row>
    <row r="345" spans="1:8" ht="15" thickBot="1" x14ac:dyDescent="0.35">
      <c r="A345" s="353" t="s">
        <v>403</v>
      </c>
      <c r="B345" s="352">
        <v>9</v>
      </c>
      <c r="C345" s="352">
        <v>5.6</v>
      </c>
      <c r="D345" s="352">
        <v>7.1</v>
      </c>
      <c r="E345" s="352"/>
      <c r="F345" s="361">
        <v>4</v>
      </c>
      <c r="G345" s="361">
        <v>3</v>
      </c>
      <c r="H345" s="358">
        <v>4</v>
      </c>
    </row>
    <row r="346" spans="1:8" ht="15" thickBot="1" x14ac:dyDescent="0.35">
      <c r="A346" s="353" t="s">
        <v>403</v>
      </c>
      <c r="B346" s="352">
        <v>7.3</v>
      </c>
      <c r="C346" s="352">
        <v>5</v>
      </c>
      <c r="D346" s="352">
        <v>6</v>
      </c>
      <c r="E346" s="352"/>
      <c r="F346" s="361">
        <v>4</v>
      </c>
      <c r="G346" s="361">
        <v>3</v>
      </c>
      <c r="H346" s="358">
        <v>2.7</v>
      </c>
    </row>
    <row r="347" spans="1:8" ht="15" thickBot="1" x14ac:dyDescent="0.35">
      <c r="A347" s="353" t="s">
        <v>403</v>
      </c>
      <c r="B347" s="352">
        <v>5.2</v>
      </c>
      <c r="C347" s="352">
        <v>2</v>
      </c>
      <c r="D347" s="352">
        <v>4.4000000000000004</v>
      </c>
      <c r="E347" s="352"/>
      <c r="F347" s="361">
        <v>7</v>
      </c>
      <c r="G347" s="361">
        <v>17</v>
      </c>
      <c r="H347" s="358">
        <v>-1.1000000000000001</v>
      </c>
    </row>
    <row r="348" spans="1:8" ht="15" thickBot="1" x14ac:dyDescent="0.35">
      <c r="A348" s="353" t="s">
        <v>403</v>
      </c>
      <c r="B348" s="352">
        <v>1.6</v>
      </c>
      <c r="C348" s="352">
        <v>-3</v>
      </c>
      <c r="D348" s="352">
        <v>-0.8</v>
      </c>
      <c r="E348" s="352"/>
      <c r="F348" s="361">
        <v>4</v>
      </c>
      <c r="G348" s="361">
        <v>0</v>
      </c>
      <c r="H348" s="358">
        <v>-5.0999999999999996</v>
      </c>
    </row>
    <row r="349" spans="1:8" ht="15" thickBot="1" x14ac:dyDescent="0.35">
      <c r="A349" s="353" t="s">
        <v>403</v>
      </c>
      <c r="B349" s="352">
        <v>1.5</v>
      </c>
      <c r="C349" s="352">
        <v>-1.9</v>
      </c>
      <c r="D349" s="352">
        <v>0.4</v>
      </c>
      <c r="E349" s="352"/>
      <c r="F349" s="361">
        <v>5</v>
      </c>
      <c r="G349" s="361">
        <v>0</v>
      </c>
      <c r="H349" s="358">
        <v>-4.3</v>
      </c>
    </row>
    <row r="350" spans="1:8" ht="15" thickBot="1" x14ac:dyDescent="0.35">
      <c r="A350" s="353" t="s">
        <v>403</v>
      </c>
      <c r="B350" s="352">
        <v>7.2</v>
      </c>
      <c r="C350" s="352">
        <v>0.5</v>
      </c>
      <c r="D350" s="352">
        <v>5.0999999999999996</v>
      </c>
      <c r="E350" s="352"/>
      <c r="F350" s="361">
        <v>7</v>
      </c>
      <c r="G350" s="361">
        <v>9</v>
      </c>
      <c r="H350" s="358">
        <v>-0.3</v>
      </c>
    </row>
    <row r="351" spans="1:8" ht="15" thickBot="1" x14ac:dyDescent="0.35">
      <c r="A351" s="353" t="s">
        <v>403</v>
      </c>
      <c r="B351" s="352">
        <v>6.4</v>
      </c>
      <c r="C351" s="352">
        <v>2</v>
      </c>
      <c r="D351" s="352">
        <v>4.2</v>
      </c>
      <c r="E351" s="352"/>
      <c r="F351" s="361">
        <v>4</v>
      </c>
      <c r="G351" s="361">
        <v>1</v>
      </c>
      <c r="H351" s="358">
        <v>0.6</v>
      </c>
    </row>
    <row r="352" spans="1:8" ht="15" thickBot="1" x14ac:dyDescent="0.35">
      <c r="A352" s="353" t="s">
        <v>403</v>
      </c>
      <c r="B352" s="352">
        <v>4.4000000000000004</v>
      </c>
      <c r="C352" s="352">
        <v>2</v>
      </c>
      <c r="D352" s="352">
        <v>2.9</v>
      </c>
      <c r="E352" s="352"/>
      <c r="F352" s="361">
        <v>3</v>
      </c>
      <c r="G352" s="361">
        <v>0</v>
      </c>
      <c r="H352" s="358">
        <v>-0.3</v>
      </c>
    </row>
    <row r="353" spans="1:8" ht="15" thickBot="1" x14ac:dyDescent="0.35">
      <c r="A353" s="353" t="s">
        <v>403</v>
      </c>
      <c r="B353" s="352">
        <v>3</v>
      </c>
      <c r="C353" s="352">
        <v>0</v>
      </c>
      <c r="D353" s="352">
        <v>1.5</v>
      </c>
      <c r="E353" s="352"/>
      <c r="F353" s="361">
        <v>2</v>
      </c>
      <c r="G353" s="361">
        <v>0</v>
      </c>
      <c r="H353" s="358">
        <v>-1.2</v>
      </c>
    </row>
    <row r="354" spans="1:8" ht="15" thickBot="1" x14ac:dyDescent="0.35">
      <c r="A354" s="353" t="s">
        <v>403</v>
      </c>
      <c r="B354" s="352">
        <v>0.6</v>
      </c>
      <c r="C354" s="352">
        <v>-6</v>
      </c>
      <c r="D354" s="352">
        <v>-2.2000000000000002</v>
      </c>
      <c r="E354" s="352"/>
      <c r="F354" s="361">
        <v>4</v>
      </c>
      <c r="G354" s="361">
        <v>0</v>
      </c>
      <c r="H354" s="358">
        <v>-6.7</v>
      </c>
    </row>
    <row r="355" spans="1:8" ht="15" thickBot="1" x14ac:dyDescent="0.35">
      <c r="A355" s="353" t="s">
        <v>403</v>
      </c>
      <c r="B355" s="352">
        <v>-4.8</v>
      </c>
      <c r="C355" s="352">
        <v>-9</v>
      </c>
      <c r="D355" s="352">
        <v>-6.8</v>
      </c>
      <c r="E355" s="352"/>
      <c r="F355" s="361">
        <v>4</v>
      </c>
      <c r="G355" s="361">
        <v>0</v>
      </c>
      <c r="H355" s="358">
        <v>-11.8</v>
      </c>
    </row>
    <row r="356" spans="1:8" ht="15" thickBot="1" x14ac:dyDescent="0.35">
      <c r="A356" s="353" t="s">
        <v>403</v>
      </c>
      <c r="B356" s="352">
        <v>-4</v>
      </c>
      <c r="C356" s="352">
        <v>-10</v>
      </c>
      <c r="D356" s="352">
        <v>-7.4</v>
      </c>
      <c r="E356" s="352"/>
      <c r="F356" s="361">
        <v>3</v>
      </c>
      <c r="G356" s="361">
        <v>0</v>
      </c>
      <c r="H356" s="358">
        <v>-11.8</v>
      </c>
    </row>
    <row r="357" spans="1:8" ht="15" thickBot="1" x14ac:dyDescent="0.35">
      <c r="A357" s="353" t="s">
        <v>403</v>
      </c>
      <c r="B357" s="352">
        <v>-3</v>
      </c>
      <c r="C357" s="352">
        <v>-8.6999999999999993</v>
      </c>
      <c r="D357" s="352">
        <v>-5.7</v>
      </c>
      <c r="E357" s="352"/>
      <c r="F357" s="361">
        <v>5</v>
      </c>
      <c r="G357" s="361">
        <v>1</v>
      </c>
      <c r="H357" s="358">
        <v>-11.2</v>
      </c>
    </row>
    <row r="358" spans="1:8" ht="15" thickBot="1" x14ac:dyDescent="0.35">
      <c r="A358" s="353" t="s">
        <v>403</v>
      </c>
      <c r="B358" s="352">
        <v>-2</v>
      </c>
      <c r="C358" s="352">
        <v>-6</v>
      </c>
      <c r="D358" s="352">
        <v>-3.6</v>
      </c>
      <c r="E358" s="352"/>
      <c r="F358" s="361">
        <v>5</v>
      </c>
      <c r="G358" s="361">
        <v>10</v>
      </c>
      <c r="H358" s="358">
        <v>-8.8000000000000007</v>
      </c>
    </row>
    <row r="359" spans="1:8" ht="15" thickBot="1" x14ac:dyDescent="0.35">
      <c r="A359" s="353" t="s">
        <v>403</v>
      </c>
      <c r="B359" s="352">
        <v>-6</v>
      </c>
      <c r="C359" s="352">
        <v>-11</v>
      </c>
      <c r="D359" s="352">
        <v>-8.1999999999999993</v>
      </c>
      <c r="E359" s="352"/>
      <c r="F359" s="361">
        <v>8</v>
      </c>
      <c r="G359" s="361">
        <v>7</v>
      </c>
      <c r="H359" s="358">
        <v>-15.9</v>
      </c>
    </row>
    <row r="360" spans="1:8" ht="15" thickBot="1" x14ac:dyDescent="0.35">
      <c r="A360" s="353" t="s">
        <v>403</v>
      </c>
      <c r="B360" s="352">
        <v>-9</v>
      </c>
      <c r="C360" s="352">
        <v>-16</v>
      </c>
      <c r="D360" s="352">
        <v>-11.4</v>
      </c>
      <c r="E360" s="352"/>
      <c r="F360" s="361">
        <v>6</v>
      </c>
      <c r="G360" s="361">
        <v>1</v>
      </c>
      <c r="H360" s="358">
        <v>-18.100000000000001</v>
      </c>
    </row>
    <row r="361" spans="1:8" ht="15" thickBot="1" x14ac:dyDescent="0.35">
      <c r="A361" s="353" t="s">
        <v>403</v>
      </c>
      <c r="B361" s="352">
        <v>-6</v>
      </c>
      <c r="C361" s="352">
        <v>-14</v>
      </c>
      <c r="D361" s="352">
        <v>-10.1</v>
      </c>
      <c r="E361" s="352"/>
      <c r="F361" s="361">
        <v>6</v>
      </c>
      <c r="G361" s="361">
        <v>1</v>
      </c>
      <c r="H361" s="358">
        <v>-16.600000000000001</v>
      </c>
    </row>
    <row r="362" spans="1:8" ht="15" thickBot="1" x14ac:dyDescent="0.35">
      <c r="A362" s="353" t="s">
        <v>403</v>
      </c>
      <c r="B362" s="352">
        <v>2</v>
      </c>
      <c r="C362" s="352">
        <v>-9.9</v>
      </c>
      <c r="D362" s="352">
        <v>-1.3</v>
      </c>
      <c r="E362" s="352"/>
      <c r="F362" s="361">
        <v>4</v>
      </c>
      <c r="G362" s="361">
        <v>5</v>
      </c>
      <c r="H362" s="358">
        <v>-5.6</v>
      </c>
    </row>
    <row r="363" spans="1:8" ht="15" thickBot="1" x14ac:dyDescent="0.35">
      <c r="A363" s="353" t="s">
        <v>403</v>
      </c>
      <c r="B363" s="359">
        <v>2</v>
      </c>
      <c r="C363" s="359">
        <v>-4</v>
      </c>
      <c r="D363" s="359">
        <v>-0.4</v>
      </c>
      <c r="E363" s="359"/>
      <c r="F363" s="362">
        <v>5</v>
      </c>
      <c r="G363" s="362">
        <v>10</v>
      </c>
      <c r="H363" s="360">
        <v>-5.2</v>
      </c>
    </row>
    <row r="364" spans="1:8" ht="15" thickBot="1" x14ac:dyDescent="0.35">
      <c r="A364" s="353" t="s">
        <v>403</v>
      </c>
      <c r="B364" s="359">
        <v>3.3</v>
      </c>
      <c r="C364" s="359">
        <v>-3</v>
      </c>
      <c r="D364" s="359">
        <v>-0.4</v>
      </c>
      <c r="E364" s="359"/>
      <c r="F364" s="359">
        <v>6</v>
      </c>
      <c r="G364" s="359">
        <v>3</v>
      </c>
      <c r="H364" s="359">
        <v>-6</v>
      </c>
    </row>
    <row r="365" spans="1:8" ht="15" thickBot="1" x14ac:dyDescent="0.35">
      <c r="A365" s="353" t="s">
        <v>403</v>
      </c>
      <c r="B365" s="359">
        <v>1.5</v>
      </c>
      <c r="C365" s="359">
        <v>-3</v>
      </c>
      <c r="D365" s="359">
        <v>-0.6</v>
      </c>
      <c r="E365" s="359"/>
      <c r="F365" s="359">
        <v>3</v>
      </c>
      <c r="G365" s="359">
        <v>0</v>
      </c>
      <c r="H365" s="359">
        <v>-4.2</v>
      </c>
    </row>
    <row r="366" spans="1:8" ht="15" thickBot="1" x14ac:dyDescent="0.35">
      <c r="A366" s="353" t="s">
        <v>403</v>
      </c>
      <c r="B366" s="359">
        <v>-0.9</v>
      </c>
      <c r="C366" s="359">
        <v>-13</v>
      </c>
      <c r="D366" s="359">
        <v>-5.6</v>
      </c>
      <c r="E366" s="359"/>
      <c r="F366" s="359">
        <v>2</v>
      </c>
      <c r="G366" s="359">
        <v>0</v>
      </c>
      <c r="H366" s="359">
        <v>-9.1999999999999993</v>
      </c>
    </row>
    <row r="367" spans="1:8" ht="15" thickBot="1" x14ac:dyDescent="0.35">
      <c r="A367" s="353" t="s">
        <v>403</v>
      </c>
      <c r="B367" s="359">
        <v>-2.8</v>
      </c>
      <c r="C367" s="359">
        <v>-13</v>
      </c>
      <c r="D367" s="359">
        <v>-5.9</v>
      </c>
      <c r="E367" s="359"/>
      <c r="F367" s="359">
        <v>6</v>
      </c>
      <c r="G367" s="359">
        <v>0</v>
      </c>
      <c r="H367" s="359">
        <v>-12</v>
      </c>
    </row>
    <row r="368" spans="1:8" ht="15" thickBot="1" x14ac:dyDescent="0.35">
      <c r="A368" s="354"/>
      <c r="B368" s="359"/>
      <c r="C368" s="359"/>
      <c r="D368" s="359"/>
      <c r="E368" s="359"/>
      <c r="F368" s="359"/>
      <c r="G368" s="359"/>
      <c r="H368" s="359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D56" sqref="D56:G12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355"/>
  </cols>
  <sheetData>
    <row r="1" spans="1:32" ht="26.25" customHeight="1" thickBot="1" x14ac:dyDescent="0.35">
      <c r="A1" s="251" t="s">
        <v>222</v>
      </c>
      <c r="B1" s="252" t="s">
        <v>223</v>
      </c>
      <c r="C1" s="250"/>
      <c r="D1" s="251" t="s">
        <v>222</v>
      </c>
      <c r="E1" s="252" t="s">
        <v>224</v>
      </c>
    </row>
    <row r="2" spans="1:32" x14ac:dyDescent="0.3">
      <c r="A2" s="98">
        <v>2.0000000000000001E-4</v>
      </c>
      <c r="B2">
        <v>1</v>
      </c>
      <c r="D2" s="98">
        <v>2.0000000000000001E-4</v>
      </c>
      <c r="E2" s="3">
        <v>22.350650799999997</v>
      </c>
    </row>
    <row r="3" spans="1:32" x14ac:dyDescent="0.3">
      <c r="A3" s="98">
        <v>4.0000000000000003E-5</v>
      </c>
      <c r="B3">
        <v>1</v>
      </c>
      <c r="D3" s="98">
        <v>4.0000000000000003E-5</v>
      </c>
      <c r="E3" s="3">
        <v>20.716505421679997</v>
      </c>
    </row>
    <row r="4" spans="1:32" x14ac:dyDescent="0.3">
      <c r="A4" s="98">
        <v>7.6000000000000004E-4</v>
      </c>
      <c r="B4">
        <v>0</v>
      </c>
      <c r="D4" s="98">
        <v>7.6000000000000004E-4</v>
      </c>
      <c r="E4" s="3">
        <v>10.94080459692</v>
      </c>
      <c r="AE4" s="98">
        <v>1.3500000000000001E-9</v>
      </c>
      <c r="AF4" s="3">
        <v>5.63</v>
      </c>
    </row>
    <row r="5" spans="1:32" x14ac:dyDescent="0.3">
      <c r="A5" s="98">
        <v>1E-3</v>
      </c>
      <c r="B5">
        <v>0</v>
      </c>
      <c r="D5" s="98">
        <v>1E-3</v>
      </c>
      <c r="E5" s="3">
        <v>2.5400976200000001</v>
      </c>
      <c r="AE5" s="98">
        <v>2.7E-10</v>
      </c>
      <c r="AF5" s="3">
        <v>5.28</v>
      </c>
    </row>
    <row r="6" spans="1:32" x14ac:dyDescent="0.3">
      <c r="A6" s="98">
        <v>2.0000000000000001E-4</v>
      </c>
      <c r="B6">
        <v>0</v>
      </c>
      <c r="D6" s="98">
        <v>2.0000000000000001E-4</v>
      </c>
      <c r="E6" s="3">
        <v>2.294975813252</v>
      </c>
      <c r="AE6" s="98">
        <v>5.1300000000000003E-9</v>
      </c>
      <c r="AF6" s="3">
        <v>1.36</v>
      </c>
    </row>
    <row r="7" spans="1:32" x14ac:dyDescent="0.3">
      <c r="A7" s="98">
        <v>3.8E-3</v>
      </c>
      <c r="B7">
        <v>0</v>
      </c>
      <c r="D7" s="98">
        <v>3.8E-3</v>
      </c>
      <c r="E7" s="3">
        <v>1.1254956895379999</v>
      </c>
      <c r="AE7" s="98">
        <v>8.9999999999999995E-9</v>
      </c>
      <c r="AF7" s="3">
        <v>0.45</v>
      </c>
    </row>
    <row r="8" spans="1:32" x14ac:dyDescent="0.3">
      <c r="A8" s="98">
        <v>2.0000000000000001E-4</v>
      </c>
      <c r="B8">
        <v>1</v>
      </c>
      <c r="D8" s="98">
        <v>2.0000000000000001E-4</v>
      </c>
      <c r="E8" s="3">
        <v>23.105742000000003</v>
      </c>
      <c r="AE8" s="98">
        <v>1.8E-9</v>
      </c>
      <c r="AF8" s="3">
        <v>0.44</v>
      </c>
    </row>
    <row r="9" spans="1:32" x14ac:dyDescent="0.3">
      <c r="A9" s="98">
        <v>4.0000000000000003E-5</v>
      </c>
      <c r="B9">
        <v>1</v>
      </c>
      <c r="D9" s="98">
        <v>4.0000000000000003E-5</v>
      </c>
      <c r="E9" s="3">
        <v>21.316884633200001</v>
      </c>
      <c r="AE9" s="98">
        <v>3.4200000000000002E-8</v>
      </c>
      <c r="AF9" s="3">
        <v>0.42</v>
      </c>
    </row>
    <row r="10" spans="1:32" x14ac:dyDescent="0.3">
      <c r="A10" s="98">
        <v>7.6000000000000004E-4</v>
      </c>
      <c r="B10">
        <v>0</v>
      </c>
      <c r="D10" s="98">
        <v>7.6000000000000004E-4</v>
      </c>
      <c r="E10" s="3">
        <v>11.0002890558</v>
      </c>
      <c r="AE10" s="98">
        <v>4.0499999999999999E-8</v>
      </c>
      <c r="AF10" s="3">
        <v>5.63</v>
      </c>
    </row>
    <row r="11" spans="1:32" x14ac:dyDescent="0.3">
      <c r="A11" s="98">
        <v>1E-3</v>
      </c>
      <c r="B11">
        <v>0</v>
      </c>
      <c r="D11" s="98">
        <v>1E-3</v>
      </c>
      <c r="E11" s="3">
        <v>2.6533613000000003</v>
      </c>
      <c r="AE11" s="98">
        <v>8.0999999999999997E-9</v>
      </c>
      <c r="AF11" s="3">
        <v>5.28</v>
      </c>
    </row>
    <row r="12" spans="1:32" x14ac:dyDescent="0.3">
      <c r="A12" s="98">
        <v>2.0000000000000001E-4</v>
      </c>
      <c r="B12">
        <v>0</v>
      </c>
      <c r="D12" s="98">
        <v>2.0000000000000001E-4</v>
      </c>
      <c r="E12" s="3">
        <v>2.38503269498</v>
      </c>
      <c r="AE12" s="98">
        <v>1.54E-7</v>
      </c>
      <c r="AF12" s="3">
        <v>1.36</v>
      </c>
    </row>
    <row r="13" spans="1:32" x14ac:dyDescent="0.3">
      <c r="A13" s="98">
        <v>3.8E-3</v>
      </c>
      <c r="B13">
        <v>0</v>
      </c>
      <c r="D13" s="98">
        <v>3.8E-3</v>
      </c>
      <c r="E13" s="3">
        <v>1.13441835837</v>
      </c>
      <c r="AE13" s="98">
        <v>2.7000000000000001E-7</v>
      </c>
      <c r="AF13" s="3">
        <v>0.45</v>
      </c>
    </row>
    <row r="14" spans="1:32" x14ac:dyDescent="0.3">
      <c r="A14" s="98">
        <v>2.8000000000000003E-4</v>
      </c>
      <c r="B14">
        <v>1</v>
      </c>
      <c r="D14" s="98">
        <v>2.8000000000000003E-4</v>
      </c>
      <c r="E14" s="3">
        <v>29.826368000000002</v>
      </c>
      <c r="AE14" s="98">
        <v>5.4E-8</v>
      </c>
      <c r="AF14" s="3">
        <v>0.44</v>
      </c>
    </row>
    <row r="15" spans="1:32" x14ac:dyDescent="0.3">
      <c r="A15" s="98">
        <v>5.5999999999999999E-5</v>
      </c>
      <c r="B15">
        <v>2</v>
      </c>
      <c r="D15" s="98">
        <v>5.5999999999999999E-5</v>
      </c>
      <c r="E15" s="3">
        <v>30.943188172799999</v>
      </c>
      <c r="AE15" s="98">
        <v>1.0300000000000001E-6</v>
      </c>
      <c r="AF15" s="3">
        <v>0.42</v>
      </c>
    </row>
    <row r="16" spans="1:32" x14ac:dyDescent="0.3">
      <c r="A16" s="98">
        <v>1.0640000000000001E-3</v>
      </c>
      <c r="B16">
        <v>0</v>
      </c>
      <c r="D16" s="98">
        <v>1.0640000000000001E-3</v>
      </c>
      <c r="E16" s="3">
        <v>15.3297668832</v>
      </c>
      <c r="AE16" s="98">
        <v>8.9099999999999997E-8</v>
      </c>
      <c r="AF16" s="3">
        <v>5.63</v>
      </c>
    </row>
    <row r="17" spans="1:32" x14ac:dyDescent="0.3">
      <c r="A17" s="98">
        <v>1.4E-3</v>
      </c>
      <c r="B17">
        <v>0</v>
      </c>
      <c r="D17" s="98">
        <v>1.4E-3</v>
      </c>
      <c r="E17" s="3">
        <v>3.4552052000000004</v>
      </c>
      <c r="AE17" s="98">
        <v>1.7800000000000001E-8</v>
      </c>
      <c r="AF17" s="3">
        <v>5.27</v>
      </c>
    </row>
    <row r="18" spans="1:32" x14ac:dyDescent="0.3">
      <c r="A18" s="98">
        <v>2.7999999999999998E-4</v>
      </c>
      <c r="B18">
        <v>0</v>
      </c>
      <c r="D18" s="98">
        <v>2.7999999999999998E-4</v>
      </c>
      <c r="E18" s="3">
        <v>3.1071032259200004</v>
      </c>
      <c r="AE18" s="98">
        <v>3.39E-7</v>
      </c>
      <c r="AF18" s="3">
        <v>1.36</v>
      </c>
    </row>
    <row r="19" spans="1:32" x14ac:dyDescent="0.3">
      <c r="A19" s="98">
        <v>5.3199999999999992E-3</v>
      </c>
      <c r="B19">
        <v>0</v>
      </c>
      <c r="D19" s="98">
        <v>5.3199999999999992E-3</v>
      </c>
      <c r="E19" s="3">
        <v>1.5775900324799998</v>
      </c>
      <c r="AE19" s="98">
        <v>5.9400000000000005E-7</v>
      </c>
      <c r="AF19" s="3">
        <v>0.45</v>
      </c>
    </row>
    <row r="20" spans="1:32" x14ac:dyDescent="0.3">
      <c r="A20" s="98">
        <v>1.4579999999999999E-4</v>
      </c>
      <c r="B20">
        <v>1</v>
      </c>
      <c r="D20" s="98">
        <v>1.4579999999999999E-4</v>
      </c>
      <c r="E20" s="3">
        <v>18.140167300000002</v>
      </c>
      <c r="AE20" s="98">
        <v>1.1899999999999999E-7</v>
      </c>
      <c r="AF20" s="3">
        <v>0.44</v>
      </c>
    </row>
    <row r="21" spans="1:32" x14ac:dyDescent="0.3">
      <c r="A21" s="98">
        <v>2.9159999999999999E-5</v>
      </c>
      <c r="B21">
        <v>1</v>
      </c>
      <c r="D21" s="98">
        <v>2.9159999999999999E-5</v>
      </c>
      <c r="E21" s="3">
        <v>16.796106900080002</v>
      </c>
      <c r="AE21" s="98">
        <v>2.26E-6</v>
      </c>
      <c r="AF21" s="3">
        <v>0.42</v>
      </c>
    </row>
    <row r="22" spans="1:32" x14ac:dyDescent="0.3">
      <c r="A22" s="98">
        <v>5.5404E-4</v>
      </c>
      <c r="B22">
        <v>0</v>
      </c>
      <c r="D22" s="98">
        <v>5.5404E-4</v>
      </c>
      <c r="E22" s="3">
        <v>8.0345837365200001</v>
      </c>
      <c r="AE22" s="98">
        <v>5.9200000000000002E-9</v>
      </c>
      <c r="AF22" s="3">
        <v>5.78</v>
      </c>
    </row>
    <row r="23" spans="1:32" x14ac:dyDescent="0.3">
      <c r="A23" s="98">
        <v>7.2900000000000005E-4</v>
      </c>
      <c r="B23">
        <v>0</v>
      </c>
      <c r="D23" s="98">
        <v>7.2900000000000005E-4</v>
      </c>
      <c r="E23" s="3">
        <v>2.0482594700000001</v>
      </c>
      <c r="AE23" s="98">
        <v>1.1800000000000001E-9</v>
      </c>
      <c r="AF23" s="3">
        <v>6.83</v>
      </c>
    </row>
    <row r="24" spans="1:32" x14ac:dyDescent="0.3">
      <c r="A24" s="98">
        <v>1.4579999999999999E-4</v>
      </c>
      <c r="B24">
        <v>0</v>
      </c>
      <c r="D24" s="98">
        <v>1.4579999999999999E-4</v>
      </c>
      <c r="E24" s="3">
        <v>1.8466504100120003</v>
      </c>
      <c r="AE24" s="98">
        <v>2.25E-8</v>
      </c>
      <c r="AF24" s="3">
        <v>1.37</v>
      </c>
    </row>
    <row r="25" spans="1:32" x14ac:dyDescent="0.3">
      <c r="A25" s="98">
        <v>2.7702E-3</v>
      </c>
      <c r="B25">
        <v>0</v>
      </c>
      <c r="D25" s="98">
        <v>2.7702E-3</v>
      </c>
      <c r="E25" s="3">
        <v>0.8292969354780001</v>
      </c>
      <c r="AE25" s="98">
        <v>3.9500000000000003E-8</v>
      </c>
      <c r="AF25" s="3">
        <v>0.47</v>
      </c>
    </row>
    <row r="26" spans="1:32" x14ac:dyDescent="0.3">
      <c r="A26" s="98"/>
      <c r="D26" s="98"/>
      <c r="E26" s="3"/>
      <c r="AE26" s="98">
        <v>7.8999999999999996E-9</v>
      </c>
      <c r="AF26" s="3">
        <v>0.46</v>
      </c>
    </row>
    <row r="27" spans="1:32" x14ac:dyDescent="0.3">
      <c r="A27" s="98"/>
      <c r="D27" s="98"/>
      <c r="E27" s="3"/>
      <c r="AE27" s="98">
        <v>1.4999999999999999E-7</v>
      </c>
      <c r="AF27" s="3">
        <v>0.42</v>
      </c>
    </row>
    <row r="28" spans="1:32" x14ac:dyDescent="0.3">
      <c r="A28" s="98"/>
      <c r="D28" s="98"/>
      <c r="E28" s="3"/>
      <c r="AE28" s="98">
        <v>1.7800000000000001E-7</v>
      </c>
      <c r="AF28" s="3">
        <v>5.78</v>
      </c>
    </row>
    <row r="29" spans="1:32" x14ac:dyDescent="0.3">
      <c r="A29" s="98"/>
      <c r="D29" s="98"/>
      <c r="E29" s="3"/>
      <c r="AE29" s="98">
        <v>3.55E-8</v>
      </c>
      <c r="AF29" s="3">
        <v>5.39</v>
      </c>
    </row>
    <row r="30" spans="1:32" x14ac:dyDescent="0.3">
      <c r="A30" s="98"/>
      <c r="D30" s="98"/>
      <c r="E30" s="3"/>
      <c r="AE30" s="98">
        <v>6.75E-7</v>
      </c>
      <c r="AF30" s="3">
        <v>1.37</v>
      </c>
    </row>
    <row r="31" spans="1:32" x14ac:dyDescent="0.3">
      <c r="A31" s="98"/>
      <c r="D31" s="98"/>
      <c r="E31" s="3"/>
      <c r="AE31" s="98">
        <v>1.1799999999999999E-6</v>
      </c>
      <c r="AF31" s="3">
        <v>0.47</v>
      </c>
    </row>
    <row r="32" spans="1:32" x14ac:dyDescent="0.3">
      <c r="A32" s="98"/>
      <c r="D32" s="98"/>
      <c r="E32" s="3"/>
      <c r="AE32" s="98">
        <v>2.3699999999999999E-7</v>
      </c>
      <c r="AF32" s="3">
        <v>0.46</v>
      </c>
    </row>
    <row r="33" spans="1:32" x14ac:dyDescent="0.3">
      <c r="A33" s="98"/>
      <c r="D33" s="98"/>
      <c r="E33" s="3"/>
      <c r="AE33" s="98">
        <v>4.5000000000000001E-6</v>
      </c>
      <c r="AF33" s="3">
        <v>0.42</v>
      </c>
    </row>
    <row r="34" spans="1:32" x14ac:dyDescent="0.3">
      <c r="A34" s="98"/>
      <c r="D34" s="98"/>
      <c r="E34" s="3"/>
      <c r="AE34" s="98">
        <v>3.9099999999999999E-7</v>
      </c>
      <c r="AF34" s="3">
        <v>5.78</v>
      </c>
    </row>
    <row r="35" spans="1:32" x14ac:dyDescent="0.3">
      <c r="A35" s="98"/>
      <c r="D35" s="98"/>
      <c r="E35" s="3"/>
      <c r="AE35" s="98">
        <v>7.8199999999999999E-8</v>
      </c>
      <c r="AF35" s="3">
        <v>5.39</v>
      </c>
    </row>
    <row r="36" spans="1:32" x14ac:dyDescent="0.3">
      <c r="A36" s="98"/>
      <c r="D36" s="98"/>
      <c r="E36" s="3"/>
      <c r="AE36" s="98">
        <v>1.4899999999999999E-6</v>
      </c>
      <c r="AF36" s="3">
        <v>1.37</v>
      </c>
    </row>
    <row r="37" spans="1:32" x14ac:dyDescent="0.3">
      <c r="A37" s="98"/>
      <c r="D37" s="98"/>
      <c r="E37" s="3"/>
      <c r="AE37" s="98">
        <v>2.61E-6</v>
      </c>
      <c r="AF37" s="3">
        <v>0.47</v>
      </c>
    </row>
    <row r="38" spans="1:32" x14ac:dyDescent="0.3">
      <c r="A38" s="98"/>
      <c r="D38" s="98"/>
      <c r="E38" s="3"/>
      <c r="AE38" s="98">
        <v>5.2099999999999997E-7</v>
      </c>
      <c r="AF38" s="3">
        <v>0.46</v>
      </c>
    </row>
    <row r="39" spans="1:32" x14ac:dyDescent="0.3">
      <c r="A39" s="98"/>
      <c r="D39" s="98"/>
      <c r="E39" s="3"/>
      <c r="AE39" s="98">
        <v>9.9000000000000001E-6</v>
      </c>
      <c r="AF39" s="3">
        <v>0.42</v>
      </c>
    </row>
    <row r="40" spans="1:32" x14ac:dyDescent="0.3">
      <c r="A40" s="98"/>
      <c r="D40" s="98"/>
      <c r="E40" s="3"/>
      <c r="AE40" s="98">
        <v>1.3500000000000001E-9</v>
      </c>
      <c r="AF40" s="3">
        <v>5.65</v>
      </c>
    </row>
    <row r="41" spans="1:32" x14ac:dyDescent="0.3">
      <c r="A41" s="98"/>
      <c r="D41" s="98"/>
      <c r="E41" s="3"/>
      <c r="AE41" s="98">
        <v>2.7E-10</v>
      </c>
      <c r="AF41" s="3">
        <v>5.29</v>
      </c>
    </row>
    <row r="42" spans="1:32" x14ac:dyDescent="0.3">
      <c r="A42" s="98"/>
      <c r="D42" s="98"/>
      <c r="E42" s="3"/>
      <c r="AE42" s="98">
        <v>5.1300000000000003E-9</v>
      </c>
      <c r="AF42" s="3">
        <v>1.36</v>
      </c>
    </row>
    <row r="43" spans="1:32" x14ac:dyDescent="0.3">
      <c r="A43" s="98"/>
      <c r="D43" s="98"/>
      <c r="E43" s="3"/>
      <c r="AE43" s="98">
        <v>8.9999999999999995E-9</v>
      </c>
      <c r="AF43" s="3">
        <v>0.45</v>
      </c>
    </row>
    <row r="44" spans="1:32" x14ac:dyDescent="0.3">
      <c r="A44" s="98"/>
      <c r="D44" s="98"/>
      <c r="E44" s="3"/>
      <c r="AE44" s="98">
        <v>1.8E-9</v>
      </c>
      <c r="AF44" s="3">
        <v>0.45</v>
      </c>
    </row>
    <row r="45" spans="1:32" x14ac:dyDescent="0.3">
      <c r="A45" s="98"/>
      <c r="D45" s="98"/>
      <c r="E45" s="3"/>
      <c r="AE45" s="98">
        <v>3.4200000000000002E-8</v>
      </c>
      <c r="AF45" s="3">
        <v>0.42</v>
      </c>
    </row>
    <row r="46" spans="1:32" x14ac:dyDescent="0.3">
      <c r="A46" s="98"/>
      <c r="D46" s="98"/>
      <c r="E46" s="3"/>
      <c r="AE46" s="98">
        <v>4.0499999999999999E-8</v>
      </c>
      <c r="AF46" s="3">
        <v>5.65</v>
      </c>
    </row>
    <row r="47" spans="1:32" x14ac:dyDescent="0.3">
      <c r="A47" s="98"/>
      <c r="D47" s="98"/>
      <c r="E47" s="3"/>
      <c r="AE47" s="98">
        <v>8.0999999999999997E-9</v>
      </c>
      <c r="AF47" s="3">
        <v>5.29</v>
      </c>
    </row>
    <row r="48" spans="1:32" x14ac:dyDescent="0.3">
      <c r="A48" s="98"/>
      <c r="D48" s="98"/>
      <c r="E48" s="3"/>
      <c r="AE48" s="98">
        <v>1.54E-7</v>
      </c>
      <c r="AF48" s="3">
        <v>1.36</v>
      </c>
    </row>
    <row r="49" spans="1:32" x14ac:dyDescent="0.3">
      <c r="A49" s="98"/>
      <c r="D49" s="98"/>
      <c r="E49" s="3"/>
      <c r="AE49" s="98">
        <v>2.7000000000000001E-7</v>
      </c>
      <c r="AF49" s="3">
        <v>0.45</v>
      </c>
    </row>
    <row r="50" spans="1:32" x14ac:dyDescent="0.3">
      <c r="A50" s="98"/>
      <c r="D50" s="98"/>
      <c r="E50" s="3"/>
      <c r="AE50" s="98">
        <v>5.4E-8</v>
      </c>
      <c r="AF50" s="3">
        <v>0.45</v>
      </c>
    </row>
    <row r="51" spans="1:32" x14ac:dyDescent="0.3">
      <c r="A51" s="98"/>
      <c r="D51" s="98"/>
      <c r="E51" s="3"/>
      <c r="AE51" s="98">
        <v>1.0300000000000001E-6</v>
      </c>
      <c r="AF51" s="3">
        <v>0.42</v>
      </c>
    </row>
    <row r="52" spans="1:32" x14ac:dyDescent="0.3">
      <c r="A52" s="98"/>
      <c r="D52" s="98"/>
      <c r="E52" s="3"/>
      <c r="AE52" s="98">
        <v>8.9099999999999997E-8</v>
      </c>
      <c r="AF52" s="3">
        <v>5.65</v>
      </c>
    </row>
    <row r="53" spans="1:32" x14ac:dyDescent="0.3">
      <c r="A53" s="98"/>
      <c r="D53" s="98"/>
      <c r="E53" s="3"/>
      <c r="AE53" s="98">
        <v>1.7800000000000001E-8</v>
      </c>
      <c r="AF53" s="3">
        <v>5.29</v>
      </c>
    </row>
    <row r="54" spans="1:32" x14ac:dyDescent="0.3">
      <c r="A54" s="98"/>
      <c r="D54" s="98"/>
      <c r="E54" s="3"/>
      <c r="AE54" s="98">
        <v>3.39E-7</v>
      </c>
      <c r="AF54" s="3">
        <v>1.36</v>
      </c>
    </row>
    <row r="55" spans="1:32" x14ac:dyDescent="0.3">
      <c r="A55" s="98"/>
      <c r="D55" s="98"/>
      <c r="E55" s="3"/>
      <c r="AE55" s="98">
        <v>5.9400000000000005E-7</v>
      </c>
      <c r="AF55" s="3">
        <v>0.45</v>
      </c>
    </row>
    <row r="56" spans="1:32" x14ac:dyDescent="0.3">
      <c r="A56" s="98"/>
      <c r="AE56" s="98">
        <v>1.1899999999999999E-7</v>
      </c>
      <c r="AF56" s="3">
        <v>0.44</v>
      </c>
    </row>
    <row r="57" spans="1:32" x14ac:dyDescent="0.3">
      <c r="A57" s="98"/>
      <c r="AE57" s="98">
        <v>2.26E-6</v>
      </c>
      <c r="AF57" s="3">
        <v>0.42</v>
      </c>
    </row>
    <row r="58" spans="1:32" x14ac:dyDescent="0.3">
      <c r="A58" s="98"/>
    </row>
    <row r="59" spans="1:32" x14ac:dyDescent="0.3">
      <c r="A59" s="98"/>
    </row>
    <row r="60" spans="1:32" x14ac:dyDescent="0.3">
      <c r="A60" s="98"/>
    </row>
    <row r="61" spans="1:32" x14ac:dyDescent="0.3">
      <c r="A61" s="98"/>
    </row>
    <row r="62" spans="1:32" x14ac:dyDescent="0.3">
      <c r="A62" s="98"/>
    </row>
    <row r="63" spans="1:32" x14ac:dyDescent="0.3">
      <c r="A63" s="98"/>
    </row>
    <row r="64" spans="1:32" x14ac:dyDescent="0.3">
      <c r="A64" s="98"/>
    </row>
    <row r="65" spans="1:1" x14ac:dyDescent="0.3">
      <c r="A65" s="98"/>
    </row>
    <row r="66" spans="1:1" x14ac:dyDescent="0.3">
      <c r="A66" s="98"/>
    </row>
    <row r="67" spans="1:1" x14ac:dyDescent="0.3">
      <c r="A67" s="98"/>
    </row>
    <row r="68" spans="1:1" x14ac:dyDescent="0.3">
      <c r="A68" s="98"/>
    </row>
    <row r="69" spans="1:1" x14ac:dyDescent="0.3">
      <c r="A69" s="98"/>
    </row>
    <row r="70" spans="1:1" x14ac:dyDescent="0.3">
      <c r="A70" s="98"/>
    </row>
    <row r="71" spans="1:1" x14ac:dyDescent="0.3">
      <c r="A71" s="98"/>
    </row>
    <row r="72" spans="1:1" x14ac:dyDescent="0.3">
      <c r="A72" s="98"/>
    </row>
    <row r="73" spans="1:1" x14ac:dyDescent="0.3">
      <c r="A73" s="98"/>
    </row>
    <row r="74" spans="1:1" x14ac:dyDescent="0.3">
      <c r="A74" s="98"/>
    </row>
    <row r="75" spans="1:1" x14ac:dyDescent="0.3">
      <c r="A75" s="98"/>
    </row>
    <row r="76" spans="1:1" x14ac:dyDescent="0.3">
      <c r="A76" s="98"/>
    </row>
    <row r="77" spans="1:1" x14ac:dyDescent="0.3">
      <c r="A77" s="98"/>
    </row>
    <row r="78" spans="1:1" x14ac:dyDescent="0.3">
      <c r="A78" s="98"/>
    </row>
    <row r="79" spans="1:1" x14ac:dyDescent="0.3">
      <c r="A79" s="98"/>
    </row>
    <row r="80" spans="1:1" x14ac:dyDescent="0.3">
      <c r="A80" s="98"/>
    </row>
    <row r="81" spans="1:1" x14ac:dyDescent="0.3">
      <c r="A81" s="98"/>
    </row>
    <row r="82" spans="1:1" x14ac:dyDescent="0.3">
      <c r="A82" s="98"/>
    </row>
    <row r="83" spans="1:1" x14ac:dyDescent="0.3">
      <c r="A83" s="98"/>
    </row>
    <row r="84" spans="1:1" x14ac:dyDescent="0.3">
      <c r="A84" s="98"/>
    </row>
    <row r="85" spans="1:1" x14ac:dyDescent="0.3">
      <c r="A85" s="98"/>
    </row>
    <row r="86" spans="1:1" x14ac:dyDescent="0.3">
      <c r="A86" s="98"/>
    </row>
    <row r="87" spans="1:1" x14ac:dyDescent="0.3">
      <c r="A87" s="98"/>
    </row>
    <row r="88" spans="1:1" x14ac:dyDescent="0.3">
      <c r="A88" s="98"/>
    </row>
    <row r="89" spans="1:1" x14ac:dyDescent="0.3">
      <c r="A89" s="98"/>
    </row>
    <row r="90" spans="1:1" x14ac:dyDescent="0.3">
      <c r="A90" s="98"/>
    </row>
    <row r="91" spans="1:1" x14ac:dyDescent="0.3">
      <c r="A91" s="98"/>
    </row>
    <row r="92" spans="1:1" x14ac:dyDescent="0.3">
      <c r="A92" s="98"/>
    </row>
    <row r="93" spans="1:1" x14ac:dyDescent="0.3">
      <c r="A93" s="98"/>
    </row>
    <row r="94" spans="1:1" x14ac:dyDescent="0.3">
      <c r="A94" s="98"/>
    </row>
    <row r="95" spans="1:1" x14ac:dyDescent="0.3">
      <c r="A95" s="98"/>
    </row>
    <row r="96" spans="1:1" x14ac:dyDescent="0.3">
      <c r="A96" s="98"/>
    </row>
    <row r="97" spans="1:1" x14ac:dyDescent="0.3">
      <c r="A97" s="98"/>
    </row>
    <row r="98" spans="1:1" x14ac:dyDescent="0.3">
      <c r="A98" s="98"/>
    </row>
    <row r="99" spans="1:1" x14ac:dyDescent="0.3">
      <c r="A99" s="98"/>
    </row>
    <row r="100" spans="1:1" x14ac:dyDescent="0.3">
      <c r="A100" s="98"/>
    </row>
    <row r="101" spans="1:1" x14ac:dyDescent="0.3">
      <c r="A101" s="98"/>
    </row>
    <row r="102" spans="1:1" x14ac:dyDescent="0.3">
      <c r="A102" s="98"/>
    </row>
    <row r="103" spans="1:1" x14ac:dyDescent="0.3">
      <c r="A103" s="98"/>
    </row>
    <row r="104" spans="1:1" x14ac:dyDescent="0.3">
      <c r="A104" s="98"/>
    </row>
    <row r="105" spans="1:1" x14ac:dyDescent="0.3">
      <c r="A105" s="98"/>
    </row>
    <row r="106" spans="1:1" x14ac:dyDescent="0.3">
      <c r="A106" s="98"/>
    </row>
    <row r="107" spans="1:1" x14ac:dyDescent="0.3">
      <c r="A107" s="98"/>
    </row>
    <row r="108" spans="1:1" x14ac:dyDescent="0.3">
      <c r="A108" s="98"/>
    </row>
    <row r="109" spans="1:1" x14ac:dyDescent="0.3">
      <c r="A109" s="98"/>
    </row>
    <row r="110" spans="1:1" x14ac:dyDescent="0.3">
      <c r="A110" s="98"/>
    </row>
    <row r="111" spans="1:1" x14ac:dyDescent="0.3">
      <c r="A111" s="98"/>
    </row>
    <row r="112" spans="1:1" x14ac:dyDescent="0.3">
      <c r="A112" s="98"/>
    </row>
    <row r="113" spans="1:1" x14ac:dyDescent="0.3">
      <c r="A113" s="98"/>
    </row>
    <row r="114" spans="1:1" x14ac:dyDescent="0.3">
      <c r="A114" s="98"/>
    </row>
    <row r="115" spans="1:1" x14ac:dyDescent="0.3">
      <c r="A115" s="98"/>
    </row>
    <row r="116" spans="1:1" x14ac:dyDescent="0.3">
      <c r="A116" s="98"/>
    </row>
    <row r="117" spans="1:1" x14ac:dyDescent="0.3">
      <c r="A117" s="98"/>
    </row>
    <row r="118" spans="1:1" x14ac:dyDescent="0.3">
      <c r="A118" s="98"/>
    </row>
    <row r="119" spans="1:1" x14ac:dyDescent="0.3">
      <c r="A119" s="98"/>
    </row>
    <row r="120" spans="1:1" x14ac:dyDescent="0.3">
      <c r="A120" s="98"/>
    </row>
    <row r="121" spans="1:1" x14ac:dyDescent="0.3">
      <c r="A121" s="98"/>
    </row>
    <row r="122" spans="1:1" x14ac:dyDescent="0.3">
      <c r="A122" s="98"/>
    </row>
    <row r="123" spans="1:1" x14ac:dyDescent="0.3">
      <c r="A123" s="98"/>
    </row>
    <row r="124" spans="1:1" x14ac:dyDescent="0.3">
      <c r="A124" s="98"/>
    </row>
    <row r="125" spans="1:1" x14ac:dyDescent="0.3">
      <c r="A125" s="98"/>
    </row>
    <row r="126" spans="1:1" x14ac:dyDescent="0.3">
      <c r="A126" s="98"/>
    </row>
    <row r="127" spans="1:1" x14ac:dyDescent="0.3">
      <c r="A127" s="98"/>
    </row>
    <row r="128" spans="1:1" x14ac:dyDescent="0.3">
      <c r="A128" s="98"/>
    </row>
    <row r="129" spans="1:1" x14ac:dyDescent="0.3">
      <c r="A129" s="98"/>
    </row>
    <row r="130" spans="1:1" x14ac:dyDescent="0.3">
      <c r="A130" s="98"/>
    </row>
    <row r="131" spans="1:1" x14ac:dyDescent="0.3">
      <c r="A131" s="98"/>
    </row>
    <row r="132" spans="1:1" x14ac:dyDescent="0.3">
      <c r="A132" s="98"/>
    </row>
    <row r="133" spans="1:1" x14ac:dyDescent="0.3">
      <c r="A133" s="98"/>
    </row>
    <row r="134" spans="1:1" x14ac:dyDescent="0.3">
      <c r="A134" s="98"/>
    </row>
    <row r="135" spans="1:1" x14ac:dyDescent="0.3">
      <c r="A135" s="98"/>
    </row>
    <row r="136" spans="1:1" x14ac:dyDescent="0.3">
      <c r="A136" s="98"/>
    </row>
    <row r="137" spans="1:1" x14ac:dyDescent="0.3">
      <c r="A137" s="98"/>
    </row>
    <row r="138" spans="1:1" x14ac:dyDescent="0.3">
      <c r="A138" s="98"/>
    </row>
    <row r="139" spans="1:1" x14ac:dyDescent="0.3">
      <c r="A139" s="98"/>
    </row>
    <row r="140" spans="1:1" x14ac:dyDescent="0.3">
      <c r="A140" s="98"/>
    </row>
    <row r="141" spans="1:1" x14ac:dyDescent="0.3">
      <c r="A141" s="98"/>
    </row>
    <row r="142" spans="1:1" x14ac:dyDescent="0.3">
      <c r="A142" s="98"/>
    </row>
    <row r="143" spans="1:1" x14ac:dyDescent="0.3">
      <c r="A143" s="98"/>
    </row>
    <row r="144" spans="1:1" x14ac:dyDescent="0.3">
      <c r="A144" s="98"/>
    </row>
    <row r="145" spans="1:1" x14ac:dyDescent="0.3">
      <c r="A145" s="98"/>
    </row>
    <row r="146" spans="1:1" x14ac:dyDescent="0.3">
      <c r="A146" s="98"/>
    </row>
    <row r="147" spans="1:1" x14ac:dyDescent="0.3">
      <c r="A147" s="98"/>
    </row>
    <row r="148" spans="1:1" x14ac:dyDescent="0.3">
      <c r="A148" s="98"/>
    </row>
    <row r="149" spans="1:1" x14ac:dyDescent="0.3">
      <c r="A149" s="98"/>
    </row>
    <row r="150" spans="1:1" x14ac:dyDescent="0.3">
      <c r="A150" s="98"/>
    </row>
    <row r="151" spans="1:1" x14ac:dyDescent="0.3">
      <c r="A151" s="98"/>
    </row>
    <row r="152" spans="1:1" x14ac:dyDescent="0.3">
      <c r="A152" s="98"/>
    </row>
    <row r="153" spans="1:1" x14ac:dyDescent="0.3">
      <c r="A153" s="98"/>
    </row>
    <row r="154" spans="1:1" x14ac:dyDescent="0.3">
      <c r="A154" s="98"/>
    </row>
    <row r="155" spans="1:1" x14ac:dyDescent="0.3">
      <c r="A155" s="98"/>
    </row>
    <row r="156" spans="1:1" x14ac:dyDescent="0.3">
      <c r="A156" s="98"/>
    </row>
    <row r="157" spans="1:1" x14ac:dyDescent="0.3">
      <c r="A157" s="98"/>
    </row>
    <row r="158" spans="1:1" x14ac:dyDescent="0.3">
      <c r="A158" s="98"/>
    </row>
    <row r="159" spans="1:1" x14ac:dyDescent="0.3">
      <c r="A159" s="98"/>
    </row>
    <row r="160" spans="1:1" x14ac:dyDescent="0.3">
      <c r="A160" s="98"/>
    </row>
    <row r="161" spans="1:1" x14ac:dyDescent="0.3">
      <c r="A161" s="98"/>
    </row>
    <row r="162" spans="1:1" x14ac:dyDescent="0.3">
      <c r="A162" s="98"/>
    </row>
    <row r="163" spans="1:1" x14ac:dyDescent="0.3">
      <c r="A163" s="98"/>
    </row>
    <row r="164" spans="1:1" x14ac:dyDescent="0.3">
      <c r="A164" s="98"/>
    </row>
    <row r="165" spans="1:1" x14ac:dyDescent="0.3">
      <c r="A165" s="98"/>
    </row>
    <row r="166" spans="1:1" x14ac:dyDescent="0.3">
      <c r="A166" s="98"/>
    </row>
    <row r="167" spans="1:1" x14ac:dyDescent="0.3">
      <c r="A167" s="98"/>
    </row>
    <row r="168" spans="1:1" x14ac:dyDescent="0.3">
      <c r="A168" s="98"/>
    </row>
    <row r="169" spans="1:1" x14ac:dyDescent="0.3">
      <c r="A169" s="98"/>
    </row>
    <row r="170" spans="1:1" x14ac:dyDescent="0.3">
      <c r="A170" s="98"/>
    </row>
    <row r="171" spans="1:1" x14ac:dyDescent="0.3">
      <c r="A171" s="98"/>
    </row>
    <row r="172" spans="1:1" x14ac:dyDescent="0.3">
      <c r="A172" s="98"/>
    </row>
    <row r="173" spans="1:1" x14ac:dyDescent="0.3">
      <c r="A173" s="98"/>
    </row>
    <row r="174" spans="1:1" x14ac:dyDescent="0.3">
      <c r="A174" s="98"/>
    </row>
    <row r="175" spans="1:1" x14ac:dyDescent="0.3">
      <c r="A175" s="98"/>
    </row>
    <row r="176" spans="1:1" x14ac:dyDescent="0.3">
      <c r="A176" s="98"/>
    </row>
    <row r="177" spans="1:1" x14ac:dyDescent="0.3">
      <c r="A177" s="98"/>
    </row>
    <row r="178" spans="1:1" x14ac:dyDescent="0.3">
      <c r="A178" s="98"/>
    </row>
    <row r="179" spans="1:1" x14ac:dyDescent="0.3">
      <c r="A179" s="98"/>
    </row>
    <row r="180" spans="1:1" x14ac:dyDescent="0.3">
      <c r="A180" s="98"/>
    </row>
    <row r="181" spans="1:1" x14ac:dyDescent="0.3">
      <c r="A181" s="98"/>
    </row>
    <row r="182" spans="1:1" x14ac:dyDescent="0.3">
      <c r="A182" s="98"/>
    </row>
    <row r="183" spans="1:1" x14ac:dyDescent="0.3">
      <c r="A183" s="98"/>
    </row>
    <row r="184" spans="1:1" x14ac:dyDescent="0.3">
      <c r="A184" s="98"/>
    </row>
    <row r="185" spans="1:1" x14ac:dyDescent="0.3">
      <c r="A185" s="98"/>
    </row>
    <row r="186" spans="1:1" x14ac:dyDescent="0.3">
      <c r="A186" s="98"/>
    </row>
    <row r="187" spans="1:1" x14ac:dyDescent="0.3">
      <c r="A187" s="98"/>
    </row>
    <row r="188" spans="1:1" x14ac:dyDescent="0.3">
      <c r="A188" s="98"/>
    </row>
    <row r="189" spans="1:1" x14ac:dyDescent="0.3">
      <c r="A189" s="98"/>
    </row>
    <row r="190" spans="1:1" x14ac:dyDescent="0.3">
      <c r="A190" s="98"/>
    </row>
    <row r="191" spans="1:1" x14ac:dyDescent="0.3">
      <c r="A191" s="98"/>
    </row>
    <row r="192" spans="1:1" x14ac:dyDescent="0.3">
      <c r="A192" s="98"/>
    </row>
    <row r="193" spans="1:1" x14ac:dyDescent="0.3">
      <c r="A193" s="98"/>
    </row>
    <row r="194" spans="1:1" x14ac:dyDescent="0.3">
      <c r="A194" s="98"/>
    </row>
    <row r="195" spans="1:1" x14ac:dyDescent="0.3">
      <c r="A195" s="98"/>
    </row>
    <row r="196" spans="1:1" x14ac:dyDescent="0.3">
      <c r="A196" s="98"/>
    </row>
    <row r="197" spans="1:1" x14ac:dyDescent="0.3">
      <c r="A197" s="98"/>
    </row>
    <row r="198" spans="1:1" x14ac:dyDescent="0.3">
      <c r="A198" s="98"/>
    </row>
    <row r="199" spans="1:1" x14ac:dyDescent="0.3">
      <c r="A199" s="98"/>
    </row>
    <row r="200" spans="1:1" x14ac:dyDescent="0.3">
      <c r="A200" s="98"/>
    </row>
    <row r="201" spans="1:1" x14ac:dyDescent="0.3">
      <c r="A201" s="98"/>
    </row>
    <row r="202" spans="1:1" x14ac:dyDescent="0.3">
      <c r="A202" s="98"/>
    </row>
    <row r="203" spans="1:1" x14ac:dyDescent="0.3">
      <c r="A203" s="98"/>
    </row>
    <row r="204" spans="1:1" x14ac:dyDescent="0.3">
      <c r="A204" s="98"/>
    </row>
    <row r="205" spans="1:1" x14ac:dyDescent="0.3">
      <c r="A205" s="98"/>
    </row>
    <row r="206" spans="1:1" x14ac:dyDescent="0.3">
      <c r="A206" s="98"/>
    </row>
    <row r="207" spans="1:1" x14ac:dyDescent="0.3">
      <c r="A207" s="98"/>
    </row>
    <row r="208" spans="1:1" x14ac:dyDescent="0.3">
      <c r="A208" s="98"/>
    </row>
    <row r="209" spans="1:1" x14ac:dyDescent="0.3">
      <c r="A209" s="98"/>
    </row>
    <row r="210" spans="1:1" x14ac:dyDescent="0.3">
      <c r="A210" s="98"/>
    </row>
    <row r="211" spans="1:1" x14ac:dyDescent="0.3">
      <c r="A211" s="98"/>
    </row>
    <row r="212" spans="1:1" x14ac:dyDescent="0.3">
      <c r="A212" s="98"/>
    </row>
    <row r="213" spans="1:1" x14ac:dyDescent="0.3">
      <c r="A213" s="98"/>
    </row>
    <row r="214" spans="1:1" x14ac:dyDescent="0.3">
      <c r="A214" s="98"/>
    </row>
    <row r="215" spans="1:1" x14ac:dyDescent="0.3">
      <c r="A215" s="98"/>
    </row>
    <row r="216" spans="1:1" x14ac:dyDescent="0.3">
      <c r="A216" s="98"/>
    </row>
    <row r="217" spans="1:1" x14ac:dyDescent="0.3">
      <c r="A217" s="98"/>
    </row>
    <row r="218" spans="1:1" x14ac:dyDescent="0.3">
      <c r="A218" s="98"/>
    </row>
    <row r="219" spans="1:1" x14ac:dyDescent="0.3">
      <c r="A219" s="98"/>
    </row>
    <row r="220" spans="1:1" x14ac:dyDescent="0.3">
      <c r="A220" s="98"/>
    </row>
    <row r="221" spans="1:1" x14ac:dyDescent="0.3">
      <c r="A221" s="98"/>
    </row>
    <row r="222" spans="1:1" x14ac:dyDescent="0.3">
      <c r="A222" s="98"/>
    </row>
    <row r="223" spans="1:1" x14ac:dyDescent="0.3">
      <c r="A223" s="98"/>
    </row>
    <row r="224" spans="1:1" x14ac:dyDescent="0.3">
      <c r="A224" s="98"/>
    </row>
    <row r="225" spans="1:1" x14ac:dyDescent="0.3">
      <c r="A225" s="98"/>
    </row>
    <row r="226" spans="1:1" x14ac:dyDescent="0.3">
      <c r="A226" s="98"/>
    </row>
    <row r="227" spans="1:1" x14ac:dyDescent="0.3">
      <c r="A227" s="98"/>
    </row>
    <row r="228" spans="1:1" x14ac:dyDescent="0.3">
      <c r="A228" s="98"/>
    </row>
    <row r="229" spans="1:1" x14ac:dyDescent="0.3">
      <c r="A229" s="98"/>
    </row>
    <row r="230" spans="1:1" x14ac:dyDescent="0.3">
      <c r="A230" s="98"/>
    </row>
    <row r="231" spans="1:1" x14ac:dyDescent="0.3">
      <c r="A231" s="98"/>
    </row>
    <row r="232" spans="1:1" x14ac:dyDescent="0.3">
      <c r="A232" s="98"/>
    </row>
    <row r="233" spans="1:1" x14ac:dyDescent="0.3">
      <c r="A233" s="98"/>
    </row>
    <row r="234" spans="1:1" x14ac:dyDescent="0.3">
      <c r="A234" s="98"/>
    </row>
    <row r="235" spans="1:1" x14ac:dyDescent="0.3">
      <c r="A235" s="98"/>
    </row>
    <row r="236" spans="1:1" x14ac:dyDescent="0.3">
      <c r="A236" s="98"/>
    </row>
    <row r="237" spans="1:1" x14ac:dyDescent="0.3">
      <c r="A237" s="98"/>
    </row>
    <row r="238" spans="1:1" x14ac:dyDescent="0.3">
      <c r="A238" s="98"/>
    </row>
    <row r="239" spans="1:1" x14ac:dyDescent="0.3">
      <c r="A239" s="98"/>
    </row>
    <row r="240" spans="1:1" x14ac:dyDescent="0.3">
      <c r="A240" s="98"/>
    </row>
    <row r="241" spans="1:1" x14ac:dyDescent="0.3">
      <c r="A241" s="98"/>
    </row>
    <row r="242" spans="1:1" x14ac:dyDescent="0.3">
      <c r="A242" s="98"/>
    </row>
    <row r="243" spans="1:1" x14ac:dyDescent="0.3">
      <c r="A243" s="98"/>
    </row>
    <row r="244" spans="1:1" x14ac:dyDescent="0.3">
      <c r="A244" s="98"/>
    </row>
    <row r="245" spans="1:1" x14ac:dyDescent="0.3">
      <c r="A245" s="98"/>
    </row>
    <row r="246" spans="1:1" x14ac:dyDescent="0.3">
      <c r="A246" s="98"/>
    </row>
    <row r="247" spans="1:1" x14ac:dyDescent="0.3">
      <c r="A247" s="98"/>
    </row>
    <row r="248" spans="1:1" x14ac:dyDescent="0.3">
      <c r="A248" s="98"/>
    </row>
    <row r="249" spans="1:1" x14ac:dyDescent="0.3">
      <c r="A249" s="98"/>
    </row>
    <row r="250" spans="1:1" x14ac:dyDescent="0.3">
      <c r="A250" s="98"/>
    </row>
    <row r="251" spans="1:1" x14ac:dyDescent="0.3">
      <c r="A251" s="98"/>
    </row>
    <row r="252" spans="1:1" x14ac:dyDescent="0.3">
      <c r="A252" s="98"/>
    </row>
    <row r="253" spans="1:1" x14ac:dyDescent="0.3">
      <c r="A253" s="98"/>
    </row>
    <row r="254" spans="1:1" x14ac:dyDescent="0.3">
      <c r="A254" s="98"/>
    </row>
    <row r="255" spans="1:1" x14ac:dyDescent="0.3">
      <c r="A255" s="98"/>
    </row>
    <row r="256" spans="1:1" x14ac:dyDescent="0.3">
      <c r="A256" s="98"/>
    </row>
    <row r="257" spans="1:1" x14ac:dyDescent="0.3">
      <c r="A257" s="98"/>
    </row>
    <row r="258" spans="1:1" x14ac:dyDescent="0.3">
      <c r="A258" s="98"/>
    </row>
    <row r="259" spans="1:1" x14ac:dyDescent="0.3">
      <c r="A259" s="98"/>
    </row>
    <row r="260" spans="1:1" x14ac:dyDescent="0.3">
      <c r="A260" s="98"/>
    </row>
    <row r="261" spans="1:1" x14ac:dyDescent="0.3">
      <c r="A261" s="98"/>
    </row>
    <row r="262" spans="1:1" x14ac:dyDescent="0.3">
      <c r="A262" s="98"/>
    </row>
    <row r="263" spans="1:1" x14ac:dyDescent="0.3">
      <c r="A263" s="98"/>
    </row>
    <row r="264" spans="1:1" x14ac:dyDescent="0.3">
      <c r="A264" s="98"/>
    </row>
    <row r="265" spans="1:1" x14ac:dyDescent="0.3">
      <c r="A265" s="98"/>
    </row>
    <row r="266" spans="1:1" x14ac:dyDescent="0.3">
      <c r="A266" s="98"/>
    </row>
    <row r="267" spans="1:1" x14ac:dyDescent="0.3">
      <c r="A267" s="98"/>
    </row>
    <row r="268" spans="1:1" x14ac:dyDescent="0.3">
      <c r="A268" s="98"/>
    </row>
    <row r="269" spans="1:1" x14ac:dyDescent="0.3">
      <c r="A269" s="98"/>
    </row>
    <row r="270" spans="1:1" x14ac:dyDescent="0.3">
      <c r="A270" s="98"/>
    </row>
    <row r="271" spans="1:1" x14ac:dyDescent="0.3">
      <c r="A271" s="98"/>
    </row>
    <row r="272" spans="1:1" x14ac:dyDescent="0.3">
      <c r="A272" s="98"/>
    </row>
    <row r="273" spans="1:1" x14ac:dyDescent="0.3">
      <c r="A273" s="98"/>
    </row>
    <row r="274" spans="1:1" x14ac:dyDescent="0.3">
      <c r="A274" s="98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118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topLeftCell="A19"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441" t="s">
        <v>98</v>
      </c>
      <c r="B1" s="442"/>
      <c r="G1" s="80"/>
    </row>
    <row r="2" spans="1:15" ht="78.599999999999994" thickBot="1" x14ac:dyDescent="0.35">
      <c r="A2" s="81" t="s">
        <v>99</v>
      </c>
      <c r="B2" s="82" t="s">
        <v>100</v>
      </c>
      <c r="C2" s="83" t="s">
        <v>112</v>
      </c>
      <c r="D2" s="83" t="s">
        <v>113</v>
      </c>
      <c r="E2" s="83" t="s">
        <v>114</v>
      </c>
      <c r="F2" s="83" t="s">
        <v>101</v>
      </c>
      <c r="G2" s="83" t="s">
        <v>102</v>
      </c>
    </row>
    <row r="3" spans="1:15" ht="16.2" thickBot="1" x14ac:dyDescent="0.35">
      <c r="A3" s="84">
        <v>1</v>
      </c>
      <c r="B3" s="85" t="s">
        <v>103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104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105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106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107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108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109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110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443" t="s">
        <v>111</v>
      </c>
      <c r="F11" s="444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99</v>
      </c>
      <c r="B14" s="82" t="s">
        <v>100</v>
      </c>
      <c r="C14" s="83" t="s">
        <v>112</v>
      </c>
      <c r="D14" s="83" t="s">
        <v>113</v>
      </c>
      <c r="E14" s="83" t="s">
        <v>114</v>
      </c>
      <c r="F14" s="83" t="s">
        <v>101</v>
      </c>
      <c r="G14" s="83" t="s">
        <v>102</v>
      </c>
      <c r="O14" s="91" t="s">
        <v>116</v>
      </c>
    </row>
    <row r="15" spans="1:15" ht="16.2" thickBot="1" x14ac:dyDescent="0.35">
      <c r="A15" s="84">
        <v>1</v>
      </c>
      <c r="B15" s="85" t="s">
        <v>115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1" t="s">
        <v>219</v>
      </c>
      <c r="M27" s="246" t="s">
        <v>220</v>
      </c>
      <c r="N27" s="245" t="s">
        <v>221</v>
      </c>
    </row>
    <row r="28" spans="12:15" ht="15" thickBot="1" x14ac:dyDescent="0.35">
      <c r="L28" s="247">
        <f>195*POWER(10,-4)</f>
        <v>1.95E-2</v>
      </c>
      <c r="M28" s="248">
        <f>10*LOG10(N28/195)</f>
        <v>20</v>
      </c>
      <c r="N28" s="249">
        <f>L28*POWER(10,6)</f>
        <v>19500</v>
      </c>
    </row>
    <row r="39" spans="16:18" x14ac:dyDescent="0.3">
      <c r="P39" s="98"/>
      <c r="R39" s="98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BECF-5C95-4EF9-AADB-94C0ADE9A90E}">
  <sheetPr codeName="Лист29"/>
  <dimension ref="A1:BA250"/>
  <sheetViews>
    <sheetView zoomScale="70" zoomScaleNormal="70" workbookViewId="0">
      <pane ySplit="1" topLeftCell="A2" activePane="bottomLeft" state="frozen"/>
      <selection pane="bottomLeft" activeCell="J164" sqref="J164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hidden="1" customWidth="1"/>
    <col min="16" max="34" width="8.88671875" hidden="1" customWidth="1"/>
    <col min="35" max="35" width="9.109375" hidden="1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3" ht="43.8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0" si="0">A1</f>
        <v>№ сценария</v>
      </c>
      <c r="N1" s="1" t="str">
        <f t="shared" si="0"/>
        <v>Оборудование</v>
      </c>
      <c r="O1" t="str">
        <f t="shared" ref="O1:O10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316</v>
      </c>
      <c r="U1" s="68" t="s">
        <v>315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</row>
    <row r="2" spans="1:53" s="227" customFormat="1" ht="18" customHeight="1" x14ac:dyDescent="0.3">
      <c r="A2" s="218" t="s">
        <v>18</v>
      </c>
      <c r="B2" s="219" t="s">
        <v>415</v>
      </c>
      <c r="C2" s="53" t="s">
        <v>196</v>
      </c>
      <c r="D2" s="220" t="s">
        <v>59</v>
      </c>
      <c r="E2" s="221">
        <v>9.9999999999999995E-7</v>
      </c>
      <c r="F2" s="219">
        <v>1</v>
      </c>
      <c r="G2" s="218">
        <v>0.05</v>
      </c>
      <c r="H2" s="222">
        <f t="shared" ref="H2:H10" si="2">E2*F2*G2*AZ2*BA2</f>
        <v>4.9999999999999998E-8</v>
      </c>
      <c r="I2" s="223">
        <v>0.82</v>
      </c>
      <c r="J2" s="224">
        <f>I2</f>
        <v>0.82</v>
      </c>
      <c r="K2" s="225" t="s">
        <v>175</v>
      </c>
      <c r="L2" s="226">
        <f>150</f>
        <v>150</v>
      </c>
      <c r="M2" s="227" t="str">
        <f t="shared" si="0"/>
        <v>С1</v>
      </c>
      <c r="N2" s="227" t="str">
        <f t="shared" si="0"/>
        <v>Конденсатор серы Т-409 С</v>
      </c>
      <c r="O2" s="227" t="str">
        <f t="shared" si="1"/>
        <v>Полное-пожар</v>
      </c>
      <c r="P2" s="227">
        <v>15.7</v>
      </c>
      <c r="Q2" s="227">
        <v>21.1</v>
      </c>
      <c r="R2" s="227">
        <v>29.3</v>
      </c>
      <c r="S2" s="227">
        <v>53.3</v>
      </c>
      <c r="T2" s="227" t="s">
        <v>83</v>
      </c>
      <c r="U2" s="227" t="s">
        <v>83</v>
      </c>
      <c r="V2" s="227" t="s">
        <v>83</v>
      </c>
      <c r="W2" s="227" t="s">
        <v>83</v>
      </c>
      <c r="X2" s="227" t="s">
        <v>83</v>
      </c>
      <c r="Y2" s="227" t="s">
        <v>83</v>
      </c>
      <c r="Z2" s="227" t="s">
        <v>83</v>
      </c>
      <c r="AA2" s="227" t="s">
        <v>83</v>
      </c>
      <c r="AB2" s="227" t="s">
        <v>83</v>
      </c>
      <c r="AC2" s="227" t="s">
        <v>83</v>
      </c>
      <c r="AD2" s="227" t="s">
        <v>83</v>
      </c>
      <c r="AE2" s="227" t="s">
        <v>83</v>
      </c>
      <c r="AF2" s="227" t="s">
        <v>83</v>
      </c>
      <c r="AG2" s="227" t="s">
        <v>83</v>
      </c>
      <c r="AH2" s="227" t="s">
        <v>83</v>
      </c>
      <c r="AI2" s="227" t="s">
        <v>83</v>
      </c>
      <c r="AJ2" s="228">
        <v>1</v>
      </c>
      <c r="AK2" s="228">
        <v>2</v>
      </c>
      <c r="AL2" s="229">
        <v>0.75</v>
      </c>
      <c r="AM2" s="229">
        <v>2.7E-2</v>
      </c>
      <c r="AN2" s="229">
        <v>3</v>
      </c>
      <c r="AQ2" s="230">
        <f>AM2*I2+AL2</f>
        <v>0.77214000000000005</v>
      </c>
      <c r="AR2" s="230">
        <f>0.1*AQ2</f>
        <v>7.7214000000000005E-2</v>
      </c>
      <c r="AS2" s="231">
        <f>AJ2*3+0.25*AK2</f>
        <v>3.5</v>
      </c>
      <c r="AT2" s="231">
        <f>SUM(AQ2:AS2)/4</f>
        <v>1.0873385</v>
      </c>
      <c r="AU2" s="230">
        <f>10068.2*J2*POWER(10,-6)</f>
        <v>8.2559240000000013E-3</v>
      </c>
      <c r="AV2" s="231">
        <f t="shared" ref="AV2:AV10" si="3">AU2+AT2+AS2+AR2+AQ2</f>
        <v>5.4449484239999997</v>
      </c>
      <c r="AW2" s="232">
        <f>AJ2*H2</f>
        <v>4.9999999999999998E-8</v>
      </c>
      <c r="AX2" s="232">
        <f>H2*AK2</f>
        <v>9.9999999999999995E-8</v>
      </c>
      <c r="AY2" s="232">
        <f>H2*AV2</f>
        <v>2.7224742119999997E-7</v>
      </c>
      <c r="AZ2" s="227">
        <v>1</v>
      </c>
      <c r="BA2" s="227">
        <v>1</v>
      </c>
    </row>
    <row r="3" spans="1:53" s="227" customFormat="1" x14ac:dyDescent="0.3">
      <c r="A3" s="218" t="s">
        <v>19</v>
      </c>
      <c r="B3" s="218" t="str">
        <f>B2</f>
        <v>Конденсатор серы Т-409 С</v>
      </c>
      <c r="C3" s="53" t="s">
        <v>202</v>
      </c>
      <c r="D3" s="220" t="s">
        <v>62</v>
      </c>
      <c r="E3" s="233">
        <f>E2</f>
        <v>9.9999999999999995E-7</v>
      </c>
      <c r="F3" s="234">
        <f>F2</f>
        <v>1</v>
      </c>
      <c r="G3" s="218">
        <v>0.19</v>
      </c>
      <c r="H3" s="222">
        <f t="shared" si="2"/>
        <v>1.8999999999999998E-7</v>
      </c>
      <c r="I3" s="235">
        <f>I2</f>
        <v>0.82</v>
      </c>
      <c r="J3" s="243">
        <v>0.21</v>
      </c>
      <c r="K3" s="236" t="s">
        <v>176</v>
      </c>
      <c r="L3" s="237">
        <v>1</v>
      </c>
      <c r="M3" s="227" t="str">
        <f t="shared" si="0"/>
        <v>С2</v>
      </c>
      <c r="N3" s="227" t="str">
        <f t="shared" si="0"/>
        <v>Конденсатор серы Т-409 С</v>
      </c>
      <c r="O3" s="227" t="str">
        <f t="shared" si="1"/>
        <v>Полное-взрыв</v>
      </c>
      <c r="P3" s="227" t="s">
        <v>83</v>
      </c>
      <c r="Q3" s="227" t="s">
        <v>83</v>
      </c>
      <c r="R3" s="227" t="s">
        <v>83</v>
      </c>
      <c r="S3" s="227" t="s">
        <v>83</v>
      </c>
      <c r="T3" s="227">
        <v>0</v>
      </c>
      <c r="U3" s="227">
        <v>38.1</v>
      </c>
      <c r="V3" s="227">
        <v>91.1</v>
      </c>
      <c r="W3" s="227">
        <v>275.60000000000002</v>
      </c>
      <c r="X3" s="227">
        <v>702.6</v>
      </c>
      <c r="Y3" s="227" t="s">
        <v>83</v>
      </c>
      <c r="Z3" s="227" t="s">
        <v>83</v>
      </c>
      <c r="AA3" s="227" t="s">
        <v>83</v>
      </c>
      <c r="AB3" s="227" t="s">
        <v>83</v>
      </c>
      <c r="AC3" s="227" t="s">
        <v>83</v>
      </c>
      <c r="AD3" s="227" t="s">
        <v>83</v>
      </c>
      <c r="AE3" s="227" t="s">
        <v>83</v>
      </c>
      <c r="AF3" s="227" t="s">
        <v>83</v>
      </c>
      <c r="AG3" s="227" t="s">
        <v>83</v>
      </c>
      <c r="AH3" s="227" t="s">
        <v>83</v>
      </c>
      <c r="AI3" s="227" t="s">
        <v>83</v>
      </c>
      <c r="AJ3" s="228">
        <v>2</v>
      </c>
      <c r="AK3" s="228">
        <v>4</v>
      </c>
      <c r="AL3" s="227">
        <f>AL2</f>
        <v>0.75</v>
      </c>
      <c r="AM3" s="227">
        <f>AM2</f>
        <v>2.7E-2</v>
      </c>
      <c r="AN3" s="227">
        <f>AN2</f>
        <v>3</v>
      </c>
      <c r="AQ3" s="230">
        <f>AM3*I3+AL3</f>
        <v>0.77214000000000005</v>
      </c>
      <c r="AR3" s="230">
        <f t="shared" ref="AR3:AR9" si="4">0.1*AQ3</f>
        <v>7.7214000000000005E-2</v>
      </c>
      <c r="AS3" s="231">
        <f t="shared" ref="AS3:AS9" si="5">AJ3*3+0.25*AK3</f>
        <v>7</v>
      </c>
      <c r="AT3" s="231">
        <f t="shared" ref="AT3:AT9" si="6">SUM(AQ3:AS3)/4</f>
        <v>1.9623385</v>
      </c>
      <c r="AU3" s="230">
        <f>10068.2*J3*POWER(10,-6)*10</f>
        <v>2.1143220000000001E-2</v>
      </c>
      <c r="AV3" s="231">
        <f t="shared" si="3"/>
        <v>9.8328357200000003</v>
      </c>
      <c r="AW3" s="232">
        <f t="shared" ref="AW3:AW9" si="7">AJ3*H3</f>
        <v>3.7999999999999996E-7</v>
      </c>
      <c r="AX3" s="232">
        <f t="shared" ref="AX3:AX9" si="8">H3*AK3</f>
        <v>7.5999999999999992E-7</v>
      </c>
      <c r="AY3" s="232">
        <f t="shared" ref="AY3:AY10" si="9">H3*AV3</f>
        <v>1.8682387867999998E-6</v>
      </c>
      <c r="AZ3" s="227">
        <v>1</v>
      </c>
      <c r="BA3" s="227">
        <v>1</v>
      </c>
    </row>
    <row r="4" spans="1:53" s="227" customFormat="1" x14ac:dyDescent="0.3">
      <c r="A4" s="218" t="s">
        <v>20</v>
      </c>
      <c r="B4" s="218" t="str">
        <f>B2</f>
        <v>Конденсатор серы Т-409 С</v>
      </c>
      <c r="C4" s="53" t="s">
        <v>243</v>
      </c>
      <c r="D4" s="220" t="s">
        <v>171</v>
      </c>
      <c r="E4" s="233">
        <f>E2</f>
        <v>9.9999999999999995E-7</v>
      </c>
      <c r="F4" s="234">
        <f>F2</f>
        <v>1</v>
      </c>
      <c r="G4" s="218">
        <v>0.76</v>
      </c>
      <c r="H4" s="222">
        <f t="shared" si="2"/>
        <v>7.5999999999999992E-7</v>
      </c>
      <c r="I4" s="235">
        <f>I2</f>
        <v>0.82</v>
      </c>
      <c r="J4" s="224">
        <f>J3</f>
        <v>0.21</v>
      </c>
      <c r="K4" s="236" t="s">
        <v>177</v>
      </c>
      <c r="L4" s="237">
        <v>4</v>
      </c>
      <c r="M4" s="227" t="str">
        <f t="shared" si="0"/>
        <v>С3</v>
      </c>
      <c r="N4" s="227" t="str">
        <f t="shared" si="0"/>
        <v>Конденсатор серы Т-409 С</v>
      </c>
      <c r="O4" s="227" t="str">
        <f t="shared" si="1"/>
        <v>Полное-токси</v>
      </c>
      <c r="P4" s="227" t="s">
        <v>83</v>
      </c>
      <c r="Q4" s="227" t="s">
        <v>83</v>
      </c>
      <c r="R4" s="227" t="s">
        <v>83</v>
      </c>
      <c r="S4" s="227" t="s">
        <v>83</v>
      </c>
      <c r="T4" s="227" t="s">
        <v>83</v>
      </c>
      <c r="U4" s="227" t="s">
        <v>83</v>
      </c>
      <c r="V4" s="227" t="s">
        <v>83</v>
      </c>
      <c r="W4" s="227" t="s">
        <v>83</v>
      </c>
      <c r="X4" s="227" t="s">
        <v>83</v>
      </c>
      <c r="Y4" s="227" t="s">
        <v>83</v>
      </c>
      <c r="Z4" s="227" t="s">
        <v>83</v>
      </c>
      <c r="AA4" s="227" t="s">
        <v>83</v>
      </c>
      <c r="AB4" s="227" t="s">
        <v>83</v>
      </c>
      <c r="AC4" s="227">
        <v>26.2</v>
      </c>
      <c r="AD4" s="227">
        <v>76.599999999999994</v>
      </c>
      <c r="AE4" s="227" t="s">
        <v>83</v>
      </c>
      <c r="AF4" s="227" t="s">
        <v>83</v>
      </c>
      <c r="AG4" s="227" t="s">
        <v>83</v>
      </c>
      <c r="AH4" s="227" t="s">
        <v>83</v>
      </c>
      <c r="AI4" s="227" t="s">
        <v>83</v>
      </c>
      <c r="AJ4" s="227">
        <v>0</v>
      </c>
      <c r="AK4" s="227">
        <v>0</v>
      </c>
      <c r="AL4" s="227">
        <f>AL2</f>
        <v>0.75</v>
      </c>
      <c r="AM4" s="227">
        <f>AM2</f>
        <v>2.7E-2</v>
      </c>
      <c r="AN4" s="227">
        <f>AN2</f>
        <v>3</v>
      </c>
      <c r="AQ4" s="230">
        <f>AM4*I4*0.1+AL4</f>
        <v>0.75221400000000005</v>
      </c>
      <c r="AR4" s="230">
        <f t="shared" si="4"/>
        <v>7.5221400000000008E-2</v>
      </c>
      <c r="AS4" s="231">
        <f t="shared" si="5"/>
        <v>0</v>
      </c>
      <c r="AT4" s="231">
        <f t="shared" si="6"/>
        <v>0.20685885000000001</v>
      </c>
      <c r="AU4" s="230">
        <f>1333*J2*POWER(10,-6)</f>
        <v>1.0930599999999999E-3</v>
      </c>
      <c r="AV4" s="231">
        <f t="shared" si="3"/>
        <v>1.0353873099999999</v>
      </c>
      <c r="AW4" s="232">
        <f t="shared" si="7"/>
        <v>0</v>
      </c>
      <c r="AX4" s="232">
        <f t="shared" si="8"/>
        <v>0</v>
      </c>
      <c r="AY4" s="232">
        <f t="shared" si="9"/>
        <v>7.8689435559999991E-7</v>
      </c>
      <c r="AZ4" s="227">
        <v>1</v>
      </c>
      <c r="BA4" s="227">
        <v>1</v>
      </c>
    </row>
    <row r="5" spans="1:53" s="227" customFormat="1" x14ac:dyDescent="0.3">
      <c r="A5" s="218" t="s">
        <v>21</v>
      </c>
      <c r="B5" s="218" t="str">
        <f>B2</f>
        <v>Конденсатор серы Т-409 С</v>
      </c>
      <c r="C5" s="53" t="s">
        <v>213</v>
      </c>
      <c r="D5" s="220" t="s">
        <v>214</v>
      </c>
      <c r="E5" s="221">
        <v>1.0000000000000001E-5</v>
      </c>
      <c r="F5" s="234">
        <f>F2</f>
        <v>1</v>
      </c>
      <c r="G5" s="218">
        <v>4.0000000000000008E-2</v>
      </c>
      <c r="H5" s="222">
        <f t="shared" si="2"/>
        <v>4.0000000000000009E-7</v>
      </c>
      <c r="I5" s="235">
        <f>0.15*I2</f>
        <v>0.12299999999999998</v>
      </c>
      <c r="J5" s="224">
        <f>I5</f>
        <v>0.12299999999999998</v>
      </c>
      <c r="K5" s="236" t="s">
        <v>179</v>
      </c>
      <c r="L5" s="237">
        <v>45390</v>
      </c>
      <c r="M5" s="227" t="str">
        <f t="shared" si="0"/>
        <v>С4</v>
      </c>
      <c r="N5" s="227" t="str">
        <f t="shared" si="0"/>
        <v>Конденсатор серы Т-409 С</v>
      </c>
      <c r="O5" s="227" t="str">
        <f t="shared" si="1"/>
        <v>Частичное факел</v>
      </c>
      <c r="P5" s="227" t="s">
        <v>83</v>
      </c>
      <c r="Q5" s="227" t="s">
        <v>83</v>
      </c>
      <c r="R5" s="227" t="s">
        <v>83</v>
      </c>
      <c r="S5" s="227" t="s">
        <v>83</v>
      </c>
      <c r="T5" s="227" t="s">
        <v>83</v>
      </c>
      <c r="U5" s="227" t="s">
        <v>83</v>
      </c>
      <c r="V5" s="227" t="s">
        <v>83</v>
      </c>
      <c r="W5" s="227" t="s">
        <v>83</v>
      </c>
      <c r="X5" s="227" t="s">
        <v>83</v>
      </c>
      <c r="Y5" s="227">
        <v>26</v>
      </c>
      <c r="Z5" s="227">
        <v>4</v>
      </c>
      <c r="AA5" s="227" t="s">
        <v>83</v>
      </c>
      <c r="AB5" s="227" t="s">
        <v>83</v>
      </c>
      <c r="AC5" s="227" t="s">
        <v>83</v>
      </c>
      <c r="AD5" s="227" t="s">
        <v>83</v>
      </c>
      <c r="AE5" s="227" t="s">
        <v>83</v>
      </c>
      <c r="AF5" s="227" t="s">
        <v>83</v>
      </c>
      <c r="AG5" s="227" t="s">
        <v>83</v>
      </c>
      <c r="AH5" s="227" t="s">
        <v>83</v>
      </c>
      <c r="AI5" s="227" t="s">
        <v>83</v>
      </c>
      <c r="AJ5" s="227">
        <v>0</v>
      </c>
      <c r="AK5" s="227">
        <v>1</v>
      </c>
      <c r="AL5" s="227">
        <f>0.1*$AL$2</f>
        <v>7.5000000000000011E-2</v>
      </c>
      <c r="AM5" s="227">
        <f>AM3</f>
        <v>2.7E-2</v>
      </c>
      <c r="AN5" s="227">
        <f>AN2</f>
        <v>3</v>
      </c>
      <c r="AQ5" s="230">
        <f>AM5*I5*0.1+AL5</f>
        <v>7.5332100000000013E-2</v>
      </c>
      <c r="AR5" s="230">
        <f t="shared" si="4"/>
        <v>7.533210000000002E-3</v>
      </c>
      <c r="AS5" s="231">
        <f t="shared" si="5"/>
        <v>0.25</v>
      </c>
      <c r="AT5" s="231">
        <f t="shared" si="6"/>
        <v>8.3216327500000006E-2</v>
      </c>
      <c r="AU5" s="230">
        <f>10068.2*J5*POWER(10,-6)</f>
        <v>1.2383886E-3</v>
      </c>
      <c r="AV5" s="231">
        <f t="shared" si="3"/>
        <v>0.41732002610000002</v>
      </c>
      <c r="AW5" s="232">
        <f t="shared" si="7"/>
        <v>0</v>
      </c>
      <c r="AX5" s="232">
        <f t="shared" si="8"/>
        <v>4.0000000000000009E-7</v>
      </c>
      <c r="AY5" s="232">
        <f t="shared" si="9"/>
        <v>1.6692801044000003E-7</v>
      </c>
      <c r="AZ5" s="227">
        <v>1</v>
      </c>
      <c r="BA5" s="227">
        <v>1</v>
      </c>
    </row>
    <row r="6" spans="1:53" s="227" customFormat="1" x14ac:dyDescent="0.3">
      <c r="A6" s="218" t="s">
        <v>22</v>
      </c>
      <c r="B6" s="218" t="str">
        <f>B2</f>
        <v>Конденсатор серы Т-409 С</v>
      </c>
      <c r="C6" s="53" t="s">
        <v>244</v>
      </c>
      <c r="D6" s="220" t="s">
        <v>172</v>
      </c>
      <c r="E6" s="233">
        <f>E5</f>
        <v>1.0000000000000001E-5</v>
      </c>
      <c r="F6" s="234">
        <f>F2</f>
        <v>1</v>
      </c>
      <c r="G6" s="218">
        <v>0.16000000000000003</v>
      </c>
      <c r="H6" s="222">
        <f t="shared" si="2"/>
        <v>1.6000000000000004E-6</v>
      </c>
      <c r="I6" s="235">
        <f>0.15*I2</f>
        <v>0.12299999999999998</v>
      </c>
      <c r="J6" s="224">
        <f>J3*0.15</f>
        <v>3.15E-2</v>
      </c>
      <c r="K6" s="236" t="s">
        <v>180</v>
      </c>
      <c r="L6" s="237">
        <v>3</v>
      </c>
      <c r="M6" s="227" t="str">
        <f t="shared" si="0"/>
        <v>С5</v>
      </c>
      <c r="N6" s="227" t="str">
        <f t="shared" si="0"/>
        <v>Конденсатор серы Т-409 С</v>
      </c>
      <c r="O6" s="227" t="str">
        <f t="shared" si="1"/>
        <v>Частичное-токси</v>
      </c>
      <c r="P6" s="227" t="s">
        <v>83</v>
      </c>
      <c r="Q6" s="227" t="s">
        <v>83</v>
      </c>
      <c r="R6" s="227" t="s">
        <v>83</v>
      </c>
      <c r="S6" s="227" t="s">
        <v>83</v>
      </c>
      <c r="T6" s="227" t="s">
        <v>83</v>
      </c>
      <c r="U6" s="227" t="s">
        <v>83</v>
      </c>
      <c r="V6" s="227" t="s">
        <v>83</v>
      </c>
      <c r="W6" s="227" t="s">
        <v>83</v>
      </c>
      <c r="X6" s="227" t="s">
        <v>83</v>
      </c>
      <c r="Y6" s="227" t="s">
        <v>83</v>
      </c>
      <c r="Z6" s="227" t="s">
        <v>83</v>
      </c>
      <c r="AA6" s="227" t="s">
        <v>83</v>
      </c>
      <c r="AB6" s="227" t="s">
        <v>83</v>
      </c>
      <c r="AC6" s="227">
        <v>3.9</v>
      </c>
      <c r="AD6" s="227">
        <v>11.5</v>
      </c>
      <c r="AE6" s="227" t="s">
        <v>83</v>
      </c>
      <c r="AF6" s="227" t="s">
        <v>83</v>
      </c>
      <c r="AG6" s="227" t="s">
        <v>83</v>
      </c>
      <c r="AH6" s="227" t="s">
        <v>83</v>
      </c>
      <c r="AI6" s="227" t="s">
        <v>83</v>
      </c>
      <c r="AJ6" s="227">
        <v>0</v>
      </c>
      <c r="AK6" s="227">
        <v>1</v>
      </c>
      <c r="AL6" s="227">
        <f t="shared" ref="AL6:AL9" si="10">0.1*$AL$2</f>
        <v>7.5000000000000011E-2</v>
      </c>
      <c r="AM6" s="227">
        <f>AM2</f>
        <v>2.7E-2</v>
      </c>
      <c r="AN6" s="227">
        <f>ROUNDUP(AN2/3,0)</f>
        <v>1</v>
      </c>
      <c r="AQ6" s="230">
        <f>AM6*I6+AL6</f>
        <v>7.8321000000000016E-2</v>
      </c>
      <c r="AR6" s="230">
        <f t="shared" si="4"/>
        <v>7.8321000000000016E-3</v>
      </c>
      <c r="AS6" s="231">
        <f t="shared" si="5"/>
        <v>0.25</v>
      </c>
      <c r="AT6" s="231">
        <f t="shared" si="6"/>
        <v>8.4038274999999996E-2</v>
      </c>
      <c r="AU6" s="230">
        <f>1333*J3*POWER(10,-6)*10</f>
        <v>2.7993000000000002E-3</v>
      </c>
      <c r="AV6" s="231">
        <f t="shared" si="3"/>
        <v>0.42299067500000004</v>
      </c>
      <c r="AW6" s="232">
        <f t="shared" si="7"/>
        <v>0</v>
      </c>
      <c r="AX6" s="232">
        <f t="shared" si="8"/>
        <v>1.6000000000000004E-6</v>
      </c>
      <c r="AY6" s="232">
        <f t="shared" si="9"/>
        <v>6.7678508000000022E-7</v>
      </c>
      <c r="AZ6" s="227">
        <v>1</v>
      </c>
      <c r="BA6" s="227">
        <v>1</v>
      </c>
    </row>
    <row r="7" spans="1:53" s="227" customFormat="1" x14ac:dyDescent="0.3">
      <c r="A7" s="218" t="s">
        <v>23</v>
      </c>
      <c r="B7" s="218" t="str">
        <f>B2</f>
        <v>Конденсатор серы Т-409 С</v>
      </c>
      <c r="C7" s="53" t="s">
        <v>215</v>
      </c>
      <c r="D7" s="220" t="s">
        <v>214</v>
      </c>
      <c r="E7" s="233">
        <f>E6</f>
        <v>1.0000000000000001E-5</v>
      </c>
      <c r="F7" s="234">
        <v>1</v>
      </c>
      <c r="G7" s="218">
        <v>4.0000000000000008E-2</v>
      </c>
      <c r="H7" s="222">
        <f t="shared" si="2"/>
        <v>4.0000000000000009E-7</v>
      </c>
      <c r="I7" s="235">
        <f>J3*0.6</f>
        <v>0.126</v>
      </c>
      <c r="J7" s="224">
        <f>I7</f>
        <v>0.126</v>
      </c>
      <c r="K7" s="239" t="s">
        <v>191</v>
      </c>
      <c r="L7" s="240">
        <v>13</v>
      </c>
      <c r="M7" s="227" t="str">
        <f t="shared" si="0"/>
        <v>С6</v>
      </c>
      <c r="N7" s="227" t="str">
        <f t="shared" si="0"/>
        <v>Конденсатор серы Т-409 С</v>
      </c>
      <c r="O7" s="227" t="str">
        <f t="shared" si="1"/>
        <v>Частичное факел</v>
      </c>
      <c r="P7" s="227" t="s">
        <v>83</v>
      </c>
      <c r="Q7" s="227" t="s">
        <v>83</v>
      </c>
      <c r="R7" s="227" t="s">
        <v>83</v>
      </c>
      <c r="S7" s="227" t="s">
        <v>83</v>
      </c>
      <c r="T7" s="227" t="s">
        <v>83</v>
      </c>
      <c r="U7" s="227" t="s">
        <v>83</v>
      </c>
      <c r="V7" s="227" t="s">
        <v>83</v>
      </c>
      <c r="W7" s="227" t="s">
        <v>83</v>
      </c>
      <c r="X7" s="227" t="s">
        <v>83</v>
      </c>
      <c r="Y7" s="227">
        <v>8</v>
      </c>
      <c r="Z7" s="227">
        <v>2</v>
      </c>
      <c r="AA7" s="227" t="s">
        <v>83</v>
      </c>
      <c r="AB7" s="227" t="s">
        <v>83</v>
      </c>
      <c r="AC7" s="227" t="s">
        <v>83</v>
      </c>
      <c r="AD7" s="227" t="s">
        <v>83</v>
      </c>
      <c r="AE7" s="227" t="s">
        <v>83</v>
      </c>
      <c r="AF7" s="227" t="s">
        <v>83</v>
      </c>
      <c r="AG7" s="227" t="s">
        <v>83</v>
      </c>
      <c r="AH7" s="227" t="s">
        <v>83</v>
      </c>
      <c r="AI7" s="227" t="s">
        <v>83</v>
      </c>
      <c r="AJ7" s="227">
        <v>0</v>
      </c>
      <c r="AK7" s="227">
        <v>1</v>
      </c>
      <c r="AL7" s="227">
        <f t="shared" si="10"/>
        <v>7.5000000000000011E-2</v>
      </c>
      <c r="AM7" s="227">
        <f>AM2</f>
        <v>2.7E-2</v>
      </c>
      <c r="AN7" s="227">
        <f>AN6</f>
        <v>1</v>
      </c>
      <c r="AQ7" s="230">
        <f>AM7*I7+AL7</f>
        <v>7.8402000000000013E-2</v>
      </c>
      <c r="AR7" s="230">
        <f t="shared" si="4"/>
        <v>7.840200000000002E-3</v>
      </c>
      <c r="AS7" s="231">
        <f t="shared" si="5"/>
        <v>0.25</v>
      </c>
      <c r="AT7" s="231">
        <f t="shared" si="6"/>
        <v>8.4060550000000012E-2</v>
      </c>
      <c r="AU7" s="230">
        <f>10068.2*J7*POWER(10,-6)</f>
        <v>1.2685932E-3</v>
      </c>
      <c r="AV7" s="231">
        <f t="shared" si="3"/>
        <v>0.42157134320000006</v>
      </c>
      <c r="AW7" s="232">
        <f t="shared" si="7"/>
        <v>0</v>
      </c>
      <c r="AX7" s="232">
        <f t="shared" si="8"/>
        <v>4.0000000000000009E-7</v>
      </c>
      <c r="AY7" s="232">
        <f t="shared" si="9"/>
        <v>1.6862853728000006E-7</v>
      </c>
      <c r="AZ7" s="227">
        <v>1</v>
      </c>
      <c r="BA7" s="227">
        <v>1</v>
      </c>
    </row>
    <row r="8" spans="1:53" s="227" customFormat="1" x14ac:dyDescent="0.3">
      <c r="A8" s="218" t="s">
        <v>210</v>
      </c>
      <c r="B8" s="218" t="str">
        <f>B2</f>
        <v>Конденсатор серы Т-409 С</v>
      </c>
      <c r="C8" s="53" t="s">
        <v>216</v>
      </c>
      <c r="D8" s="220" t="s">
        <v>165</v>
      </c>
      <c r="E8" s="233">
        <f>E6</f>
        <v>1.0000000000000001E-5</v>
      </c>
      <c r="F8" s="234">
        <f>F2</f>
        <v>1</v>
      </c>
      <c r="G8" s="218">
        <v>0.15200000000000002</v>
      </c>
      <c r="H8" s="222">
        <f t="shared" si="2"/>
        <v>1.5200000000000003E-6</v>
      </c>
      <c r="I8" s="235">
        <f>I7</f>
        <v>0.126</v>
      </c>
      <c r="J8" s="224">
        <f>I8</f>
        <v>0.126</v>
      </c>
      <c r="K8" s="236"/>
      <c r="L8" s="237"/>
      <c r="M8" s="227" t="str">
        <f t="shared" si="0"/>
        <v>С7</v>
      </c>
      <c r="N8" s="227" t="str">
        <f t="shared" si="0"/>
        <v>Конденсатор серы Т-409 С</v>
      </c>
      <c r="O8" s="227" t="str">
        <f t="shared" si="1"/>
        <v>Частичное-пожар-вспышка</v>
      </c>
      <c r="P8" s="227" t="s">
        <v>83</v>
      </c>
      <c r="Q8" s="227" t="s">
        <v>83</v>
      </c>
      <c r="R8" s="227" t="s">
        <v>83</v>
      </c>
      <c r="S8" s="227" t="s">
        <v>83</v>
      </c>
      <c r="T8" s="227" t="s">
        <v>83</v>
      </c>
      <c r="U8" s="227" t="s">
        <v>83</v>
      </c>
      <c r="V8" s="227" t="s">
        <v>83</v>
      </c>
      <c r="W8" s="227" t="s">
        <v>83</v>
      </c>
      <c r="X8" s="227" t="s">
        <v>83</v>
      </c>
      <c r="Y8" s="227" t="s">
        <v>83</v>
      </c>
      <c r="Z8" s="227" t="s">
        <v>83</v>
      </c>
      <c r="AA8" s="227">
        <v>16.920000000000002</v>
      </c>
      <c r="AB8" s="227">
        <v>20.3</v>
      </c>
      <c r="AC8" s="227" t="s">
        <v>83</v>
      </c>
      <c r="AD8" s="227" t="s">
        <v>83</v>
      </c>
      <c r="AE8" s="227" t="s">
        <v>83</v>
      </c>
      <c r="AF8" s="227" t="s">
        <v>83</v>
      </c>
      <c r="AG8" s="227" t="s">
        <v>83</v>
      </c>
      <c r="AH8" s="227" t="s">
        <v>83</v>
      </c>
      <c r="AI8" s="227" t="s">
        <v>83</v>
      </c>
      <c r="AJ8" s="227">
        <v>0</v>
      </c>
      <c r="AK8" s="227">
        <v>1</v>
      </c>
      <c r="AL8" s="227">
        <f t="shared" si="10"/>
        <v>7.5000000000000011E-2</v>
      </c>
      <c r="AM8" s="227">
        <f>AM2</f>
        <v>2.7E-2</v>
      </c>
      <c r="AN8" s="227">
        <f>ROUNDUP(AN2/3,0)</f>
        <v>1</v>
      </c>
      <c r="AQ8" s="230">
        <f>AM8*I8+AL8</f>
        <v>7.8402000000000013E-2</v>
      </c>
      <c r="AR8" s="230">
        <f t="shared" si="4"/>
        <v>7.840200000000002E-3</v>
      </c>
      <c r="AS8" s="231">
        <f t="shared" si="5"/>
        <v>0.25</v>
      </c>
      <c r="AT8" s="231">
        <f t="shared" si="6"/>
        <v>8.4060550000000012E-2</v>
      </c>
      <c r="AU8" s="230">
        <f>10068.2*J8*POWER(10,-6)</f>
        <v>1.2685932E-3</v>
      </c>
      <c r="AV8" s="231">
        <f t="shared" si="3"/>
        <v>0.42157134320000006</v>
      </c>
      <c r="AW8" s="232">
        <f t="shared" si="7"/>
        <v>0</v>
      </c>
      <c r="AX8" s="232">
        <f t="shared" si="8"/>
        <v>1.5200000000000003E-6</v>
      </c>
      <c r="AY8" s="232">
        <f t="shared" si="9"/>
        <v>6.4078844166400021E-7</v>
      </c>
      <c r="AZ8" s="227">
        <v>1</v>
      </c>
      <c r="BA8" s="227">
        <v>1</v>
      </c>
    </row>
    <row r="9" spans="1:53" s="227" customFormat="1" ht="15" thickBot="1" x14ac:dyDescent="0.35">
      <c r="A9" s="218" t="s">
        <v>211</v>
      </c>
      <c r="B9" s="218" t="str">
        <f>B2</f>
        <v>Конденсатор серы Т-409 С</v>
      </c>
      <c r="C9" s="53" t="s">
        <v>218</v>
      </c>
      <c r="D9" s="220" t="s">
        <v>172</v>
      </c>
      <c r="E9" s="233">
        <f>E6</f>
        <v>1.0000000000000001E-5</v>
      </c>
      <c r="F9" s="234">
        <f>F2</f>
        <v>1</v>
      </c>
      <c r="G9" s="218">
        <v>0.6080000000000001</v>
      </c>
      <c r="H9" s="222">
        <f t="shared" si="2"/>
        <v>6.0800000000000011E-6</v>
      </c>
      <c r="I9" s="235">
        <f>I7</f>
        <v>0.126</v>
      </c>
      <c r="J9" s="224">
        <f>J7</f>
        <v>0.126</v>
      </c>
      <c r="K9" s="241"/>
      <c r="L9" s="242"/>
      <c r="M9" s="227" t="str">
        <f t="shared" si="0"/>
        <v>С8</v>
      </c>
      <c r="N9" s="227" t="str">
        <f t="shared" si="0"/>
        <v>Конденсатор серы Т-409 С</v>
      </c>
      <c r="O9" s="227" t="str">
        <f t="shared" si="1"/>
        <v>Частичное-токси</v>
      </c>
      <c r="P9" s="227" t="s">
        <v>83</v>
      </c>
      <c r="Q9" s="227" t="s">
        <v>83</v>
      </c>
      <c r="R9" s="227" t="s">
        <v>83</v>
      </c>
      <c r="S9" s="227" t="s">
        <v>83</v>
      </c>
      <c r="T9" s="227" t="s">
        <v>83</v>
      </c>
      <c r="U9" s="227" t="s">
        <v>83</v>
      </c>
      <c r="V9" s="227" t="s">
        <v>83</v>
      </c>
      <c r="W9" s="227" t="s">
        <v>83</v>
      </c>
      <c r="X9" s="227" t="s">
        <v>83</v>
      </c>
      <c r="Y9" s="227" t="s">
        <v>83</v>
      </c>
      <c r="Z9" s="227" t="s">
        <v>83</v>
      </c>
      <c r="AA9" s="227" t="s">
        <v>83</v>
      </c>
      <c r="AB9" s="227" t="s">
        <v>83</v>
      </c>
      <c r="AC9" s="227">
        <v>15.8</v>
      </c>
      <c r="AD9" s="227">
        <v>46</v>
      </c>
      <c r="AE9" s="227" t="s">
        <v>83</v>
      </c>
      <c r="AF9" s="227" t="s">
        <v>83</v>
      </c>
      <c r="AG9" s="227" t="s">
        <v>83</v>
      </c>
      <c r="AH9" s="227" t="s">
        <v>83</v>
      </c>
      <c r="AI9" s="227" t="s">
        <v>83</v>
      </c>
      <c r="AJ9" s="227">
        <v>0</v>
      </c>
      <c r="AK9" s="227">
        <v>0</v>
      </c>
      <c r="AL9" s="227">
        <f t="shared" si="10"/>
        <v>7.5000000000000011E-2</v>
      </c>
      <c r="AM9" s="227">
        <f>AM2</f>
        <v>2.7E-2</v>
      </c>
      <c r="AN9" s="227">
        <f>ROUNDUP(AN2/3,0)</f>
        <v>1</v>
      </c>
      <c r="AQ9" s="230">
        <f>AM9*I9*0.1+AL9</f>
        <v>7.534020000000001E-2</v>
      </c>
      <c r="AR9" s="230">
        <f t="shared" si="4"/>
        <v>7.5340200000000015E-3</v>
      </c>
      <c r="AS9" s="231">
        <f t="shared" si="5"/>
        <v>0</v>
      </c>
      <c r="AT9" s="231">
        <f t="shared" si="6"/>
        <v>2.0718555000000003E-2</v>
      </c>
      <c r="AU9" s="230">
        <f>1333*J7*POWER(10,-6)</f>
        <v>1.6795799999999998E-4</v>
      </c>
      <c r="AV9" s="231">
        <f t="shared" si="3"/>
        <v>0.10376073300000002</v>
      </c>
      <c r="AW9" s="232">
        <f t="shared" si="7"/>
        <v>0</v>
      </c>
      <c r="AX9" s="232">
        <f t="shared" si="8"/>
        <v>0</v>
      </c>
      <c r="AY9" s="232">
        <f t="shared" si="9"/>
        <v>6.3086525664000023E-7</v>
      </c>
      <c r="AZ9" s="227">
        <v>1</v>
      </c>
      <c r="BA9" s="227">
        <v>1</v>
      </c>
    </row>
    <row r="10" spans="1:53" s="227" customFormat="1" x14ac:dyDescent="0.3">
      <c r="A10" s="281" t="s">
        <v>240</v>
      </c>
      <c r="B10" s="281" t="str">
        <f>B2</f>
        <v>Конденсатор серы Т-409 С</v>
      </c>
      <c r="C10" s="281" t="s">
        <v>404</v>
      </c>
      <c r="D10" s="281" t="s">
        <v>405</v>
      </c>
      <c r="E10" s="282">
        <v>2.5000000000000001E-5</v>
      </c>
      <c r="F10" s="281">
        <v>1</v>
      </c>
      <c r="G10" s="281">
        <v>1</v>
      </c>
      <c r="H10" s="222">
        <f t="shared" si="2"/>
        <v>2.5000000000000001E-5</v>
      </c>
      <c r="I10" s="284">
        <f>I2</f>
        <v>0.82</v>
      </c>
      <c r="J10" s="284">
        <f>J2*0.3</f>
        <v>0.24599999999999997</v>
      </c>
      <c r="K10" s="281"/>
      <c r="L10" s="281"/>
      <c r="M10" s="285" t="str">
        <f t="shared" si="0"/>
        <v>С9</v>
      </c>
      <c r="N10" s="227" t="str">
        <f t="shared" si="0"/>
        <v>Конденсатор серы Т-409 С</v>
      </c>
      <c r="O10" s="227" t="str">
        <f t="shared" si="1"/>
        <v>Частичное-шар+пожар</v>
      </c>
      <c r="P10" s="285">
        <v>15.7</v>
      </c>
      <c r="Q10" s="285">
        <v>21.1</v>
      </c>
      <c r="R10" s="285">
        <v>29.3</v>
      </c>
      <c r="S10" s="285">
        <v>53.3</v>
      </c>
      <c r="T10" s="285" t="s">
        <v>83</v>
      </c>
      <c r="U10" s="285" t="s">
        <v>83</v>
      </c>
      <c r="V10" s="285" t="s">
        <v>83</v>
      </c>
      <c r="W10" s="285" t="s">
        <v>83</v>
      </c>
      <c r="X10" s="285" t="s">
        <v>83</v>
      </c>
      <c r="Y10" s="285" t="s">
        <v>83</v>
      </c>
      <c r="Z10" s="285" t="s">
        <v>83</v>
      </c>
      <c r="AA10" s="285" t="s">
        <v>83</v>
      </c>
      <c r="AB10" s="285" t="s">
        <v>83</v>
      </c>
      <c r="AC10" s="285" t="s">
        <v>83</v>
      </c>
      <c r="AD10" s="285" t="s">
        <v>83</v>
      </c>
      <c r="AE10" s="285">
        <v>1</v>
      </c>
      <c r="AF10" s="285">
        <v>14.5</v>
      </c>
      <c r="AG10" s="285">
        <v>24</v>
      </c>
      <c r="AH10" s="285">
        <v>37</v>
      </c>
      <c r="AI10" s="285" t="s">
        <v>83</v>
      </c>
      <c r="AJ10" s="285">
        <v>1</v>
      </c>
      <c r="AK10" s="285">
        <v>2</v>
      </c>
      <c r="AL10" s="285">
        <f>AL2</f>
        <v>0.75</v>
      </c>
      <c r="AM10" s="285">
        <f>AM2</f>
        <v>2.7E-2</v>
      </c>
      <c r="AN10" s="285">
        <v>5</v>
      </c>
      <c r="AO10" s="285"/>
      <c r="AP10" s="285"/>
      <c r="AQ10" s="286">
        <f>AM10*I10+AL10</f>
        <v>0.77214000000000005</v>
      </c>
      <c r="AR10" s="286">
        <f>0.1*AQ10</f>
        <v>7.7214000000000005E-2</v>
      </c>
      <c r="AS10" s="287">
        <f>AJ10*3+0.25*AK10</f>
        <v>3.5</v>
      </c>
      <c r="AT10" s="287">
        <f>SUM(AQ10:AS10)/4</f>
        <v>1.0873385</v>
      </c>
      <c r="AU10" s="286">
        <f>10068.2*J10*POWER(10,-6)</f>
        <v>2.4767772E-3</v>
      </c>
      <c r="AV10" s="287">
        <f t="shared" si="3"/>
        <v>5.4391692771999995</v>
      </c>
      <c r="AW10" s="288">
        <f>AJ10*H10</f>
        <v>2.5000000000000001E-5</v>
      </c>
      <c r="AX10" s="288">
        <f>H10*AK10</f>
        <v>5.0000000000000002E-5</v>
      </c>
      <c r="AY10" s="288">
        <f t="shared" si="9"/>
        <v>1.3597923192999999E-4</v>
      </c>
      <c r="AZ10" s="227">
        <v>1</v>
      </c>
      <c r="BA10" s="227">
        <v>1</v>
      </c>
    </row>
    <row r="11" spans="1:53" ht="15" thickBot="1" x14ac:dyDescent="0.35"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Z11" s="227">
        <v>1</v>
      </c>
      <c r="BA11" s="227">
        <v>1</v>
      </c>
    </row>
    <row r="12" spans="1:53" s="227" customFormat="1" ht="18" customHeight="1" x14ac:dyDescent="0.3">
      <c r="A12" s="218" t="s">
        <v>18</v>
      </c>
      <c r="B12" s="219" t="s">
        <v>416</v>
      </c>
      <c r="C12" s="53" t="s">
        <v>196</v>
      </c>
      <c r="D12" s="220" t="s">
        <v>59</v>
      </c>
      <c r="E12" s="221">
        <v>9.9999999999999995E-7</v>
      </c>
      <c r="F12" s="219">
        <v>1</v>
      </c>
      <c r="G12" s="218">
        <v>0.05</v>
      </c>
      <c r="H12" s="222">
        <f t="shared" ref="H12:H20" si="11">E12*F12*G12*AZ12*BA12</f>
        <v>4.9999999999999998E-8</v>
      </c>
      <c r="I12" s="223">
        <v>19.600000000000001</v>
      </c>
      <c r="J12" s="224">
        <f>I12</f>
        <v>19.600000000000001</v>
      </c>
      <c r="K12" s="225" t="s">
        <v>175</v>
      </c>
      <c r="L12" s="226">
        <v>369</v>
      </c>
      <c r="M12" s="227" t="str">
        <f t="shared" ref="M12:N20" si="12">A12</f>
        <v>С1</v>
      </c>
      <c r="N12" s="227" t="str">
        <f t="shared" si="12"/>
        <v>Конденсатор серы Т-409 А</v>
      </c>
      <c r="O12" s="227" t="str">
        <f t="shared" ref="O12:O20" si="13">D12</f>
        <v>Полное-пожар</v>
      </c>
      <c r="P12" s="227">
        <v>17.600000000000001</v>
      </c>
      <c r="Q12" s="227">
        <v>24.3</v>
      </c>
      <c r="R12" s="227">
        <v>34.5</v>
      </c>
      <c r="S12" s="227">
        <v>64</v>
      </c>
      <c r="T12" s="227" t="s">
        <v>83</v>
      </c>
      <c r="U12" s="227" t="s">
        <v>83</v>
      </c>
      <c r="V12" s="227" t="s">
        <v>83</v>
      </c>
      <c r="W12" s="227" t="s">
        <v>83</v>
      </c>
      <c r="X12" s="227" t="s">
        <v>83</v>
      </c>
      <c r="Y12" s="227" t="s">
        <v>83</v>
      </c>
      <c r="Z12" s="227" t="s">
        <v>83</v>
      </c>
      <c r="AA12" s="227" t="s">
        <v>83</v>
      </c>
      <c r="AB12" s="227" t="s">
        <v>83</v>
      </c>
      <c r="AC12" s="227" t="s">
        <v>83</v>
      </c>
      <c r="AD12" s="227" t="s">
        <v>83</v>
      </c>
      <c r="AE12" s="227" t="s">
        <v>83</v>
      </c>
      <c r="AF12" s="227" t="s">
        <v>83</v>
      </c>
      <c r="AG12" s="227" t="s">
        <v>83</v>
      </c>
      <c r="AH12" s="227" t="s">
        <v>83</v>
      </c>
      <c r="AI12" s="227" t="s">
        <v>83</v>
      </c>
      <c r="AJ12" s="228">
        <v>1</v>
      </c>
      <c r="AK12" s="228">
        <v>2</v>
      </c>
      <c r="AL12" s="229">
        <v>0.96</v>
      </c>
      <c r="AM12" s="229">
        <v>2.7E-2</v>
      </c>
      <c r="AN12" s="229">
        <v>3</v>
      </c>
      <c r="AQ12" s="230">
        <f>AM12*I12+AL12</f>
        <v>1.4891999999999999</v>
      </c>
      <c r="AR12" s="230">
        <f>0.1*AQ12</f>
        <v>0.14892</v>
      </c>
      <c r="AS12" s="231">
        <f>AJ12*3+0.25*AK12</f>
        <v>3.5</v>
      </c>
      <c r="AT12" s="231">
        <f>SUM(AQ12:AS12)/4</f>
        <v>1.2845299999999999</v>
      </c>
      <c r="AU12" s="230">
        <f>10068.2*J12*POWER(10,-6)</f>
        <v>0.19733672000000002</v>
      </c>
      <c r="AV12" s="231">
        <f t="shared" ref="AV12:AV20" si="14">AU12+AT12+AS12+AR12+AQ12</f>
        <v>6.61998672</v>
      </c>
      <c r="AW12" s="232">
        <f>AJ12*H12</f>
        <v>4.9999999999999998E-8</v>
      </c>
      <c r="AX12" s="232">
        <f>H12*AK12</f>
        <v>9.9999999999999995E-8</v>
      </c>
      <c r="AY12" s="232">
        <f t="shared" ref="AY12:AY20" si="15">H12*AV12</f>
        <v>3.3099933599999996E-7</v>
      </c>
      <c r="AZ12" s="227">
        <v>1</v>
      </c>
      <c r="BA12" s="227">
        <v>1</v>
      </c>
    </row>
    <row r="13" spans="1:53" s="305" customFormat="1" x14ac:dyDescent="0.3">
      <c r="A13" s="295" t="s">
        <v>19</v>
      </c>
      <c r="B13" s="295" t="str">
        <f>B12</f>
        <v>Конденсатор серы Т-409 А</v>
      </c>
      <c r="C13" s="296" t="s">
        <v>202</v>
      </c>
      <c r="D13" s="297" t="s">
        <v>62</v>
      </c>
      <c r="E13" s="298">
        <f>E12</f>
        <v>9.9999999999999995E-7</v>
      </c>
      <c r="F13" s="299">
        <f>F12</f>
        <v>1</v>
      </c>
      <c r="G13" s="295">
        <v>0.19</v>
      </c>
      <c r="H13" s="300">
        <f t="shared" si="11"/>
        <v>1.8999999999999998E-7</v>
      </c>
      <c r="I13" s="301">
        <f>I12</f>
        <v>19.600000000000001</v>
      </c>
      <c r="J13" s="302">
        <v>0.53</v>
      </c>
      <c r="K13" s="303" t="s">
        <v>176</v>
      </c>
      <c r="L13" s="304">
        <v>1</v>
      </c>
      <c r="M13" s="305" t="str">
        <f t="shared" si="12"/>
        <v>С2</v>
      </c>
      <c r="N13" s="305" t="str">
        <f t="shared" si="12"/>
        <v>Конденсатор серы Т-409 А</v>
      </c>
      <c r="O13" s="305" t="str">
        <f t="shared" si="13"/>
        <v>Полное-взрыв</v>
      </c>
      <c r="P13" s="305" t="s">
        <v>83</v>
      </c>
      <c r="Q13" s="305" t="s">
        <v>83</v>
      </c>
      <c r="R13" s="305" t="s">
        <v>83</v>
      </c>
      <c r="S13" s="305" t="s">
        <v>83</v>
      </c>
      <c r="T13" s="305">
        <v>0</v>
      </c>
      <c r="U13" s="305">
        <v>51.6</v>
      </c>
      <c r="V13" s="305">
        <v>124.1</v>
      </c>
      <c r="W13" s="305">
        <v>375.1</v>
      </c>
      <c r="X13" s="305">
        <v>956.6</v>
      </c>
      <c r="Y13" s="305" t="s">
        <v>83</v>
      </c>
      <c r="Z13" s="305" t="s">
        <v>83</v>
      </c>
      <c r="AA13" s="305" t="s">
        <v>83</v>
      </c>
      <c r="AB13" s="305" t="s">
        <v>83</v>
      </c>
      <c r="AC13" s="305" t="s">
        <v>83</v>
      </c>
      <c r="AD13" s="305" t="s">
        <v>83</v>
      </c>
      <c r="AE13" s="305" t="s">
        <v>83</v>
      </c>
      <c r="AF13" s="305" t="s">
        <v>83</v>
      </c>
      <c r="AG13" s="305" t="s">
        <v>83</v>
      </c>
      <c r="AH13" s="305" t="s">
        <v>83</v>
      </c>
      <c r="AI13" s="305" t="s">
        <v>83</v>
      </c>
      <c r="AJ13" s="306">
        <v>3</v>
      </c>
      <c r="AK13" s="306">
        <v>4</v>
      </c>
      <c r="AL13" s="305">
        <f>AL12</f>
        <v>0.96</v>
      </c>
      <c r="AM13" s="305">
        <f>AM12</f>
        <v>2.7E-2</v>
      </c>
      <c r="AN13" s="305">
        <f>AN12</f>
        <v>3</v>
      </c>
      <c r="AQ13" s="307">
        <f>AM13*I13+AL13</f>
        <v>1.4891999999999999</v>
      </c>
      <c r="AR13" s="307">
        <f t="shared" ref="AR13:AR19" si="16">0.1*AQ13</f>
        <v>0.14892</v>
      </c>
      <c r="AS13" s="308">
        <f t="shared" ref="AS13:AS19" si="17">AJ13*3+0.25*AK13</f>
        <v>10</v>
      </c>
      <c r="AT13" s="308">
        <f t="shared" ref="AT13:AT19" si="18">SUM(AQ13:AS13)/4</f>
        <v>2.9095300000000002</v>
      </c>
      <c r="AU13" s="307">
        <f>10068.2*J13*POWER(10,-6)*10</f>
        <v>5.3361460000000006E-2</v>
      </c>
      <c r="AV13" s="308">
        <f t="shared" si="14"/>
        <v>14.60101146</v>
      </c>
      <c r="AW13" s="309">
        <f t="shared" ref="AW13:AW19" si="19">AJ13*H13</f>
        <v>5.6999999999999994E-7</v>
      </c>
      <c r="AX13" s="309">
        <f t="shared" ref="AX13:AX19" si="20">H13*AK13</f>
        <v>7.5999999999999992E-7</v>
      </c>
      <c r="AY13" s="309">
        <f t="shared" si="15"/>
        <v>2.7741921773999998E-6</v>
      </c>
      <c r="AZ13" s="305">
        <v>1</v>
      </c>
      <c r="BA13" s="305">
        <v>1</v>
      </c>
    </row>
    <row r="14" spans="1:53" s="227" customFormat="1" x14ac:dyDescent="0.3">
      <c r="A14" s="218" t="s">
        <v>20</v>
      </c>
      <c r="B14" s="218" t="str">
        <f>B12</f>
        <v>Конденсатор серы Т-409 А</v>
      </c>
      <c r="C14" s="53" t="s">
        <v>243</v>
      </c>
      <c r="D14" s="220" t="s">
        <v>171</v>
      </c>
      <c r="E14" s="233">
        <f>E12</f>
        <v>9.9999999999999995E-7</v>
      </c>
      <c r="F14" s="234">
        <f>F12</f>
        <v>1</v>
      </c>
      <c r="G14" s="218">
        <v>0.76</v>
      </c>
      <c r="H14" s="222">
        <f t="shared" si="11"/>
        <v>7.5999999999999992E-7</v>
      </c>
      <c r="I14" s="235">
        <f>I12</f>
        <v>19.600000000000001</v>
      </c>
      <c r="J14" s="224">
        <f>J13</f>
        <v>0.53</v>
      </c>
      <c r="K14" s="236" t="s">
        <v>177</v>
      </c>
      <c r="L14" s="237">
        <v>5</v>
      </c>
      <c r="M14" s="227" t="str">
        <f t="shared" si="12"/>
        <v>С3</v>
      </c>
      <c r="N14" s="227" t="str">
        <f t="shared" si="12"/>
        <v>Конденсатор серы Т-409 А</v>
      </c>
      <c r="O14" s="227" t="str">
        <f t="shared" si="13"/>
        <v>Полное-токси</v>
      </c>
      <c r="P14" s="227" t="s">
        <v>83</v>
      </c>
      <c r="Q14" s="227" t="s">
        <v>83</v>
      </c>
      <c r="R14" s="227" t="s">
        <v>83</v>
      </c>
      <c r="S14" s="227" t="s">
        <v>83</v>
      </c>
      <c r="T14" s="227" t="s">
        <v>83</v>
      </c>
      <c r="U14" s="227" t="s">
        <v>83</v>
      </c>
      <c r="V14" s="227" t="s">
        <v>83</v>
      </c>
      <c r="W14" s="227" t="s">
        <v>83</v>
      </c>
      <c r="X14" s="227" t="s">
        <v>83</v>
      </c>
      <c r="Y14" s="227" t="s">
        <v>83</v>
      </c>
      <c r="Z14" s="227" t="s">
        <v>83</v>
      </c>
      <c r="AA14" s="227" t="s">
        <v>83</v>
      </c>
      <c r="AB14" s="227" t="s">
        <v>83</v>
      </c>
      <c r="AC14" s="227">
        <v>66.2</v>
      </c>
      <c r="AD14" s="227">
        <v>193.5</v>
      </c>
      <c r="AE14" s="227" t="s">
        <v>83</v>
      </c>
      <c r="AF14" s="227" t="s">
        <v>83</v>
      </c>
      <c r="AG14" s="227" t="s">
        <v>83</v>
      </c>
      <c r="AH14" s="227" t="s">
        <v>83</v>
      </c>
      <c r="AI14" s="227" t="s">
        <v>83</v>
      </c>
      <c r="AJ14" s="227">
        <v>0</v>
      </c>
      <c r="AK14" s="227">
        <v>0</v>
      </c>
      <c r="AL14" s="227">
        <f>AL12</f>
        <v>0.96</v>
      </c>
      <c r="AM14" s="227">
        <f>AM12</f>
        <v>2.7E-2</v>
      </c>
      <c r="AN14" s="227">
        <f>AN12</f>
        <v>3</v>
      </c>
      <c r="AQ14" s="230">
        <f>AM14*I14*0.1+AL14</f>
        <v>1.01292</v>
      </c>
      <c r="AR14" s="230">
        <f t="shared" si="16"/>
        <v>0.10129200000000001</v>
      </c>
      <c r="AS14" s="231">
        <f t="shared" si="17"/>
        <v>0</v>
      </c>
      <c r="AT14" s="231">
        <f t="shared" si="18"/>
        <v>0.278553</v>
      </c>
      <c r="AU14" s="230">
        <f>1333*J12*POWER(10,-6)</f>
        <v>2.6126800000000002E-2</v>
      </c>
      <c r="AV14" s="231">
        <f t="shared" si="14"/>
        <v>1.4188917999999999</v>
      </c>
      <c r="AW14" s="232">
        <f t="shared" si="19"/>
        <v>0</v>
      </c>
      <c r="AX14" s="232">
        <f t="shared" si="20"/>
        <v>0</v>
      </c>
      <c r="AY14" s="232">
        <f t="shared" si="15"/>
        <v>1.0783577679999998E-6</v>
      </c>
      <c r="AZ14" s="227">
        <v>1</v>
      </c>
      <c r="BA14" s="227">
        <v>1</v>
      </c>
    </row>
    <row r="15" spans="1:53" s="227" customFormat="1" x14ac:dyDescent="0.3">
      <c r="A15" s="218" t="s">
        <v>21</v>
      </c>
      <c r="B15" s="218" t="str">
        <f>B12</f>
        <v>Конденсатор серы Т-409 А</v>
      </c>
      <c r="C15" s="53" t="s">
        <v>213</v>
      </c>
      <c r="D15" s="220" t="s">
        <v>214</v>
      </c>
      <c r="E15" s="221">
        <v>1.0000000000000001E-5</v>
      </c>
      <c r="F15" s="234">
        <f>F12</f>
        <v>1</v>
      </c>
      <c r="G15" s="218">
        <v>4.0000000000000008E-2</v>
      </c>
      <c r="H15" s="222">
        <f t="shared" si="11"/>
        <v>4.0000000000000009E-7</v>
      </c>
      <c r="I15" s="235">
        <f>0.15*I12</f>
        <v>2.94</v>
      </c>
      <c r="J15" s="224">
        <f>I15</f>
        <v>2.94</v>
      </c>
      <c r="K15" s="236" t="s">
        <v>179</v>
      </c>
      <c r="L15" s="237">
        <v>45390</v>
      </c>
      <c r="M15" s="227" t="str">
        <f t="shared" si="12"/>
        <v>С4</v>
      </c>
      <c r="N15" s="227" t="str">
        <f t="shared" si="12"/>
        <v>Конденсатор серы Т-409 А</v>
      </c>
      <c r="O15" s="227" t="str">
        <f t="shared" si="13"/>
        <v>Частичное факел</v>
      </c>
      <c r="P15" s="227" t="s">
        <v>83</v>
      </c>
      <c r="Q15" s="227" t="s">
        <v>83</v>
      </c>
      <c r="R15" s="227" t="s">
        <v>83</v>
      </c>
      <c r="S15" s="227" t="s">
        <v>83</v>
      </c>
      <c r="T15" s="227" t="s">
        <v>83</v>
      </c>
      <c r="U15" s="227" t="s">
        <v>83</v>
      </c>
      <c r="V15" s="227" t="s">
        <v>83</v>
      </c>
      <c r="W15" s="227" t="s">
        <v>83</v>
      </c>
      <c r="X15" s="227" t="s">
        <v>83</v>
      </c>
      <c r="Y15" s="227">
        <v>28</v>
      </c>
      <c r="Z15" s="227">
        <v>5</v>
      </c>
      <c r="AA15" s="227" t="s">
        <v>83</v>
      </c>
      <c r="AB15" s="227" t="s">
        <v>83</v>
      </c>
      <c r="AC15" s="227" t="s">
        <v>83</v>
      </c>
      <c r="AD15" s="227" t="s">
        <v>83</v>
      </c>
      <c r="AE15" s="227" t="s">
        <v>83</v>
      </c>
      <c r="AF15" s="227" t="s">
        <v>83</v>
      </c>
      <c r="AG15" s="227" t="s">
        <v>83</v>
      </c>
      <c r="AH15" s="227" t="s">
        <v>83</v>
      </c>
      <c r="AI15" s="227" t="s">
        <v>83</v>
      </c>
      <c r="AJ15" s="227">
        <v>0</v>
      </c>
      <c r="AK15" s="227">
        <v>1</v>
      </c>
      <c r="AL15" s="227">
        <f>0.1*$AL$2</f>
        <v>7.5000000000000011E-2</v>
      </c>
      <c r="AM15" s="227">
        <f>AM13</f>
        <v>2.7E-2</v>
      </c>
      <c r="AN15" s="227">
        <f>AN12</f>
        <v>3</v>
      </c>
      <c r="AQ15" s="230">
        <f>AM15*I15*0.1+AL15</f>
        <v>8.2938000000000012E-2</v>
      </c>
      <c r="AR15" s="230">
        <f t="shared" si="16"/>
        <v>8.2938000000000022E-3</v>
      </c>
      <c r="AS15" s="231">
        <f t="shared" si="17"/>
        <v>0.25</v>
      </c>
      <c r="AT15" s="231">
        <f t="shared" si="18"/>
        <v>8.5307950000000007E-2</v>
      </c>
      <c r="AU15" s="230">
        <f>10068.2*J15*POWER(10,-6)</f>
        <v>2.9600508000000001E-2</v>
      </c>
      <c r="AV15" s="231">
        <f t="shared" si="14"/>
        <v>0.45614025800000002</v>
      </c>
      <c r="AW15" s="232">
        <f t="shared" si="19"/>
        <v>0</v>
      </c>
      <c r="AX15" s="232">
        <f t="shared" si="20"/>
        <v>4.0000000000000009E-7</v>
      </c>
      <c r="AY15" s="232">
        <f t="shared" si="15"/>
        <v>1.8245610320000005E-7</v>
      </c>
      <c r="AZ15" s="227">
        <v>1</v>
      </c>
      <c r="BA15" s="227">
        <v>1</v>
      </c>
    </row>
    <row r="16" spans="1:53" s="227" customFormat="1" x14ac:dyDescent="0.3">
      <c r="A16" s="218" t="s">
        <v>22</v>
      </c>
      <c r="B16" s="218" t="str">
        <f>B12</f>
        <v>Конденсатор серы Т-409 А</v>
      </c>
      <c r="C16" s="53" t="s">
        <v>244</v>
      </c>
      <c r="D16" s="220" t="s">
        <v>172</v>
      </c>
      <c r="E16" s="233">
        <f>E15</f>
        <v>1.0000000000000001E-5</v>
      </c>
      <c r="F16" s="234">
        <f>F12</f>
        <v>1</v>
      </c>
      <c r="G16" s="218">
        <v>0.16000000000000003</v>
      </c>
      <c r="H16" s="222">
        <f t="shared" si="11"/>
        <v>1.6000000000000004E-6</v>
      </c>
      <c r="I16" s="235">
        <f>0.15*I12</f>
        <v>2.94</v>
      </c>
      <c r="J16" s="224">
        <f>J13*0.15</f>
        <v>7.9500000000000001E-2</v>
      </c>
      <c r="K16" s="236" t="s">
        <v>180</v>
      </c>
      <c r="L16" s="237">
        <v>3</v>
      </c>
      <c r="M16" s="227" t="str">
        <f t="shared" si="12"/>
        <v>С5</v>
      </c>
      <c r="N16" s="227" t="str">
        <f t="shared" si="12"/>
        <v>Конденсатор серы Т-409 А</v>
      </c>
      <c r="O16" s="227" t="str">
        <f t="shared" si="13"/>
        <v>Частичное-токси</v>
      </c>
      <c r="P16" s="227" t="s">
        <v>83</v>
      </c>
      <c r="Q16" s="227" t="s">
        <v>83</v>
      </c>
      <c r="R16" s="227" t="s">
        <v>83</v>
      </c>
      <c r="S16" s="227" t="s">
        <v>83</v>
      </c>
      <c r="T16" s="227" t="s">
        <v>83</v>
      </c>
      <c r="U16" s="227" t="s">
        <v>83</v>
      </c>
      <c r="V16" s="227" t="s">
        <v>83</v>
      </c>
      <c r="W16" s="227" t="s">
        <v>83</v>
      </c>
      <c r="X16" s="227" t="s">
        <v>83</v>
      </c>
      <c r="Y16" s="227" t="s">
        <v>83</v>
      </c>
      <c r="Z16" s="227" t="s">
        <v>83</v>
      </c>
      <c r="AA16" s="227" t="s">
        <v>83</v>
      </c>
      <c r="AB16" s="227" t="s">
        <v>83</v>
      </c>
      <c r="AC16" s="227">
        <v>9.9</v>
      </c>
      <c r="AD16" s="227">
        <v>29</v>
      </c>
      <c r="AE16" s="227" t="s">
        <v>83</v>
      </c>
      <c r="AF16" s="227" t="s">
        <v>83</v>
      </c>
      <c r="AG16" s="227" t="s">
        <v>83</v>
      </c>
      <c r="AH16" s="227" t="s">
        <v>83</v>
      </c>
      <c r="AI16" s="227" t="s">
        <v>83</v>
      </c>
      <c r="AJ16" s="227">
        <v>0</v>
      </c>
      <c r="AK16" s="227">
        <v>1</v>
      </c>
      <c r="AL16" s="227">
        <f t="shared" ref="AL16:AL19" si="21">0.1*$AL$2</f>
        <v>7.5000000000000011E-2</v>
      </c>
      <c r="AM16" s="227">
        <f>AM12</f>
        <v>2.7E-2</v>
      </c>
      <c r="AN16" s="227">
        <f>ROUNDUP(AN12/3,0)</f>
        <v>1</v>
      </c>
      <c r="AQ16" s="230">
        <f>AM16*I16+AL16</f>
        <v>0.15438000000000002</v>
      </c>
      <c r="AR16" s="230">
        <f t="shared" si="16"/>
        <v>1.5438000000000002E-2</v>
      </c>
      <c r="AS16" s="231">
        <f t="shared" si="17"/>
        <v>0.25</v>
      </c>
      <c r="AT16" s="231">
        <f t="shared" si="18"/>
        <v>0.10495450000000001</v>
      </c>
      <c r="AU16" s="230">
        <f>1333*J13*POWER(10,-6)*10</f>
        <v>7.064899999999999E-3</v>
      </c>
      <c r="AV16" s="231">
        <f t="shared" si="14"/>
        <v>0.53183740000000002</v>
      </c>
      <c r="AW16" s="232">
        <f t="shared" si="19"/>
        <v>0</v>
      </c>
      <c r="AX16" s="232">
        <f t="shared" si="20"/>
        <v>1.6000000000000004E-6</v>
      </c>
      <c r="AY16" s="232">
        <f t="shared" si="15"/>
        <v>8.5093984000000018E-7</v>
      </c>
      <c r="AZ16" s="227">
        <v>1</v>
      </c>
      <c r="BA16" s="227">
        <v>1</v>
      </c>
    </row>
    <row r="17" spans="1:53" s="227" customFormat="1" x14ac:dyDescent="0.3">
      <c r="A17" s="218" t="s">
        <v>23</v>
      </c>
      <c r="B17" s="218" t="str">
        <f>B12</f>
        <v>Конденсатор серы Т-409 А</v>
      </c>
      <c r="C17" s="53" t="s">
        <v>215</v>
      </c>
      <c r="D17" s="220" t="s">
        <v>214</v>
      </c>
      <c r="E17" s="233">
        <f>E16</f>
        <v>1.0000000000000001E-5</v>
      </c>
      <c r="F17" s="234">
        <v>1</v>
      </c>
      <c r="G17" s="218">
        <v>4.0000000000000008E-2</v>
      </c>
      <c r="H17" s="222">
        <f t="shared" si="11"/>
        <v>4.0000000000000009E-7</v>
      </c>
      <c r="I17" s="235">
        <f>J13*0.6</f>
        <v>0.318</v>
      </c>
      <c r="J17" s="224">
        <f>I17</f>
        <v>0.318</v>
      </c>
      <c r="K17" s="239" t="s">
        <v>191</v>
      </c>
      <c r="L17" s="240">
        <v>13</v>
      </c>
      <c r="M17" s="227" t="str">
        <f t="shared" si="12"/>
        <v>С6</v>
      </c>
      <c r="N17" s="227" t="str">
        <f t="shared" si="12"/>
        <v>Конденсатор серы Т-409 А</v>
      </c>
      <c r="O17" s="227" t="str">
        <f t="shared" si="13"/>
        <v>Частичное факел</v>
      </c>
      <c r="P17" s="227" t="s">
        <v>83</v>
      </c>
      <c r="Q17" s="227" t="s">
        <v>83</v>
      </c>
      <c r="R17" s="227" t="s">
        <v>83</v>
      </c>
      <c r="S17" s="227" t="s">
        <v>83</v>
      </c>
      <c r="T17" s="227" t="s">
        <v>83</v>
      </c>
      <c r="U17" s="227" t="s">
        <v>83</v>
      </c>
      <c r="V17" s="227" t="s">
        <v>83</v>
      </c>
      <c r="W17" s="227" t="s">
        <v>83</v>
      </c>
      <c r="X17" s="227" t="s">
        <v>83</v>
      </c>
      <c r="Y17" s="227">
        <v>8</v>
      </c>
      <c r="Z17" s="227">
        <v>2</v>
      </c>
      <c r="AA17" s="227" t="s">
        <v>83</v>
      </c>
      <c r="AB17" s="227" t="s">
        <v>83</v>
      </c>
      <c r="AC17" s="227" t="s">
        <v>83</v>
      </c>
      <c r="AD17" s="227" t="s">
        <v>83</v>
      </c>
      <c r="AE17" s="227" t="s">
        <v>83</v>
      </c>
      <c r="AF17" s="227" t="s">
        <v>83</v>
      </c>
      <c r="AG17" s="227" t="s">
        <v>83</v>
      </c>
      <c r="AH17" s="227" t="s">
        <v>83</v>
      </c>
      <c r="AI17" s="227" t="s">
        <v>83</v>
      </c>
      <c r="AJ17" s="227">
        <v>0</v>
      </c>
      <c r="AK17" s="227">
        <v>1</v>
      </c>
      <c r="AL17" s="227">
        <f t="shared" si="21"/>
        <v>7.5000000000000011E-2</v>
      </c>
      <c r="AM17" s="227">
        <f>AM12</f>
        <v>2.7E-2</v>
      </c>
      <c r="AN17" s="227">
        <f>AN16</f>
        <v>1</v>
      </c>
      <c r="AQ17" s="230">
        <f>AM17*I17+AL17</f>
        <v>8.3586000000000008E-2</v>
      </c>
      <c r="AR17" s="230">
        <f t="shared" si="16"/>
        <v>8.3586000000000008E-3</v>
      </c>
      <c r="AS17" s="231">
        <f t="shared" si="17"/>
        <v>0.25</v>
      </c>
      <c r="AT17" s="231">
        <f t="shared" si="18"/>
        <v>8.5486150000000011E-2</v>
      </c>
      <c r="AU17" s="230">
        <f>10068.2*J17*POWER(10,-6)</f>
        <v>3.2016876000000001E-3</v>
      </c>
      <c r="AV17" s="231">
        <f t="shared" si="14"/>
        <v>0.43063243759999997</v>
      </c>
      <c r="AW17" s="232">
        <f t="shared" si="19"/>
        <v>0</v>
      </c>
      <c r="AX17" s="232">
        <f t="shared" si="20"/>
        <v>4.0000000000000009E-7</v>
      </c>
      <c r="AY17" s="232">
        <f t="shared" si="15"/>
        <v>1.7225297504000004E-7</v>
      </c>
      <c r="AZ17" s="227">
        <v>1</v>
      </c>
      <c r="BA17" s="227">
        <v>1</v>
      </c>
    </row>
    <row r="18" spans="1:53" s="227" customFormat="1" x14ac:dyDescent="0.3">
      <c r="A18" s="218" t="s">
        <v>210</v>
      </c>
      <c r="B18" s="218" t="str">
        <f>B12</f>
        <v>Конденсатор серы Т-409 А</v>
      </c>
      <c r="C18" s="53" t="s">
        <v>216</v>
      </c>
      <c r="D18" s="220" t="s">
        <v>165</v>
      </c>
      <c r="E18" s="233">
        <f>E16</f>
        <v>1.0000000000000001E-5</v>
      </c>
      <c r="F18" s="234">
        <f>F12</f>
        <v>1</v>
      </c>
      <c r="G18" s="218">
        <v>0.15200000000000002</v>
      </c>
      <c r="H18" s="222">
        <f t="shared" si="11"/>
        <v>1.5200000000000003E-6</v>
      </c>
      <c r="I18" s="235">
        <f>I17</f>
        <v>0.318</v>
      </c>
      <c r="J18" s="224">
        <f>I18</f>
        <v>0.318</v>
      </c>
      <c r="K18" s="236"/>
      <c r="L18" s="237"/>
      <c r="M18" s="227" t="str">
        <f t="shared" si="12"/>
        <v>С7</v>
      </c>
      <c r="N18" s="227" t="str">
        <f t="shared" si="12"/>
        <v>Конденсатор серы Т-409 А</v>
      </c>
      <c r="O18" s="227" t="str">
        <f t="shared" si="13"/>
        <v>Частичное-пожар-вспышка</v>
      </c>
      <c r="P18" s="227" t="s">
        <v>83</v>
      </c>
      <c r="Q18" s="227" t="s">
        <v>83</v>
      </c>
      <c r="R18" s="227" t="s">
        <v>83</v>
      </c>
      <c r="S18" s="227" t="s">
        <v>83</v>
      </c>
      <c r="T18" s="227" t="s">
        <v>83</v>
      </c>
      <c r="U18" s="227" t="s">
        <v>83</v>
      </c>
      <c r="V18" s="227" t="s">
        <v>83</v>
      </c>
      <c r="W18" s="227" t="s">
        <v>83</v>
      </c>
      <c r="X18" s="227" t="s">
        <v>83</v>
      </c>
      <c r="Y18" s="227" t="s">
        <v>83</v>
      </c>
      <c r="Z18" s="227" t="s">
        <v>83</v>
      </c>
      <c r="AA18" s="227">
        <v>22.97</v>
      </c>
      <c r="AB18" s="227">
        <v>27.56</v>
      </c>
      <c r="AC18" s="227" t="s">
        <v>83</v>
      </c>
      <c r="AD18" s="227" t="s">
        <v>83</v>
      </c>
      <c r="AE18" s="227" t="s">
        <v>83</v>
      </c>
      <c r="AF18" s="227" t="s">
        <v>83</v>
      </c>
      <c r="AG18" s="227" t="s">
        <v>83</v>
      </c>
      <c r="AH18" s="227" t="s">
        <v>83</v>
      </c>
      <c r="AI18" s="227" t="s">
        <v>83</v>
      </c>
      <c r="AJ18" s="227">
        <v>0</v>
      </c>
      <c r="AK18" s="227">
        <v>1</v>
      </c>
      <c r="AL18" s="227">
        <f t="shared" si="21"/>
        <v>7.5000000000000011E-2</v>
      </c>
      <c r="AM18" s="227">
        <f>AM12</f>
        <v>2.7E-2</v>
      </c>
      <c r="AN18" s="227">
        <f>ROUNDUP(AN12/3,0)</f>
        <v>1</v>
      </c>
      <c r="AQ18" s="230">
        <f>AM18*I18+AL18</f>
        <v>8.3586000000000008E-2</v>
      </c>
      <c r="AR18" s="230">
        <f t="shared" si="16"/>
        <v>8.3586000000000008E-3</v>
      </c>
      <c r="AS18" s="231">
        <f t="shared" si="17"/>
        <v>0.25</v>
      </c>
      <c r="AT18" s="231">
        <f t="shared" si="18"/>
        <v>8.5486150000000011E-2</v>
      </c>
      <c r="AU18" s="230">
        <f>10068.2*J18*POWER(10,-6)</f>
        <v>3.2016876000000001E-3</v>
      </c>
      <c r="AV18" s="231">
        <f t="shared" si="14"/>
        <v>0.43063243759999997</v>
      </c>
      <c r="AW18" s="232">
        <f t="shared" si="19"/>
        <v>0</v>
      </c>
      <c r="AX18" s="232">
        <f t="shared" si="20"/>
        <v>1.5200000000000003E-6</v>
      </c>
      <c r="AY18" s="232">
        <f t="shared" si="15"/>
        <v>6.5456130515200004E-7</v>
      </c>
      <c r="AZ18" s="227">
        <v>1</v>
      </c>
      <c r="BA18" s="227">
        <v>1</v>
      </c>
    </row>
    <row r="19" spans="1:53" s="227" customFormat="1" ht="15" thickBot="1" x14ac:dyDescent="0.35">
      <c r="A19" s="218" t="s">
        <v>211</v>
      </c>
      <c r="B19" s="218" t="str">
        <f>B12</f>
        <v>Конденсатор серы Т-409 А</v>
      </c>
      <c r="C19" s="53" t="s">
        <v>218</v>
      </c>
      <c r="D19" s="220" t="s">
        <v>172</v>
      </c>
      <c r="E19" s="233">
        <f>E16</f>
        <v>1.0000000000000001E-5</v>
      </c>
      <c r="F19" s="234">
        <f>F12</f>
        <v>1</v>
      </c>
      <c r="G19" s="218">
        <v>0.6080000000000001</v>
      </c>
      <c r="H19" s="222">
        <f t="shared" si="11"/>
        <v>6.0800000000000011E-6</v>
      </c>
      <c r="I19" s="235">
        <f>I17</f>
        <v>0.318</v>
      </c>
      <c r="J19" s="224">
        <f>J17</f>
        <v>0.318</v>
      </c>
      <c r="K19" s="241"/>
      <c r="L19" s="242"/>
      <c r="M19" s="227" t="str">
        <f t="shared" si="12"/>
        <v>С8</v>
      </c>
      <c r="N19" s="227" t="str">
        <f t="shared" si="12"/>
        <v>Конденсатор серы Т-409 А</v>
      </c>
      <c r="O19" s="227" t="str">
        <f t="shared" si="13"/>
        <v>Частичное-токси</v>
      </c>
      <c r="P19" s="227" t="s">
        <v>83</v>
      </c>
      <c r="Q19" s="227" t="s">
        <v>83</v>
      </c>
      <c r="R19" s="227" t="s">
        <v>83</v>
      </c>
      <c r="S19" s="227" t="s">
        <v>83</v>
      </c>
      <c r="T19" s="227" t="s">
        <v>83</v>
      </c>
      <c r="U19" s="227" t="s">
        <v>83</v>
      </c>
      <c r="V19" s="227" t="s">
        <v>83</v>
      </c>
      <c r="W19" s="227" t="s">
        <v>83</v>
      </c>
      <c r="X19" s="227" t="s">
        <v>83</v>
      </c>
      <c r="Y19" s="227" t="s">
        <v>83</v>
      </c>
      <c r="Z19" s="227" t="s">
        <v>83</v>
      </c>
      <c r="AA19" s="227" t="s">
        <v>83</v>
      </c>
      <c r="AB19" s="227" t="s">
        <v>83</v>
      </c>
      <c r="AC19" s="227">
        <v>39.799999999999997</v>
      </c>
      <c r="AD19" s="227">
        <v>116.1</v>
      </c>
      <c r="AE19" s="227" t="s">
        <v>83</v>
      </c>
      <c r="AF19" s="227" t="s">
        <v>83</v>
      </c>
      <c r="AG19" s="227" t="s">
        <v>83</v>
      </c>
      <c r="AH19" s="227" t="s">
        <v>83</v>
      </c>
      <c r="AI19" s="227" t="s">
        <v>83</v>
      </c>
      <c r="AJ19" s="227">
        <v>0</v>
      </c>
      <c r="AK19" s="227">
        <v>0</v>
      </c>
      <c r="AL19" s="227">
        <f t="shared" si="21"/>
        <v>7.5000000000000011E-2</v>
      </c>
      <c r="AM19" s="227">
        <f>AM12</f>
        <v>2.7E-2</v>
      </c>
      <c r="AN19" s="227">
        <f>ROUNDUP(AN12/3,0)</f>
        <v>1</v>
      </c>
      <c r="AQ19" s="230">
        <f>AM19*I19*0.1+AL19</f>
        <v>7.5858600000000012E-2</v>
      </c>
      <c r="AR19" s="230">
        <f t="shared" si="16"/>
        <v>7.5858600000000016E-3</v>
      </c>
      <c r="AS19" s="231">
        <f t="shared" si="17"/>
        <v>0</v>
      </c>
      <c r="AT19" s="231">
        <f t="shared" si="18"/>
        <v>2.0861115000000003E-2</v>
      </c>
      <c r="AU19" s="230">
        <f>1333*J17*POWER(10,-6)</f>
        <v>4.2389399999999996E-4</v>
      </c>
      <c r="AV19" s="231">
        <f t="shared" si="14"/>
        <v>0.10472946900000002</v>
      </c>
      <c r="AW19" s="232">
        <f t="shared" si="19"/>
        <v>0</v>
      </c>
      <c r="AX19" s="232">
        <f t="shared" si="20"/>
        <v>0</v>
      </c>
      <c r="AY19" s="232">
        <f t="shared" si="15"/>
        <v>6.3675517152000019E-7</v>
      </c>
      <c r="AZ19" s="227">
        <v>1</v>
      </c>
      <c r="BA19" s="227">
        <v>1</v>
      </c>
    </row>
    <row r="20" spans="1:53" s="227" customFormat="1" x14ac:dyDescent="0.3">
      <c r="A20" s="281" t="s">
        <v>240</v>
      </c>
      <c r="B20" s="281" t="str">
        <f>B12</f>
        <v>Конденсатор серы Т-409 А</v>
      </c>
      <c r="C20" s="281" t="s">
        <v>404</v>
      </c>
      <c r="D20" s="281" t="s">
        <v>405</v>
      </c>
      <c r="E20" s="282">
        <v>2.5000000000000001E-5</v>
      </c>
      <c r="F20" s="281">
        <v>1</v>
      </c>
      <c r="G20" s="281">
        <v>1</v>
      </c>
      <c r="H20" s="222">
        <f t="shared" si="11"/>
        <v>2.5000000000000001E-5</v>
      </c>
      <c r="I20" s="284">
        <f>I12</f>
        <v>19.600000000000001</v>
      </c>
      <c r="J20" s="284">
        <f>J12*0.12</f>
        <v>2.3519999999999999</v>
      </c>
      <c r="K20" s="281"/>
      <c r="L20" s="281"/>
      <c r="M20" s="285" t="str">
        <f t="shared" si="12"/>
        <v>С9</v>
      </c>
      <c r="N20" s="227" t="str">
        <f t="shared" si="12"/>
        <v>Конденсатор серы Т-409 А</v>
      </c>
      <c r="O20" s="227" t="str">
        <f t="shared" si="13"/>
        <v>Частичное-шар+пожар</v>
      </c>
      <c r="P20" s="285">
        <v>17.600000000000001</v>
      </c>
      <c r="Q20" s="285">
        <v>24.3</v>
      </c>
      <c r="R20" s="285">
        <v>34.5</v>
      </c>
      <c r="S20" s="285">
        <v>64</v>
      </c>
      <c r="T20" s="285" t="s">
        <v>83</v>
      </c>
      <c r="U20" s="285" t="s">
        <v>83</v>
      </c>
      <c r="V20" s="285" t="s">
        <v>83</v>
      </c>
      <c r="W20" s="285" t="s">
        <v>83</v>
      </c>
      <c r="X20" s="285" t="s">
        <v>83</v>
      </c>
      <c r="Y20" s="285" t="s">
        <v>83</v>
      </c>
      <c r="Z20" s="285" t="s">
        <v>83</v>
      </c>
      <c r="AA20" s="285" t="s">
        <v>83</v>
      </c>
      <c r="AB20" s="285" t="s">
        <v>83</v>
      </c>
      <c r="AC20" s="285" t="s">
        <v>83</v>
      </c>
      <c r="AD20" s="285" t="s">
        <v>83</v>
      </c>
      <c r="AE20" s="285">
        <v>33.5</v>
      </c>
      <c r="AF20" s="285">
        <v>63</v>
      </c>
      <c r="AG20" s="285">
        <v>79.5</v>
      </c>
      <c r="AH20" s="285">
        <v>107.5</v>
      </c>
      <c r="AI20" s="285" t="s">
        <v>83</v>
      </c>
      <c r="AJ20" s="285">
        <v>1</v>
      </c>
      <c r="AK20" s="285">
        <v>2</v>
      </c>
      <c r="AL20" s="285">
        <f>AL12</f>
        <v>0.96</v>
      </c>
      <c r="AM20" s="285">
        <f>AM12</f>
        <v>2.7E-2</v>
      </c>
      <c r="AN20" s="285">
        <v>5</v>
      </c>
      <c r="AO20" s="285"/>
      <c r="AP20" s="285"/>
      <c r="AQ20" s="286">
        <f>AM20*I20+AL20</f>
        <v>1.4891999999999999</v>
      </c>
      <c r="AR20" s="286">
        <f>0.1*AQ20</f>
        <v>0.14892</v>
      </c>
      <c r="AS20" s="287">
        <f>AJ20*3+0.25*AK20</f>
        <v>3.5</v>
      </c>
      <c r="AT20" s="287">
        <f>SUM(AQ20:AS20)/4</f>
        <v>1.2845299999999999</v>
      </c>
      <c r="AU20" s="286">
        <f>10068.2*J20*POWER(10,-6)</f>
        <v>2.3680406399999999E-2</v>
      </c>
      <c r="AV20" s="287">
        <f t="shared" si="14"/>
        <v>6.4463304063999995</v>
      </c>
      <c r="AW20" s="288">
        <f>AJ20*H20</f>
        <v>2.5000000000000001E-5</v>
      </c>
      <c r="AX20" s="288">
        <f>H20*AK20</f>
        <v>5.0000000000000002E-5</v>
      </c>
      <c r="AY20" s="288">
        <f t="shared" si="15"/>
        <v>1.6115826015999999E-4</v>
      </c>
      <c r="AZ20" s="227">
        <v>1</v>
      </c>
      <c r="BA20" s="227">
        <v>1</v>
      </c>
    </row>
    <row r="21" spans="1:53" ht="15" thickBot="1" x14ac:dyDescent="0.35"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  <c r="AZ21" s="227">
        <v>1</v>
      </c>
      <c r="BA21" s="227">
        <v>1</v>
      </c>
    </row>
    <row r="22" spans="1:53" s="227" customFormat="1" ht="18" customHeight="1" x14ac:dyDescent="0.3">
      <c r="A22" s="218" t="s">
        <v>18</v>
      </c>
      <c r="B22" s="219" t="s">
        <v>417</v>
      </c>
      <c r="C22" s="53" t="s">
        <v>196</v>
      </c>
      <c r="D22" s="220" t="s">
        <v>59</v>
      </c>
      <c r="E22" s="221">
        <v>9.9999999999999995E-7</v>
      </c>
      <c r="F22" s="219">
        <v>1</v>
      </c>
      <c r="G22" s="218">
        <v>0.05</v>
      </c>
      <c r="H22" s="222">
        <f t="shared" ref="H22:H30" si="22">E22*F22*G22*AZ22*BA22</f>
        <v>4.9999999999999998E-8</v>
      </c>
      <c r="I22" s="223">
        <v>19.600000000000001</v>
      </c>
      <c r="J22" s="224">
        <f>I22</f>
        <v>19.600000000000001</v>
      </c>
      <c r="K22" s="225" t="s">
        <v>175</v>
      </c>
      <c r="L22" s="226">
        <v>369</v>
      </c>
      <c r="M22" s="227" t="str">
        <f t="shared" ref="M22:N30" si="23">A22</f>
        <v>С1</v>
      </c>
      <c r="N22" s="227" t="str">
        <f t="shared" si="23"/>
        <v>Конденсатор серы Т-405 А</v>
      </c>
      <c r="O22" s="227" t="str">
        <f t="shared" ref="O22:O30" si="24">D22</f>
        <v>Полное-пожар</v>
      </c>
      <c r="P22" s="227">
        <v>17.600000000000001</v>
      </c>
      <c r="Q22" s="227">
        <v>24.3</v>
      </c>
      <c r="R22" s="227">
        <v>34.5</v>
      </c>
      <c r="S22" s="227">
        <v>64</v>
      </c>
      <c r="T22" s="227" t="s">
        <v>83</v>
      </c>
      <c r="U22" s="227" t="s">
        <v>83</v>
      </c>
      <c r="V22" s="227" t="s">
        <v>83</v>
      </c>
      <c r="W22" s="227" t="s">
        <v>83</v>
      </c>
      <c r="X22" s="227" t="s">
        <v>83</v>
      </c>
      <c r="Y22" s="227" t="s">
        <v>83</v>
      </c>
      <c r="Z22" s="227" t="s">
        <v>83</v>
      </c>
      <c r="AA22" s="227" t="s">
        <v>83</v>
      </c>
      <c r="AB22" s="227" t="s">
        <v>83</v>
      </c>
      <c r="AC22" s="227" t="s">
        <v>83</v>
      </c>
      <c r="AD22" s="227" t="s">
        <v>83</v>
      </c>
      <c r="AE22" s="227" t="s">
        <v>83</v>
      </c>
      <c r="AF22" s="227" t="s">
        <v>83</v>
      </c>
      <c r="AG22" s="227" t="s">
        <v>83</v>
      </c>
      <c r="AH22" s="227" t="s">
        <v>83</v>
      </c>
      <c r="AI22" s="227" t="s">
        <v>83</v>
      </c>
      <c r="AJ22" s="228">
        <v>1</v>
      </c>
      <c r="AK22" s="228">
        <v>2</v>
      </c>
      <c r="AL22" s="229">
        <v>3.63</v>
      </c>
      <c r="AM22" s="229">
        <v>2.7E-2</v>
      </c>
      <c r="AN22" s="229">
        <v>3</v>
      </c>
      <c r="AQ22" s="230">
        <f>AM22*I22+AL22</f>
        <v>4.1592000000000002</v>
      </c>
      <c r="AR22" s="230">
        <f>0.1*AQ22</f>
        <v>0.41592000000000007</v>
      </c>
      <c r="AS22" s="231">
        <f>AJ22*3+0.25*AK22</f>
        <v>3.5</v>
      </c>
      <c r="AT22" s="231">
        <f>SUM(AQ22:AS22)/4</f>
        <v>2.01878</v>
      </c>
      <c r="AU22" s="230">
        <f>10068.2*J22*POWER(10,-6)</f>
        <v>0.19733672000000002</v>
      </c>
      <c r="AV22" s="231">
        <f t="shared" ref="AV22:AV30" si="25">AU22+AT22+AS22+AR22+AQ22</f>
        <v>10.291236720000001</v>
      </c>
      <c r="AW22" s="232">
        <f>AJ22*H22</f>
        <v>4.9999999999999998E-8</v>
      </c>
      <c r="AX22" s="232">
        <f>H22*AK22</f>
        <v>9.9999999999999995E-8</v>
      </c>
      <c r="AY22" s="232">
        <f t="shared" ref="AY22:AY30" si="26">H22*AV22</f>
        <v>5.1456183599999996E-7</v>
      </c>
      <c r="AZ22" s="227">
        <v>1</v>
      </c>
      <c r="BA22" s="227">
        <v>1</v>
      </c>
    </row>
    <row r="23" spans="1:53" s="227" customFormat="1" x14ac:dyDescent="0.3">
      <c r="A23" s="218" t="s">
        <v>19</v>
      </c>
      <c r="B23" s="218" t="str">
        <f>B22</f>
        <v>Конденсатор серы Т-405 А</v>
      </c>
      <c r="C23" s="53" t="s">
        <v>202</v>
      </c>
      <c r="D23" s="220" t="s">
        <v>62</v>
      </c>
      <c r="E23" s="233">
        <f>E22</f>
        <v>9.9999999999999995E-7</v>
      </c>
      <c r="F23" s="234">
        <f>F22</f>
        <v>1</v>
      </c>
      <c r="G23" s="218">
        <v>0.19</v>
      </c>
      <c r="H23" s="222">
        <f t="shared" si="22"/>
        <v>1.8999999999999998E-7</v>
      </c>
      <c r="I23" s="235">
        <f>I22</f>
        <v>19.600000000000001</v>
      </c>
      <c r="J23" s="243">
        <v>0.53</v>
      </c>
      <c r="K23" s="236" t="s">
        <v>176</v>
      </c>
      <c r="L23" s="237">
        <v>1</v>
      </c>
      <c r="M23" s="227" t="str">
        <f t="shared" si="23"/>
        <v>С2</v>
      </c>
      <c r="N23" s="227" t="str">
        <f t="shared" si="23"/>
        <v>Конденсатор серы Т-405 А</v>
      </c>
      <c r="O23" s="227" t="str">
        <f t="shared" si="24"/>
        <v>Полное-взрыв</v>
      </c>
      <c r="P23" s="227" t="s">
        <v>83</v>
      </c>
      <c r="Q23" s="227" t="s">
        <v>83</v>
      </c>
      <c r="R23" s="227" t="s">
        <v>83</v>
      </c>
      <c r="S23" s="227" t="s">
        <v>83</v>
      </c>
      <c r="T23" s="227">
        <v>0</v>
      </c>
      <c r="U23" s="227">
        <v>51.6</v>
      </c>
      <c r="V23" s="227">
        <v>124.1</v>
      </c>
      <c r="W23" s="227">
        <v>375.1</v>
      </c>
      <c r="X23" s="227">
        <v>956.6</v>
      </c>
      <c r="Y23" s="227" t="s">
        <v>83</v>
      </c>
      <c r="Z23" s="227" t="s">
        <v>83</v>
      </c>
      <c r="AA23" s="227" t="s">
        <v>83</v>
      </c>
      <c r="AB23" s="227" t="s">
        <v>83</v>
      </c>
      <c r="AC23" s="227" t="s">
        <v>83</v>
      </c>
      <c r="AD23" s="227" t="s">
        <v>83</v>
      </c>
      <c r="AE23" s="227" t="s">
        <v>83</v>
      </c>
      <c r="AF23" s="227" t="s">
        <v>83</v>
      </c>
      <c r="AG23" s="227" t="s">
        <v>83</v>
      </c>
      <c r="AH23" s="227" t="s">
        <v>83</v>
      </c>
      <c r="AI23" s="227" t="s">
        <v>83</v>
      </c>
      <c r="AJ23" s="228">
        <v>2</v>
      </c>
      <c r="AK23" s="228">
        <v>4</v>
      </c>
      <c r="AL23" s="227">
        <f>AL22</f>
        <v>3.63</v>
      </c>
      <c r="AM23" s="227">
        <f>AM22</f>
        <v>2.7E-2</v>
      </c>
      <c r="AN23" s="227">
        <f>AN22</f>
        <v>3</v>
      </c>
      <c r="AQ23" s="230">
        <f>AM23*I23+AL23</f>
        <v>4.1592000000000002</v>
      </c>
      <c r="AR23" s="230">
        <f t="shared" ref="AR23:AR29" si="27">0.1*AQ23</f>
        <v>0.41592000000000007</v>
      </c>
      <c r="AS23" s="231">
        <f t="shared" ref="AS23:AS29" si="28">AJ23*3+0.25*AK23</f>
        <v>7</v>
      </c>
      <c r="AT23" s="231">
        <f t="shared" ref="AT23:AT29" si="29">SUM(AQ23:AS23)/4</f>
        <v>2.89378</v>
      </c>
      <c r="AU23" s="230">
        <f>10068.2*J23*POWER(10,-6)*10</f>
        <v>5.3361460000000006E-2</v>
      </c>
      <c r="AV23" s="231">
        <f t="shared" si="25"/>
        <v>14.522261460000001</v>
      </c>
      <c r="AW23" s="232">
        <f t="shared" ref="AW23:AW29" si="30">AJ23*H23</f>
        <v>3.7999999999999996E-7</v>
      </c>
      <c r="AX23" s="232">
        <f t="shared" ref="AX23:AX29" si="31">H23*AK23</f>
        <v>7.5999999999999992E-7</v>
      </c>
      <c r="AY23" s="232">
        <f t="shared" si="26"/>
        <v>2.7592296774E-6</v>
      </c>
      <c r="AZ23" s="227">
        <v>1</v>
      </c>
      <c r="BA23" s="227">
        <v>1</v>
      </c>
    </row>
    <row r="24" spans="1:53" s="227" customFormat="1" x14ac:dyDescent="0.3">
      <c r="A24" s="218" t="s">
        <v>20</v>
      </c>
      <c r="B24" s="218" t="str">
        <f>B22</f>
        <v>Конденсатор серы Т-405 А</v>
      </c>
      <c r="C24" s="53" t="s">
        <v>243</v>
      </c>
      <c r="D24" s="220" t="s">
        <v>171</v>
      </c>
      <c r="E24" s="233">
        <f>E22</f>
        <v>9.9999999999999995E-7</v>
      </c>
      <c r="F24" s="234">
        <f>F22</f>
        <v>1</v>
      </c>
      <c r="G24" s="218">
        <v>0.76</v>
      </c>
      <c r="H24" s="222">
        <f t="shared" si="22"/>
        <v>7.5999999999999992E-7</v>
      </c>
      <c r="I24" s="235">
        <f>I22</f>
        <v>19.600000000000001</v>
      </c>
      <c r="J24" s="224">
        <f>J23</f>
        <v>0.53</v>
      </c>
      <c r="K24" s="236" t="s">
        <v>177</v>
      </c>
      <c r="L24" s="237">
        <v>4</v>
      </c>
      <c r="M24" s="227" t="str">
        <f t="shared" si="23"/>
        <v>С3</v>
      </c>
      <c r="N24" s="227" t="str">
        <f t="shared" si="23"/>
        <v>Конденсатор серы Т-405 А</v>
      </c>
      <c r="O24" s="227" t="str">
        <f t="shared" si="24"/>
        <v>Полное-токси</v>
      </c>
      <c r="P24" s="227" t="s">
        <v>83</v>
      </c>
      <c r="Q24" s="227" t="s">
        <v>83</v>
      </c>
      <c r="R24" s="227" t="s">
        <v>83</v>
      </c>
      <c r="S24" s="227" t="s">
        <v>83</v>
      </c>
      <c r="T24" s="227" t="s">
        <v>83</v>
      </c>
      <c r="U24" s="227" t="s">
        <v>83</v>
      </c>
      <c r="V24" s="227" t="s">
        <v>83</v>
      </c>
      <c r="W24" s="227" t="s">
        <v>83</v>
      </c>
      <c r="X24" s="227" t="s">
        <v>83</v>
      </c>
      <c r="Y24" s="227" t="s">
        <v>83</v>
      </c>
      <c r="Z24" s="227" t="s">
        <v>83</v>
      </c>
      <c r="AA24" s="227" t="s">
        <v>83</v>
      </c>
      <c r="AB24" s="227" t="s">
        <v>83</v>
      </c>
      <c r="AC24" s="227">
        <v>66.2</v>
      </c>
      <c r="AD24" s="227">
        <v>193.5</v>
      </c>
      <c r="AE24" s="227" t="s">
        <v>83</v>
      </c>
      <c r="AF24" s="227" t="s">
        <v>83</v>
      </c>
      <c r="AG24" s="227" t="s">
        <v>83</v>
      </c>
      <c r="AH24" s="227" t="s">
        <v>83</v>
      </c>
      <c r="AI24" s="227" t="s">
        <v>83</v>
      </c>
      <c r="AJ24" s="227">
        <v>0</v>
      </c>
      <c r="AK24" s="227">
        <v>0</v>
      </c>
      <c r="AL24" s="227">
        <f>AL22</f>
        <v>3.63</v>
      </c>
      <c r="AM24" s="227">
        <f>AM22</f>
        <v>2.7E-2</v>
      </c>
      <c r="AN24" s="227">
        <f>AN22</f>
        <v>3</v>
      </c>
      <c r="AQ24" s="230">
        <f>AM24*I24*0.1+AL24</f>
        <v>3.6829199999999997</v>
      </c>
      <c r="AR24" s="230">
        <f t="shared" si="27"/>
        <v>0.36829200000000001</v>
      </c>
      <c r="AS24" s="231">
        <f t="shared" si="28"/>
        <v>0</v>
      </c>
      <c r="AT24" s="231">
        <f t="shared" si="29"/>
        <v>1.0128029999999999</v>
      </c>
      <c r="AU24" s="230">
        <f>1333*J22*POWER(10,-6)</f>
        <v>2.6126800000000002E-2</v>
      </c>
      <c r="AV24" s="231">
        <f t="shared" si="25"/>
        <v>5.0901417999999996</v>
      </c>
      <c r="AW24" s="232">
        <f t="shared" si="30"/>
        <v>0</v>
      </c>
      <c r="AX24" s="232">
        <f t="shared" si="31"/>
        <v>0</v>
      </c>
      <c r="AY24" s="232">
        <f t="shared" si="26"/>
        <v>3.8685077679999997E-6</v>
      </c>
      <c r="AZ24" s="227">
        <v>1</v>
      </c>
      <c r="BA24" s="227">
        <v>1</v>
      </c>
    </row>
    <row r="25" spans="1:53" s="227" customFormat="1" x14ac:dyDescent="0.3">
      <c r="A25" s="218" t="s">
        <v>21</v>
      </c>
      <c r="B25" s="218" t="str">
        <f>B22</f>
        <v>Конденсатор серы Т-405 А</v>
      </c>
      <c r="C25" s="53" t="s">
        <v>213</v>
      </c>
      <c r="D25" s="220" t="s">
        <v>214</v>
      </c>
      <c r="E25" s="221">
        <v>1.0000000000000001E-5</v>
      </c>
      <c r="F25" s="234">
        <f>F22</f>
        <v>1</v>
      </c>
      <c r="G25" s="218">
        <v>4.0000000000000008E-2</v>
      </c>
      <c r="H25" s="222">
        <f t="shared" si="22"/>
        <v>4.0000000000000009E-7</v>
      </c>
      <c r="I25" s="235">
        <f>0.15*I22</f>
        <v>2.94</v>
      </c>
      <c r="J25" s="224">
        <f>I25</f>
        <v>2.94</v>
      </c>
      <c r="K25" s="236" t="s">
        <v>179</v>
      </c>
      <c r="L25" s="237">
        <v>45390</v>
      </c>
      <c r="M25" s="227" t="str">
        <f t="shared" si="23"/>
        <v>С4</v>
      </c>
      <c r="N25" s="227" t="str">
        <f t="shared" si="23"/>
        <v>Конденсатор серы Т-405 А</v>
      </c>
      <c r="O25" s="227" t="str">
        <f t="shared" si="24"/>
        <v>Частичное факел</v>
      </c>
      <c r="P25" s="227" t="s">
        <v>83</v>
      </c>
      <c r="Q25" s="227" t="s">
        <v>83</v>
      </c>
      <c r="R25" s="227" t="s">
        <v>83</v>
      </c>
      <c r="S25" s="227" t="s">
        <v>83</v>
      </c>
      <c r="T25" s="227" t="s">
        <v>83</v>
      </c>
      <c r="U25" s="227" t="s">
        <v>83</v>
      </c>
      <c r="V25" s="227" t="s">
        <v>83</v>
      </c>
      <c r="W25" s="227" t="s">
        <v>83</v>
      </c>
      <c r="X25" s="227" t="s">
        <v>83</v>
      </c>
      <c r="Y25" s="227">
        <v>26</v>
      </c>
      <c r="Z25" s="227">
        <v>4</v>
      </c>
      <c r="AA25" s="227" t="s">
        <v>83</v>
      </c>
      <c r="AB25" s="227" t="s">
        <v>83</v>
      </c>
      <c r="AC25" s="227" t="s">
        <v>83</v>
      </c>
      <c r="AD25" s="227" t="s">
        <v>83</v>
      </c>
      <c r="AE25" s="227" t="s">
        <v>83</v>
      </c>
      <c r="AF25" s="227" t="s">
        <v>83</v>
      </c>
      <c r="AG25" s="227" t="s">
        <v>83</v>
      </c>
      <c r="AH25" s="227" t="s">
        <v>83</v>
      </c>
      <c r="AI25" s="227" t="s">
        <v>83</v>
      </c>
      <c r="AJ25" s="227">
        <v>0</v>
      </c>
      <c r="AK25" s="227">
        <v>1</v>
      </c>
      <c r="AL25" s="227">
        <f>0.1*$AL22</f>
        <v>0.36299999999999999</v>
      </c>
      <c r="AM25" s="227">
        <f>AM23</f>
        <v>2.7E-2</v>
      </c>
      <c r="AN25" s="227">
        <f>AN22</f>
        <v>3</v>
      </c>
      <c r="AQ25" s="230">
        <f>AM25*I25*0.1+AL25</f>
        <v>0.37093799999999999</v>
      </c>
      <c r="AR25" s="230">
        <f t="shared" si="27"/>
        <v>3.7093800000000003E-2</v>
      </c>
      <c r="AS25" s="231">
        <f t="shared" si="28"/>
        <v>0.25</v>
      </c>
      <c r="AT25" s="231">
        <f t="shared" si="29"/>
        <v>0.16450795000000001</v>
      </c>
      <c r="AU25" s="230">
        <f>10068.2*J25*POWER(10,-6)</f>
        <v>2.9600508000000001E-2</v>
      </c>
      <c r="AV25" s="231">
        <f t="shared" si="25"/>
        <v>0.85214025799999993</v>
      </c>
      <c r="AW25" s="232">
        <f t="shared" si="30"/>
        <v>0</v>
      </c>
      <c r="AX25" s="232">
        <f t="shared" si="31"/>
        <v>4.0000000000000009E-7</v>
      </c>
      <c r="AY25" s="232">
        <f t="shared" si="26"/>
        <v>3.4085610320000004E-7</v>
      </c>
      <c r="AZ25" s="227">
        <v>1</v>
      </c>
      <c r="BA25" s="227">
        <v>1</v>
      </c>
    </row>
    <row r="26" spans="1:53" s="227" customFormat="1" x14ac:dyDescent="0.3">
      <c r="A26" s="218" t="s">
        <v>22</v>
      </c>
      <c r="B26" s="218" t="str">
        <f>B22</f>
        <v>Конденсатор серы Т-405 А</v>
      </c>
      <c r="C26" s="53" t="s">
        <v>244</v>
      </c>
      <c r="D26" s="220" t="s">
        <v>172</v>
      </c>
      <c r="E26" s="233">
        <f>E25</f>
        <v>1.0000000000000001E-5</v>
      </c>
      <c r="F26" s="234">
        <f>F22</f>
        <v>1</v>
      </c>
      <c r="G26" s="218">
        <v>0.16000000000000003</v>
      </c>
      <c r="H26" s="222">
        <f t="shared" si="22"/>
        <v>1.6000000000000004E-6</v>
      </c>
      <c r="I26" s="235">
        <f>0.15*I22</f>
        <v>2.94</v>
      </c>
      <c r="J26" s="224">
        <f>J23*0.15</f>
        <v>7.9500000000000001E-2</v>
      </c>
      <c r="K26" s="236" t="s">
        <v>180</v>
      </c>
      <c r="L26" s="237">
        <v>3</v>
      </c>
      <c r="M26" s="227" t="str">
        <f t="shared" si="23"/>
        <v>С5</v>
      </c>
      <c r="N26" s="227" t="str">
        <f t="shared" si="23"/>
        <v>Конденсатор серы Т-405 А</v>
      </c>
      <c r="O26" s="227" t="str">
        <f t="shared" si="24"/>
        <v>Частичное-токси</v>
      </c>
      <c r="P26" s="227" t="s">
        <v>83</v>
      </c>
      <c r="Q26" s="227" t="s">
        <v>83</v>
      </c>
      <c r="R26" s="227" t="s">
        <v>83</v>
      </c>
      <c r="S26" s="227" t="s">
        <v>83</v>
      </c>
      <c r="T26" s="227" t="s">
        <v>83</v>
      </c>
      <c r="U26" s="227" t="s">
        <v>83</v>
      </c>
      <c r="V26" s="227" t="s">
        <v>83</v>
      </c>
      <c r="W26" s="227" t="s">
        <v>83</v>
      </c>
      <c r="X26" s="227" t="s">
        <v>83</v>
      </c>
      <c r="Y26" s="227" t="s">
        <v>83</v>
      </c>
      <c r="Z26" s="227" t="s">
        <v>83</v>
      </c>
      <c r="AA26" s="227" t="s">
        <v>83</v>
      </c>
      <c r="AB26" s="227" t="s">
        <v>83</v>
      </c>
      <c r="AC26" s="227">
        <v>9.9</v>
      </c>
      <c r="AD26" s="227">
        <v>29</v>
      </c>
      <c r="AE26" s="227" t="s">
        <v>83</v>
      </c>
      <c r="AF26" s="227" t="s">
        <v>83</v>
      </c>
      <c r="AG26" s="227" t="s">
        <v>83</v>
      </c>
      <c r="AH26" s="227" t="s">
        <v>83</v>
      </c>
      <c r="AI26" s="227" t="s">
        <v>83</v>
      </c>
      <c r="AJ26" s="227">
        <v>0</v>
      </c>
      <c r="AK26" s="227">
        <v>1</v>
      </c>
      <c r="AL26" s="227">
        <f t="shared" ref="AL26:AL29" si="32">0.1*$AL23</f>
        <v>0.36299999999999999</v>
      </c>
      <c r="AM26" s="227">
        <f>AM22</f>
        <v>2.7E-2</v>
      </c>
      <c r="AN26" s="227">
        <f>ROUNDUP(AN22/3,0)</f>
        <v>1</v>
      </c>
      <c r="AQ26" s="230">
        <f>AM26*I26+AL26</f>
        <v>0.44238</v>
      </c>
      <c r="AR26" s="230">
        <f t="shared" si="27"/>
        <v>4.4238E-2</v>
      </c>
      <c r="AS26" s="231">
        <f t="shared" si="28"/>
        <v>0.25</v>
      </c>
      <c r="AT26" s="231">
        <f t="shared" si="29"/>
        <v>0.1841545</v>
      </c>
      <c r="AU26" s="230">
        <f>1333*J23*POWER(10,-6)*10</f>
        <v>7.064899999999999E-3</v>
      </c>
      <c r="AV26" s="231">
        <f t="shared" si="25"/>
        <v>0.92783740000000003</v>
      </c>
      <c r="AW26" s="232">
        <f t="shared" si="30"/>
        <v>0</v>
      </c>
      <c r="AX26" s="232">
        <f t="shared" si="31"/>
        <v>1.6000000000000004E-6</v>
      </c>
      <c r="AY26" s="232">
        <f t="shared" si="26"/>
        <v>1.4845398400000005E-6</v>
      </c>
      <c r="AZ26" s="227">
        <v>1</v>
      </c>
      <c r="BA26" s="227">
        <v>1</v>
      </c>
    </row>
    <row r="27" spans="1:53" s="227" customFormat="1" x14ac:dyDescent="0.3">
      <c r="A27" s="218" t="s">
        <v>23</v>
      </c>
      <c r="B27" s="218" t="str">
        <f>B22</f>
        <v>Конденсатор серы Т-405 А</v>
      </c>
      <c r="C27" s="53" t="s">
        <v>215</v>
      </c>
      <c r="D27" s="220" t="s">
        <v>214</v>
      </c>
      <c r="E27" s="233">
        <f>E26</f>
        <v>1.0000000000000001E-5</v>
      </c>
      <c r="F27" s="234">
        <v>1</v>
      </c>
      <c r="G27" s="218">
        <v>4.0000000000000008E-2</v>
      </c>
      <c r="H27" s="222">
        <f t="shared" si="22"/>
        <v>4.0000000000000009E-7</v>
      </c>
      <c r="I27" s="235">
        <f>J23*0.6</f>
        <v>0.318</v>
      </c>
      <c r="J27" s="224">
        <f>I27</f>
        <v>0.318</v>
      </c>
      <c r="K27" s="239" t="s">
        <v>191</v>
      </c>
      <c r="L27" s="240">
        <v>13</v>
      </c>
      <c r="M27" s="227" t="str">
        <f t="shared" si="23"/>
        <v>С6</v>
      </c>
      <c r="N27" s="227" t="str">
        <f t="shared" si="23"/>
        <v>Конденсатор серы Т-405 А</v>
      </c>
      <c r="O27" s="227" t="str">
        <f t="shared" si="24"/>
        <v>Частичное факел</v>
      </c>
      <c r="P27" s="227" t="s">
        <v>83</v>
      </c>
      <c r="Q27" s="227" t="s">
        <v>83</v>
      </c>
      <c r="R27" s="227" t="s">
        <v>83</v>
      </c>
      <c r="S27" s="227" t="s">
        <v>83</v>
      </c>
      <c r="T27" s="227" t="s">
        <v>83</v>
      </c>
      <c r="U27" s="227" t="s">
        <v>83</v>
      </c>
      <c r="V27" s="227" t="s">
        <v>83</v>
      </c>
      <c r="W27" s="227" t="s">
        <v>83</v>
      </c>
      <c r="X27" s="227" t="s">
        <v>83</v>
      </c>
      <c r="Y27" s="227">
        <v>8</v>
      </c>
      <c r="Z27" s="227">
        <v>2</v>
      </c>
      <c r="AA27" s="227" t="s">
        <v>83</v>
      </c>
      <c r="AB27" s="227" t="s">
        <v>83</v>
      </c>
      <c r="AC27" s="227" t="s">
        <v>83</v>
      </c>
      <c r="AD27" s="227" t="s">
        <v>83</v>
      </c>
      <c r="AE27" s="227" t="s">
        <v>83</v>
      </c>
      <c r="AF27" s="227" t="s">
        <v>83</v>
      </c>
      <c r="AG27" s="227" t="s">
        <v>83</v>
      </c>
      <c r="AH27" s="227" t="s">
        <v>83</v>
      </c>
      <c r="AI27" s="227" t="s">
        <v>83</v>
      </c>
      <c r="AJ27" s="227">
        <v>0</v>
      </c>
      <c r="AK27" s="227">
        <v>1</v>
      </c>
      <c r="AL27" s="227">
        <f t="shared" si="32"/>
        <v>0.36299999999999999</v>
      </c>
      <c r="AM27" s="227">
        <f>AM22</f>
        <v>2.7E-2</v>
      </c>
      <c r="AN27" s="227">
        <f>AN26</f>
        <v>1</v>
      </c>
      <c r="AQ27" s="230">
        <f>AM27*I27+AL27</f>
        <v>0.37158599999999997</v>
      </c>
      <c r="AR27" s="230">
        <f t="shared" si="27"/>
        <v>3.71586E-2</v>
      </c>
      <c r="AS27" s="231">
        <f t="shared" si="28"/>
        <v>0.25</v>
      </c>
      <c r="AT27" s="231">
        <f t="shared" si="29"/>
        <v>0.16468614999999998</v>
      </c>
      <c r="AU27" s="230">
        <f>10068.2*J27*POWER(10,-6)</f>
        <v>3.2016876000000001E-3</v>
      </c>
      <c r="AV27" s="231">
        <f t="shared" si="25"/>
        <v>0.82663243759999994</v>
      </c>
      <c r="AW27" s="232">
        <f t="shared" si="30"/>
        <v>0</v>
      </c>
      <c r="AX27" s="232">
        <f t="shared" si="31"/>
        <v>4.0000000000000009E-7</v>
      </c>
      <c r="AY27" s="232">
        <f t="shared" si="26"/>
        <v>3.3065297504000002E-7</v>
      </c>
      <c r="AZ27" s="227">
        <v>1</v>
      </c>
      <c r="BA27" s="227">
        <v>1</v>
      </c>
    </row>
    <row r="28" spans="1:53" s="227" customFormat="1" x14ac:dyDescent="0.3">
      <c r="A28" s="218" t="s">
        <v>210</v>
      </c>
      <c r="B28" s="218" t="str">
        <f>B22</f>
        <v>Конденсатор серы Т-405 А</v>
      </c>
      <c r="C28" s="53" t="s">
        <v>216</v>
      </c>
      <c r="D28" s="220" t="s">
        <v>165</v>
      </c>
      <c r="E28" s="233">
        <f>E26</f>
        <v>1.0000000000000001E-5</v>
      </c>
      <c r="F28" s="234">
        <f>F22</f>
        <v>1</v>
      </c>
      <c r="G28" s="218">
        <v>0.15200000000000002</v>
      </c>
      <c r="H28" s="222">
        <f t="shared" si="22"/>
        <v>1.5200000000000003E-6</v>
      </c>
      <c r="I28" s="235">
        <f>I27</f>
        <v>0.318</v>
      </c>
      <c r="J28" s="224">
        <f>I28</f>
        <v>0.318</v>
      </c>
      <c r="K28" s="236"/>
      <c r="L28" s="237"/>
      <c r="M28" s="227" t="str">
        <f t="shared" si="23"/>
        <v>С7</v>
      </c>
      <c r="N28" s="227" t="str">
        <f t="shared" si="23"/>
        <v>Конденсатор серы Т-405 А</v>
      </c>
      <c r="O28" s="227" t="str">
        <f t="shared" si="24"/>
        <v>Частичное-пожар-вспышка</v>
      </c>
      <c r="P28" s="227" t="s">
        <v>83</v>
      </c>
      <c r="Q28" s="227" t="s">
        <v>83</v>
      </c>
      <c r="R28" s="227" t="s">
        <v>83</v>
      </c>
      <c r="S28" s="227" t="s">
        <v>83</v>
      </c>
      <c r="T28" s="227" t="s">
        <v>83</v>
      </c>
      <c r="U28" s="227" t="s">
        <v>83</v>
      </c>
      <c r="V28" s="227" t="s">
        <v>83</v>
      </c>
      <c r="W28" s="227" t="s">
        <v>83</v>
      </c>
      <c r="X28" s="227" t="s">
        <v>83</v>
      </c>
      <c r="Y28" s="227" t="s">
        <v>83</v>
      </c>
      <c r="Z28" s="227" t="s">
        <v>83</v>
      </c>
      <c r="AA28" s="227">
        <v>22.97</v>
      </c>
      <c r="AB28" s="227">
        <v>27.56</v>
      </c>
      <c r="AC28" s="227" t="s">
        <v>83</v>
      </c>
      <c r="AD28" s="227" t="s">
        <v>83</v>
      </c>
      <c r="AE28" s="227" t="s">
        <v>83</v>
      </c>
      <c r="AF28" s="227" t="s">
        <v>83</v>
      </c>
      <c r="AG28" s="227" t="s">
        <v>83</v>
      </c>
      <c r="AH28" s="227" t="s">
        <v>83</v>
      </c>
      <c r="AI28" s="227" t="s">
        <v>83</v>
      </c>
      <c r="AJ28" s="227">
        <v>0</v>
      </c>
      <c r="AK28" s="227">
        <v>1</v>
      </c>
      <c r="AL28" s="227">
        <f t="shared" si="32"/>
        <v>3.6299999999999999E-2</v>
      </c>
      <c r="AM28" s="227">
        <f>AM22</f>
        <v>2.7E-2</v>
      </c>
      <c r="AN28" s="227">
        <f>ROUNDUP(AN22/3,0)</f>
        <v>1</v>
      </c>
      <c r="AQ28" s="230">
        <f>AM28*I28+AL28</f>
        <v>4.4885999999999995E-2</v>
      </c>
      <c r="AR28" s="230">
        <f t="shared" si="27"/>
        <v>4.4885999999999997E-3</v>
      </c>
      <c r="AS28" s="231">
        <f t="shared" si="28"/>
        <v>0.25</v>
      </c>
      <c r="AT28" s="231">
        <f t="shared" si="29"/>
        <v>7.4843649999999998E-2</v>
      </c>
      <c r="AU28" s="230">
        <f>10068.2*J28*POWER(10,-6)</f>
        <v>3.2016876000000001E-3</v>
      </c>
      <c r="AV28" s="231">
        <f t="shared" si="25"/>
        <v>0.37741993759999998</v>
      </c>
      <c r="AW28" s="232">
        <f t="shared" si="30"/>
        <v>0</v>
      </c>
      <c r="AX28" s="232">
        <f t="shared" si="31"/>
        <v>1.5200000000000003E-6</v>
      </c>
      <c r="AY28" s="232">
        <f t="shared" si="26"/>
        <v>5.7367830515200004E-7</v>
      </c>
      <c r="AZ28" s="227">
        <v>1</v>
      </c>
      <c r="BA28" s="227">
        <v>1</v>
      </c>
    </row>
    <row r="29" spans="1:53" s="227" customFormat="1" ht="15" thickBot="1" x14ac:dyDescent="0.35">
      <c r="A29" s="218" t="s">
        <v>211</v>
      </c>
      <c r="B29" s="218" t="str">
        <f>B22</f>
        <v>Конденсатор серы Т-405 А</v>
      </c>
      <c r="C29" s="53" t="s">
        <v>218</v>
      </c>
      <c r="D29" s="220" t="s">
        <v>172</v>
      </c>
      <c r="E29" s="233">
        <f>E26</f>
        <v>1.0000000000000001E-5</v>
      </c>
      <c r="F29" s="234">
        <f>F22</f>
        <v>1</v>
      </c>
      <c r="G29" s="218">
        <v>0.6080000000000001</v>
      </c>
      <c r="H29" s="222">
        <f t="shared" si="22"/>
        <v>6.0800000000000011E-6</v>
      </c>
      <c r="I29" s="235">
        <f>I27</f>
        <v>0.318</v>
      </c>
      <c r="J29" s="224">
        <f>J27</f>
        <v>0.318</v>
      </c>
      <c r="K29" s="241"/>
      <c r="L29" s="242"/>
      <c r="M29" s="227" t="str">
        <f t="shared" si="23"/>
        <v>С8</v>
      </c>
      <c r="N29" s="227" t="str">
        <f t="shared" si="23"/>
        <v>Конденсатор серы Т-405 А</v>
      </c>
      <c r="O29" s="227" t="str">
        <f t="shared" si="24"/>
        <v>Частичное-токси</v>
      </c>
      <c r="P29" s="227" t="s">
        <v>83</v>
      </c>
      <c r="Q29" s="227" t="s">
        <v>83</v>
      </c>
      <c r="R29" s="227" t="s">
        <v>83</v>
      </c>
      <c r="S29" s="227" t="s">
        <v>83</v>
      </c>
      <c r="T29" s="227" t="s">
        <v>83</v>
      </c>
      <c r="U29" s="227" t="s">
        <v>83</v>
      </c>
      <c r="V29" s="227" t="s">
        <v>83</v>
      </c>
      <c r="W29" s="227" t="s">
        <v>83</v>
      </c>
      <c r="X29" s="227" t="s">
        <v>83</v>
      </c>
      <c r="Y29" s="227" t="s">
        <v>83</v>
      </c>
      <c r="Z29" s="227" t="s">
        <v>83</v>
      </c>
      <c r="AA29" s="227" t="s">
        <v>83</v>
      </c>
      <c r="AB29" s="227" t="s">
        <v>83</v>
      </c>
      <c r="AC29" s="227">
        <v>39.799999999999997</v>
      </c>
      <c r="AD29" s="227">
        <v>116.1</v>
      </c>
      <c r="AE29" s="227" t="s">
        <v>83</v>
      </c>
      <c r="AF29" s="227" t="s">
        <v>83</v>
      </c>
      <c r="AG29" s="227" t="s">
        <v>83</v>
      </c>
      <c r="AH29" s="227" t="s">
        <v>83</v>
      </c>
      <c r="AI29" s="227" t="s">
        <v>83</v>
      </c>
      <c r="AJ29" s="227">
        <v>0</v>
      </c>
      <c r="AK29" s="227">
        <v>0</v>
      </c>
      <c r="AL29" s="227">
        <f t="shared" si="32"/>
        <v>3.6299999999999999E-2</v>
      </c>
      <c r="AM29" s="227">
        <f>AM22</f>
        <v>2.7E-2</v>
      </c>
      <c r="AN29" s="227">
        <f>ROUNDUP(AN22/3,0)</f>
        <v>1</v>
      </c>
      <c r="AQ29" s="230">
        <f>AM29*I29*0.1+AL29</f>
        <v>3.71586E-2</v>
      </c>
      <c r="AR29" s="230">
        <f t="shared" si="27"/>
        <v>3.7158600000000001E-3</v>
      </c>
      <c r="AS29" s="231">
        <f t="shared" si="28"/>
        <v>0</v>
      </c>
      <c r="AT29" s="231">
        <f t="shared" si="29"/>
        <v>1.0218615E-2</v>
      </c>
      <c r="AU29" s="230">
        <f>1333*J27*POWER(10,-6)</f>
        <v>4.2389399999999996E-4</v>
      </c>
      <c r="AV29" s="231">
        <f t="shared" si="25"/>
        <v>5.1516968999999996E-2</v>
      </c>
      <c r="AW29" s="232">
        <f t="shared" si="30"/>
        <v>0</v>
      </c>
      <c r="AX29" s="232">
        <f t="shared" si="31"/>
        <v>0</v>
      </c>
      <c r="AY29" s="232">
        <f t="shared" si="26"/>
        <v>3.1322317152000005E-7</v>
      </c>
      <c r="AZ29" s="227">
        <v>1</v>
      </c>
      <c r="BA29" s="227">
        <v>1</v>
      </c>
    </row>
    <row r="30" spans="1:53" s="227" customFormat="1" x14ac:dyDescent="0.3">
      <c r="A30" s="281" t="s">
        <v>240</v>
      </c>
      <c r="B30" s="281" t="str">
        <f>B22</f>
        <v>Конденсатор серы Т-405 А</v>
      </c>
      <c r="C30" s="281" t="s">
        <v>404</v>
      </c>
      <c r="D30" s="281" t="s">
        <v>405</v>
      </c>
      <c r="E30" s="282">
        <v>2.5000000000000001E-5</v>
      </c>
      <c r="F30" s="281">
        <v>1</v>
      </c>
      <c r="G30" s="281">
        <v>1</v>
      </c>
      <c r="H30" s="222">
        <f t="shared" si="22"/>
        <v>2.5000000000000001E-5</v>
      </c>
      <c r="I30" s="284">
        <f>I22</f>
        <v>19.600000000000001</v>
      </c>
      <c r="J30" s="284">
        <f>J22*0.12</f>
        <v>2.3519999999999999</v>
      </c>
      <c r="K30" s="281"/>
      <c r="L30" s="281"/>
      <c r="M30" s="285" t="str">
        <f t="shared" si="23"/>
        <v>С9</v>
      </c>
      <c r="N30" s="227" t="str">
        <f t="shared" si="23"/>
        <v>Конденсатор серы Т-405 А</v>
      </c>
      <c r="O30" s="227" t="str">
        <f t="shared" si="24"/>
        <v>Частичное-шар+пожар</v>
      </c>
      <c r="P30" s="285">
        <v>17.600000000000001</v>
      </c>
      <c r="Q30" s="285">
        <v>24.3</v>
      </c>
      <c r="R30" s="285">
        <v>34.5</v>
      </c>
      <c r="S30" s="285">
        <v>64</v>
      </c>
      <c r="T30" s="285" t="s">
        <v>83</v>
      </c>
      <c r="U30" s="285" t="s">
        <v>83</v>
      </c>
      <c r="V30" s="285" t="s">
        <v>83</v>
      </c>
      <c r="W30" s="285" t="s">
        <v>83</v>
      </c>
      <c r="X30" s="285" t="s">
        <v>83</v>
      </c>
      <c r="Y30" s="285" t="s">
        <v>83</v>
      </c>
      <c r="Z30" s="285" t="s">
        <v>83</v>
      </c>
      <c r="AA30" s="285" t="s">
        <v>83</v>
      </c>
      <c r="AB30" s="285" t="s">
        <v>83</v>
      </c>
      <c r="AC30" s="285" t="s">
        <v>83</v>
      </c>
      <c r="AD30" s="285" t="s">
        <v>83</v>
      </c>
      <c r="AE30" s="285">
        <v>33.5</v>
      </c>
      <c r="AF30" s="285">
        <v>63</v>
      </c>
      <c r="AG30" s="285">
        <v>79.5</v>
      </c>
      <c r="AH30" s="285">
        <v>107.5</v>
      </c>
      <c r="AI30" s="285" t="s">
        <v>83</v>
      </c>
      <c r="AJ30" s="285">
        <v>1</v>
      </c>
      <c r="AK30" s="285">
        <v>2</v>
      </c>
      <c r="AL30" s="285">
        <f>AL22</f>
        <v>3.63</v>
      </c>
      <c r="AM30" s="285">
        <f>AM22</f>
        <v>2.7E-2</v>
      </c>
      <c r="AN30" s="285">
        <v>5</v>
      </c>
      <c r="AO30" s="285"/>
      <c r="AP30" s="285"/>
      <c r="AQ30" s="286">
        <f>AM30*I30+AL30</f>
        <v>4.1592000000000002</v>
      </c>
      <c r="AR30" s="286">
        <f>0.1*AQ30</f>
        <v>0.41592000000000007</v>
      </c>
      <c r="AS30" s="287">
        <f>AJ30*3+0.25*AK30</f>
        <v>3.5</v>
      </c>
      <c r="AT30" s="287">
        <f>SUM(AQ30:AS30)/4</f>
        <v>2.01878</v>
      </c>
      <c r="AU30" s="286">
        <f>10068.2*J30*POWER(10,-6)</f>
        <v>2.3680406399999999E-2</v>
      </c>
      <c r="AV30" s="287">
        <f t="shared" si="25"/>
        <v>10.1175804064</v>
      </c>
      <c r="AW30" s="288">
        <f>AJ30*H30</f>
        <v>2.5000000000000001E-5</v>
      </c>
      <c r="AX30" s="288">
        <f>H30*AK30</f>
        <v>5.0000000000000002E-5</v>
      </c>
      <c r="AY30" s="288">
        <f t="shared" si="26"/>
        <v>2.5293951016E-4</v>
      </c>
      <c r="AZ30" s="227">
        <v>1</v>
      </c>
      <c r="BA30" s="227">
        <v>1</v>
      </c>
    </row>
    <row r="31" spans="1:53" ht="15" thickBot="1" x14ac:dyDescent="0.35"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  <c r="AZ31" s="227">
        <v>1</v>
      </c>
      <c r="BA31" s="227">
        <v>1</v>
      </c>
    </row>
    <row r="32" spans="1:53" s="179" customFormat="1" ht="15" thickBot="1" x14ac:dyDescent="0.35">
      <c r="A32" s="169" t="s">
        <v>18</v>
      </c>
      <c r="B32" s="312" t="s">
        <v>418</v>
      </c>
      <c r="C32" s="171" t="s">
        <v>196</v>
      </c>
      <c r="D32" s="172" t="s">
        <v>59</v>
      </c>
      <c r="E32" s="173">
        <v>9.9999999999999995E-7</v>
      </c>
      <c r="F32" s="170">
        <v>1</v>
      </c>
      <c r="G32" s="169">
        <v>0.1</v>
      </c>
      <c r="H32" s="174">
        <f t="shared" ref="H32:H37" si="33">E32*F32*G32</f>
        <v>9.9999999999999995E-8</v>
      </c>
      <c r="I32" s="175">
        <v>4.07</v>
      </c>
      <c r="J32" s="176">
        <f>I32</f>
        <v>4.07</v>
      </c>
      <c r="K32" s="177" t="s">
        <v>175</v>
      </c>
      <c r="L32" s="178">
        <v>210</v>
      </c>
      <c r="M32" s="179" t="str">
        <f t="shared" ref="M32:N37" si="34">A32</f>
        <v>С1</v>
      </c>
      <c r="N32" s="179" t="str">
        <f t="shared" si="34"/>
        <v>Аккумулятор амина V- 210</v>
      </c>
      <c r="O32" s="179" t="str">
        <f t="shared" ref="O32:O37" si="35">D32</f>
        <v>Полное-пожар</v>
      </c>
      <c r="P32" s="179">
        <v>16.3</v>
      </c>
      <c r="Q32" s="179">
        <v>22.2</v>
      </c>
      <c r="R32" s="179">
        <v>31.1</v>
      </c>
      <c r="S32" s="179">
        <v>57</v>
      </c>
      <c r="T32" s="179" t="s">
        <v>83</v>
      </c>
      <c r="U32" s="179" t="s">
        <v>83</v>
      </c>
      <c r="V32" s="179" t="s">
        <v>83</v>
      </c>
      <c r="W32" s="179" t="s">
        <v>83</v>
      </c>
      <c r="X32" s="179" t="s">
        <v>83</v>
      </c>
      <c r="Y32" s="179" t="s">
        <v>83</v>
      </c>
      <c r="Z32" s="179" t="s">
        <v>83</v>
      </c>
      <c r="AA32" s="179" t="s">
        <v>83</v>
      </c>
      <c r="AB32" s="179" t="s">
        <v>83</v>
      </c>
      <c r="AC32" s="179" t="s">
        <v>83</v>
      </c>
      <c r="AD32" s="179" t="s">
        <v>83</v>
      </c>
      <c r="AE32" s="179" t="s">
        <v>83</v>
      </c>
      <c r="AF32" s="179" t="s">
        <v>83</v>
      </c>
      <c r="AG32" s="179" t="s">
        <v>83</v>
      </c>
      <c r="AH32" s="179" t="s">
        <v>83</v>
      </c>
      <c r="AI32" s="179" t="s">
        <v>83</v>
      </c>
      <c r="AJ32" s="180">
        <v>1</v>
      </c>
      <c r="AK32" s="180">
        <v>2</v>
      </c>
      <c r="AL32" s="181">
        <v>3.36</v>
      </c>
      <c r="AM32" s="181">
        <v>2.7E-2</v>
      </c>
      <c r="AN32" s="181">
        <v>3</v>
      </c>
      <c r="AQ32" s="182">
        <f>AM32*I32+AL32</f>
        <v>3.4698899999999999</v>
      </c>
      <c r="AR32" s="182">
        <f t="shared" ref="AR32:AR37" si="36">0.1*AQ32</f>
        <v>0.34698899999999999</v>
      </c>
      <c r="AS32" s="183">
        <f t="shared" ref="AS32:AS37" si="37">AJ32*3+0.25*AK32</f>
        <v>3.5</v>
      </c>
      <c r="AT32" s="183">
        <f t="shared" ref="AT32:AT37" si="38">SUM(AQ32:AS32)/4</f>
        <v>1.82921975</v>
      </c>
      <c r="AU32" s="182">
        <f>10068.2*J32*POWER(10,-6)</f>
        <v>4.0977574000000003E-2</v>
      </c>
      <c r="AV32" s="183">
        <f t="shared" ref="AV32:AV37" si="39">AU32+AT32+AS32+AR32+AQ32</f>
        <v>9.1870763239999995</v>
      </c>
      <c r="AW32" s="184">
        <f t="shared" ref="AW32:AW37" si="40">AJ32*H32</f>
        <v>9.9999999999999995E-8</v>
      </c>
      <c r="AX32" s="184">
        <f t="shared" ref="AX32:AX37" si="41">H32*AK32</f>
        <v>1.9999999999999999E-7</v>
      </c>
      <c r="AY32" s="184">
        <f t="shared" ref="AY32:AY37" si="42">H32*AV32</f>
        <v>9.1870763239999991E-7</v>
      </c>
      <c r="AZ32" s="227">
        <v>1</v>
      </c>
      <c r="BA32" s="227">
        <v>1</v>
      </c>
    </row>
    <row r="33" spans="1:53" s="179" customFormat="1" ht="15" thickBot="1" x14ac:dyDescent="0.35">
      <c r="A33" s="169" t="s">
        <v>19</v>
      </c>
      <c r="B33" s="169" t="str">
        <f>B32</f>
        <v>Аккумулятор амина V- 210</v>
      </c>
      <c r="C33" s="171" t="s">
        <v>197</v>
      </c>
      <c r="D33" s="172" t="s">
        <v>62</v>
      </c>
      <c r="E33" s="185">
        <f>E32</f>
        <v>9.9999999999999995E-7</v>
      </c>
      <c r="F33" s="186">
        <f>F32</f>
        <v>1</v>
      </c>
      <c r="G33" s="169">
        <v>0.18000000000000002</v>
      </c>
      <c r="H33" s="174">
        <f t="shared" si="33"/>
        <v>1.8000000000000002E-7</v>
      </c>
      <c r="I33" s="187">
        <f>I32</f>
        <v>4.07</v>
      </c>
      <c r="J33" s="188">
        <v>0.24</v>
      </c>
      <c r="K33" s="177" t="s">
        <v>176</v>
      </c>
      <c r="L33" s="178">
        <v>0</v>
      </c>
      <c r="M33" s="179" t="str">
        <f t="shared" si="34"/>
        <v>С2</v>
      </c>
      <c r="N33" s="179" t="str">
        <f t="shared" si="34"/>
        <v>Аккумулятор амина V- 210</v>
      </c>
      <c r="O33" s="179" t="str">
        <f t="shared" si="35"/>
        <v>Полное-взрыв</v>
      </c>
      <c r="P33" s="179" t="s">
        <v>83</v>
      </c>
      <c r="Q33" s="179" t="s">
        <v>83</v>
      </c>
      <c r="R33" s="179" t="s">
        <v>83</v>
      </c>
      <c r="S33" s="179" t="s">
        <v>83</v>
      </c>
      <c r="T33" s="179">
        <v>0</v>
      </c>
      <c r="U33" s="179">
        <v>0</v>
      </c>
      <c r="V33" s="179">
        <v>47.1</v>
      </c>
      <c r="W33" s="179">
        <v>157.1</v>
      </c>
      <c r="X33" s="179">
        <v>408.6</v>
      </c>
      <c r="Y33" s="179" t="s">
        <v>83</v>
      </c>
      <c r="Z33" s="179" t="s">
        <v>83</v>
      </c>
      <c r="AA33" s="179" t="s">
        <v>83</v>
      </c>
      <c r="AB33" s="179" t="s">
        <v>83</v>
      </c>
      <c r="AC33" s="179" t="s">
        <v>83</v>
      </c>
      <c r="AD33" s="179" t="s">
        <v>83</v>
      </c>
      <c r="AE33" s="179" t="s">
        <v>83</v>
      </c>
      <c r="AF33" s="179" t="s">
        <v>83</v>
      </c>
      <c r="AG33" s="179" t="s">
        <v>83</v>
      </c>
      <c r="AH33" s="179" t="s">
        <v>83</v>
      </c>
      <c r="AI33" s="179" t="s">
        <v>83</v>
      </c>
      <c r="AJ33" s="180">
        <v>2</v>
      </c>
      <c r="AK33" s="180">
        <v>2</v>
      </c>
      <c r="AL33" s="179">
        <f>AL32</f>
        <v>3.36</v>
      </c>
      <c r="AM33" s="179">
        <f>AM32</f>
        <v>2.7E-2</v>
      </c>
      <c r="AN33" s="179">
        <f>AN32</f>
        <v>3</v>
      </c>
      <c r="AQ33" s="182">
        <f>AM33*I33+AL33</f>
        <v>3.4698899999999999</v>
      </c>
      <c r="AR33" s="182">
        <f t="shared" si="36"/>
        <v>0.34698899999999999</v>
      </c>
      <c r="AS33" s="183">
        <f t="shared" si="37"/>
        <v>6.5</v>
      </c>
      <c r="AT33" s="183">
        <f t="shared" si="38"/>
        <v>2.57921975</v>
      </c>
      <c r="AU33" s="182">
        <f>10068.2*J33*POWER(10,-6)*10</f>
        <v>2.416368E-2</v>
      </c>
      <c r="AV33" s="183">
        <f t="shared" si="39"/>
        <v>12.920262430000001</v>
      </c>
      <c r="AW33" s="184">
        <f t="shared" si="40"/>
        <v>3.6000000000000005E-7</v>
      </c>
      <c r="AX33" s="184">
        <f t="shared" si="41"/>
        <v>3.6000000000000005E-7</v>
      </c>
      <c r="AY33" s="184">
        <f t="shared" si="42"/>
        <v>2.3256472374000007E-6</v>
      </c>
      <c r="AZ33" s="227">
        <v>1</v>
      </c>
      <c r="BA33" s="227">
        <v>1</v>
      </c>
    </row>
    <row r="34" spans="1:53" s="179" customFormat="1" x14ac:dyDescent="0.3">
      <c r="A34" s="169" t="s">
        <v>20</v>
      </c>
      <c r="B34" s="169" t="str">
        <f>B32</f>
        <v>Аккумулятор амина V- 210</v>
      </c>
      <c r="C34" s="171" t="s">
        <v>198</v>
      </c>
      <c r="D34" s="172" t="s">
        <v>60</v>
      </c>
      <c r="E34" s="185">
        <f>E32</f>
        <v>9.9999999999999995E-7</v>
      </c>
      <c r="F34" s="186">
        <f>F32</f>
        <v>1</v>
      </c>
      <c r="G34" s="169">
        <v>0.72000000000000008</v>
      </c>
      <c r="H34" s="174">
        <f t="shared" si="33"/>
        <v>7.2000000000000009E-7</v>
      </c>
      <c r="I34" s="187">
        <f>I32</f>
        <v>4.07</v>
      </c>
      <c r="J34" s="189">
        <v>0</v>
      </c>
      <c r="K34" s="177" t="s">
        <v>177</v>
      </c>
      <c r="L34" s="178">
        <v>0</v>
      </c>
      <c r="M34" s="179" t="str">
        <f t="shared" si="34"/>
        <v>С3</v>
      </c>
      <c r="N34" s="179" t="str">
        <f t="shared" si="34"/>
        <v>Аккумулятор амина V- 210</v>
      </c>
      <c r="O34" s="179" t="str">
        <f t="shared" si="35"/>
        <v>Полное-ликвидация</v>
      </c>
      <c r="P34" s="179" t="s">
        <v>83</v>
      </c>
      <c r="Q34" s="179" t="s">
        <v>83</v>
      </c>
      <c r="R34" s="179" t="s">
        <v>83</v>
      </c>
      <c r="S34" s="179" t="s">
        <v>83</v>
      </c>
      <c r="T34" s="179" t="s">
        <v>83</v>
      </c>
      <c r="U34" s="179" t="s">
        <v>83</v>
      </c>
      <c r="V34" s="179" t="s">
        <v>83</v>
      </c>
      <c r="W34" s="179" t="s">
        <v>83</v>
      </c>
      <c r="X34" s="179" t="s">
        <v>83</v>
      </c>
      <c r="Y34" s="179" t="s">
        <v>83</v>
      </c>
      <c r="Z34" s="179" t="s">
        <v>83</v>
      </c>
      <c r="AA34" s="179" t="s">
        <v>83</v>
      </c>
      <c r="AB34" s="179" t="s">
        <v>83</v>
      </c>
      <c r="AC34" s="179" t="s">
        <v>83</v>
      </c>
      <c r="AD34" s="179" t="s">
        <v>83</v>
      </c>
      <c r="AE34" s="179" t="s">
        <v>83</v>
      </c>
      <c r="AF34" s="179" t="s">
        <v>83</v>
      </c>
      <c r="AG34" s="179" t="s">
        <v>83</v>
      </c>
      <c r="AH34" s="179" t="s">
        <v>83</v>
      </c>
      <c r="AI34" s="179" t="s">
        <v>83</v>
      </c>
      <c r="AJ34" s="179">
        <v>0</v>
      </c>
      <c r="AK34" s="179">
        <v>0</v>
      </c>
      <c r="AL34" s="179">
        <f>AL32</f>
        <v>3.36</v>
      </c>
      <c r="AM34" s="179">
        <f>AM32</f>
        <v>2.7E-2</v>
      </c>
      <c r="AN34" s="179">
        <f>AN32</f>
        <v>3</v>
      </c>
      <c r="AQ34" s="182">
        <f>AM34*I34*0.1+AL34</f>
        <v>3.3709889999999998</v>
      </c>
      <c r="AR34" s="182">
        <f t="shared" si="36"/>
        <v>0.33709889999999998</v>
      </c>
      <c r="AS34" s="183">
        <f t="shared" si="37"/>
        <v>0</v>
      </c>
      <c r="AT34" s="183">
        <f t="shared" si="38"/>
        <v>0.92702197499999994</v>
      </c>
      <c r="AU34" s="182">
        <f>1333*J33*POWER(10,-6)</f>
        <v>3.1992000000000001E-4</v>
      </c>
      <c r="AV34" s="183">
        <f t="shared" si="39"/>
        <v>4.6354297950000003</v>
      </c>
      <c r="AW34" s="184">
        <f t="shared" si="40"/>
        <v>0</v>
      </c>
      <c r="AX34" s="184">
        <f t="shared" si="41"/>
        <v>0</v>
      </c>
      <c r="AY34" s="184">
        <f t="shared" si="42"/>
        <v>3.3375094524000005E-6</v>
      </c>
      <c r="AZ34" s="227">
        <v>1</v>
      </c>
      <c r="BA34" s="227">
        <v>1</v>
      </c>
    </row>
    <row r="35" spans="1:53" s="179" customFormat="1" x14ac:dyDescent="0.3">
      <c r="A35" s="169" t="s">
        <v>21</v>
      </c>
      <c r="B35" s="169" t="str">
        <f>B32</f>
        <v>Аккумулятор амина V- 210</v>
      </c>
      <c r="C35" s="171" t="s">
        <v>199</v>
      </c>
      <c r="D35" s="172" t="s">
        <v>84</v>
      </c>
      <c r="E35" s="173">
        <v>1.0000000000000001E-5</v>
      </c>
      <c r="F35" s="186">
        <f>F32</f>
        <v>1</v>
      </c>
      <c r="G35" s="169">
        <v>0.1</v>
      </c>
      <c r="H35" s="174">
        <f t="shared" si="33"/>
        <v>1.0000000000000002E-6</v>
      </c>
      <c r="I35" s="187">
        <f>0.15*I32</f>
        <v>0.61050000000000004</v>
      </c>
      <c r="J35" s="176">
        <f>I35</f>
        <v>0.61050000000000004</v>
      </c>
      <c r="K35" s="190" t="s">
        <v>179</v>
      </c>
      <c r="L35" s="191">
        <v>45390</v>
      </c>
      <c r="M35" s="179" t="str">
        <f t="shared" si="34"/>
        <v>С4</v>
      </c>
      <c r="N35" s="179" t="str">
        <f t="shared" si="34"/>
        <v>Аккумулятор амина V- 210</v>
      </c>
      <c r="O35" s="179" t="str">
        <f t="shared" si="35"/>
        <v>Частичное-пожар</v>
      </c>
      <c r="P35" s="179">
        <v>12.4</v>
      </c>
      <c r="Q35" s="179">
        <v>15.6</v>
      </c>
      <c r="R35" s="179">
        <v>20.3</v>
      </c>
      <c r="S35" s="179">
        <v>34.299999999999997</v>
      </c>
      <c r="T35" s="179" t="s">
        <v>83</v>
      </c>
      <c r="U35" s="179" t="s">
        <v>83</v>
      </c>
      <c r="V35" s="179" t="s">
        <v>83</v>
      </c>
      <c r="W35" s="179" t="s">
        <v>83</v>
      </c>
      <c r="X35" s="179" t="s">
        <v>83</v>
      </c>
      <c r="Y35" s="179" t="s">
        <v>83</v>
      </c>
      <c r="Z35" s="179" t="s">
        <v>83</v>
      </c>
      <c r="AA35" s="179" t="s">
        <v>83</v>
      </c>
      <c r="AB35" s="179" t="s">
        <v>83</v>
      </c>
      <c r="AC35" s="179" t="s">
        <v>83</v>
      </c>
      <c r="AD35" s="179" t="s">
        <v>83</v>
      </c>
      <c r="AE35" s="179" t="s">
        <v>83</v>
      </c>
      <c r="AF35" s="179" t="s">
        <v>83</v>
      </c>
      <c r="AG35" s="179" t="s">
        <v>83</v>
      </c>
      <c r="AH35" s="179" t="s">
        <v>83</v>
      </c>
      <c r="AI35" s="179" t="s">
        <v>83</v>
      </c>
      <c r="AJ35" s="179">
        <v>0</v>
      </c>
      <c r="AK35" s="179">
        <v>2</v>
      </c>
      <c r="AL35" s="179">
        <f>0.1*AL32</f>
        <v>0.33600000000000002</v>
      </c>
      <c r="AM35" s="179">
        <f>AM32</f>
        <v>2.7E-2</v>
      </c>
      <c r="AN35" s="179">
        <f>ROUNDUP(AN32/3,0)</f>
        <v>1</v>
      </c>
      <c r="AQ35" s="182">
        <f>AM35*I35+AL35</f>
        <v>0.35248350000000001</v>
      </c>
      <c r="AR35" s="182">
        <f t="shared" si="36"/>
        <v>3.5248350000000005E-2</v>
      </c>
      <c r="AS35" s="183">
        <f t="shared" si="37"/>
        <v>0.5</v>
      </c>
      <c r="AT35" s="183">
        <f t="shared" si="38"/>
        <v>0.2219329625</v>
      </c>
      <c r="AU35" s="182">
        <f>10068.2*J35*POWER(10,-6)</f>
        <v>6.1466361000000001E-3</v>
      </c>
      <c r="AV35" s="183">
        <f t="shared" si="39"/>
        <v>1.1158114485999999</v>
      </c>
      <c r="AW35" s="184">
        <f t="shared" si="40"/>
        <v>0</v>
      </c>
      <c r="AX35" s="184">
        <f t="shared" si="41"/>
        <v>2.0000000000000003E-6</v>
      </c>
      <c r="AY35" s="184">
        <f t="shared" si="42"/>
        <v>1.1158114486E-6</v>
      </c>
      <c r="AZ35" s="227">
        <v>1</v>
      </c>
      <c r="BA35" s="227">
        <v>1</v>
      </c>
    </row>
    <row r="36" spans="1:53" s="179" customFormat="1" x14ac:dyDescent="0.3">
      <c r="A36" s="169" t="s">
        <v>22</v>
      </c>
      <c r="B36" s="169" t="str">
        <f>B32</f>
        <v>Аккумулятор амина V- 210</v>
      </c>
      <c r="C36" s="171" t="s">
        <v>200</v>
      </c>
      <c r="D36" s="172" t="s">
        <v>165</v>
      </c>
      <c r="E36" s="185">
        <f>E35</f>
        <v>1.0000000000000001E-5</v>
      </c>
      <c r="F36" s="186">
        <f>F32</f>
        <v>1</v>
      </c>
      <c r="G36" s="169">
        <v>4.5000000000000005E-2</v>
      </c>
      <c r="H36" s="174">
        <f t="shared" si="33"/>
        <v>4.5000000000000009E-7</v>
      </c>
      <c r="I36" s="187">
        <f>0.15*I32</f>
        <v>0.61050000000000004</v>
      </c>
      <c r="J36" s="176">
        <f>0.15*J33</f>
        <v>3.5999999999999997E-2</v>
      </c>
      <c r="K36" s="190" t="s">
        <v>180</v>
      </c>
      <c r="L36" s="191">
        <v>3</v>
      </c>
      <c r="M36" s="179" t="str">
        <f t="shared" si="34"/>
        <v>С5</v>
      </c>
      <c r="N36" s="179" t="str">
        <f t="shared" si="34"/>
        <v>Аккумулятор амина V- 210</v>
      </c>
      <c r="O36" s="179" t="str">
        <f t="shared" si="35"/>
        <v>Частичное-пожар-вспышка</v>
      </c>
      <c r="P36" s="179" t="s">
        <v>83</v>
      </c>
      <c r="Q36" s="179" t="s">
        <v>83</v>
      </c>
      <c r="R36" s="179" t="s">
        <v>83</v>
      </c>
      <c r="S36" s="179" t="s">
        <v>83</v>
      </c>
      <c r="T36" s="179" t="s">
        <v>83</v>
      </c>
      <c r="U36" s="179" t="s">
        <v>83</v>
      </c>
      <c r="V36" s="179" t="s">
        <v>83</v>
      </c>
      <c r="W36" s="179" t="s">
        <v>83</v>
      </c>
      <c r="X36" s="179" t="s">
        <v>83</v>
      </c>
      <c r="Y36" s="179" t="s">
        <v>83</v>
      </c>
      <c r="Z36" s="179" t="s">
        <v>83</v>
      </c>
      <c r="AA36" s="179">
        <v>11.19</v>
      </c>
      <c r="AB36" s="179">
        <v>13.43</v>
      </c>
      <c r="AC36" s="179" t="s">
        <v>83</v>
      </c>
      <c r="AD36" s="179" t="s">
        <v>83</v>
      </c>
      <c r="AE36" s="179" t="s">
        <v>83</v>
      </c>
      <c r="AF36" s="179" t="s">
        <v>83</v>
      </c>
      <c r="AG36" s="179" t="s">
        <v>83</v>
      </c>
      <c r="AH36" s="179" t="s">
        <v>83</v>
      </c>
      <c r="AI36" s="179" t="s">
        <v>83</v>
      </c>
      <c r="AJ36" s="179">
        <v>0</v>
      </c>
      <c r="AK36" s="179">
        <v>1</v>
      </c>
      <c r="AL36" s="179">
        <f t="shared" ref="AL36:AL37" si="43">0.1*AL33</f>
        <v>0.33600000000000002</v>
      </c>
      <c r="AM36" s="179">
        <f>AM32</f>
        <v>2.7E-2</v>
      </c>
      <c r="AN36" s="179">
        <f>ROUNDUP(AN32/3,0)</f>
        <v>1</v>
      </c>
      <c r="AQ36" s="182">
        <f>AM36*I36+AL36</f>
        <v>0.35248350000000001</v>
      </c>
      <c r="AR36" s="182">
        <f t="shared" si="36"/>
        <v>3.5248350000000005E-2</v>
      </c>
      <c r="AS36" s="183">
        <f t="shared" si="37"/>
        <v>0.25</v>
      </c>
      <c r="AT36" s="183">
        <f t="shared" si="38"/>
        <v>0.1594329625</v>
      </c>
      <c r="AU36" s="182">
        <f>10068.2*J36*POWER(10,-6)*10</f>
        <v>3.6245519999999996E-3</v>
      </c>
      <c r="AV36" s="183">
        <f t="shared" si="39"/>
        <v>0.80078936449999993</v>
      </c>
      <c r="AW36" s="184">
        <f t="shared" si="40"/>
        <v>0</v>
      </c>
      <c r="AX36" s="184">
        <f t="shared" si="41"/>
        <v>4.5000000000000009E-7</v>
      </c>
      <c r="AY36" s="184">
        <f t="shared" si="42"/>
        <v>3.6035521402500005E-7</v>
      </c>
      <c r="AZ36" s="227">
        <v>1</v>
      </c>
      <c r="BA36" s="227">
        <v>1</v>
      </c>
    </row>
    <row r="37" spans="1:53" s="179" customFormat="1" ht="15" thickBot="1" x14ac:dyDescent="0.35">
      <c r="A37" s="169" t="s">
        <v>23</v>
      </c>
      <c r="B37" s="169" t="str">
        <f>B32</f>
        <v>Аккумулятор амина V- 210</v>
      </c>
      <c r="C37" s="171" t="s">
        <v>201</v>
      </c>
      <c r="D37" s="172" t="s">
        <v>61</v>
      </c>
      <c r="E37" s="185">
        <f>E35</f>
        <v>1.0000000000000001E-5</v>
      </c>
      <c r="F37" s="186">
        <f>F32</f>
        <v>1</v>
      </c>
      <c r="G37" s="169">
        <v>0.85499999999999998</v>
      </c>
      <c r="H37" s="174">
        <f t="shared" si="33"/>
        <v>8.5500000000000011E-6</v>
      </c>
      <c r="I37" s="187">
        <f>0.15*I32</f>
        <v>0.61050000000000004</v>
      </c>
      <c r="J37" s="189">
        <v>0</v>
      </c>
      <c r="K37" s="192" t="s">
        <v>191</v>
      </c>
      <c r="L37" s="192">
        <v>9</v>
      </c>
      <c r="M37" s="179" t="str">
        <f t="shared" si="34"/>
        <v>С6</v>
      </c>
      <c r="N37" s="179" t="str">
        <f t="shared" si="34"/>
        <v>Аккумулятор амина V- 210</v>
      </c>
      <c r="O37" s="179" t="str">
        <f t="shared" si="35"/>
        <v>Частичное-ликвидация</v>
      </c>
      <c r="P37" s="179" t="s">
        <v>83</v>
      </c>
      <c r="Q37" s="179" t="s">
        <v>83</v>
      </c>
      <c r="R37" s="179" t="s">
        <v>83</v>
      </c>
      <c r="S37" s="179" t="s">
        <v>83</v>
      </c>
      <c r="T37" s="179" t="s">
        <v>83</v>
      </c>
      <c r="U37" s="179" t="s">
        <v>83</v>
      </c>
      <c r="V37" s="179" t="s">
        <v>83</v>
      </c>
      <c r="W37" s="179" t="s">
        <v>83</v>
      </c>
      <c r="X37" s="179" t="s">
        <v>83</v>
      </c>
      <c r="Y37" s="179" t="s">
        <v>83</v>
      </c>
      <c r="Z37" s="179" t="s">
        <v>83</v>
      </c>
      <c r="AA37" s="179" t="s">
        <v>83</v>
      </c>
      <c r="AB37" s="179" t="s">
        <v>83</v>
      </c>
      <c r="AC37" s="179" t="s">
        <v>83</v>
      </c>
      <c r="AD37" s="179" t="s">
        <v>83</v>
      </c>
      <c r="AE37" s="179" t="s">
        <v>83</v>
      </c>
      <c r="AF37" s="179" t="s">
        <v>83</v>
      </c>
      <c r="AG37" s="179" t="s">
        <v>83</v>
      </c>
      <c r="AH37" s="179" t="s">
        <v>83</v>
      </c>
      <c r="AI37" s="179" t="s">
        <v>83</v>
      </c>
      <c r="AJ37" s="179">
        <v>0</v>
      </c>
      <c r="AK37" s="179">
        <v>0</v>
      </c>
      <c r="AL37" s="179">
        <f t="shared" si="43"/>
        <v>0.33600000000000002</v>
      </c>
      <c r="AM37" s="179">
        <f>AM32</f>
        <v>2.7E-2</v>
      </c>
      <c r="AN37" s="179">
        <f>ROUNDUP(AN32/3,0)</f>
        <v>1</v>
      </c>
      <c r="AQ37" s="182">
        <f>AM37*I37*0.1+AL37</f>
        <v>0.33764835000000004</v>
      </c>
      <c r="AR37" s="182">
        <f t="shared" si="36"/>
        <v>3.3764835000000007E-2</v>
      </c>
      <c r="AS37" s="183">
        <f t="shared" si="37"/>
        <v>0</v>
      </c>
      <c r="AT37" s="183">
        <f t="shared" si="38"/>
        <v>9.2853296250000009E-2</v>
      </c>
      <c r="AU37" s="182">
        <f>1333*J36*POWER(10,-6)</f>
        <v>4.7987999999999995E-5</v>
      </c>
      <c r="AV37" s="183">
        <f t="shared" si="39"/>
        <v>0.46431446925000008</v>
      </c>
      <c r="AW37" s="184">
        <f t="shared" si="40"/>
        <v>0</v>
      </c>
      <c r="AX37" s="184">
        <f t="shared" si="41"/>
        <v>0</v>
      </c>
      <c r="AY37" s="184">
        <f t="shared" si="42"/>
        <v>3.9698887120875015E-6</v>
      </c>
      <c r="AZ37" s="227">
        <v>1</v>
      </c>
      <c r="BA37" s="227">
        <v>1</v>
      </c>
    </row>
    <row r="38" spans="1:53" s="179" customFormat="1" x14ac:dyDescent="0.3">
      <c r="A38" s="180"/>
      <c r="B38" s="180"/>
      <c r="D38" s="271"/>
      <c r="E38" s="272"/>
      <c r="F38" s="273"/>
      <c r="G38" s="180"/>
      <c r="H38" s="184"/>
      <c r="I38" s="183"/>
      <c r="J38" s="180"/>
      <c r="K38" s="180"/>
      <c r="L38" s="180"/>
      <c r="P38" s="179" t="s">
        <v>83</v>
      </c>
      <c r="Q38" s="179" t="s">
        <v>83</v>
      </c>
      <c r="R38" s="179" t="s">
        <v>83</v>
      </c>
      <c r="S38" s="179" t="s">
        <v>83</v>
      </c>
      <c r="T38" s="179" t="s">
        <v>83</v>
      </c>
      <c r="U38" s="179" t="s">
        <v>83</v>
      </c>
      <c r="V38" s="179" t="s">
        <v>83</v>
      </c>
      <c r="W38" s="179" t="s">
        <v>83</v>
      </c>
      <c r="X38" s="179" t="s">
        <v>83</v>
      </c>
      <c r="Y38" s="179" t="s">
        <v>83</v>
      </c>
      <c r="Z38" s="179" t="s">
        <v>83</v>
      </c>
      <c r="AA38" s="179" t="s">
        <v>83</v>
      </c>
      <c r="AB38" s="179" t="s">
        <v>83</v>
      </c>
      <c r="AC38" s="179" t="s">
        <v>83</v>
      </c>
      <c r="AD38" s="179" t="s">
        <v>83</v>
      </c>
      <c r="AE38" s="179" t="s">
        <v>83</v>
      </c>
      <c r="AF38" s="179" t="s">
        <v>83</v>
      </c>
      <c r="AG38" s="179" t="s">
        <v>83</v>
      </c>
      <c r="AH38" s="179" t="s">
        <v>83</v>
      </c>
      <c r="AI38" s="179" t="s">
        <v>83</v>
      </c>
      <c r="AQ38" s="182"/>
      <c r="AR38" s="182"/>
      <c r="AS38" s="183"/>
      <c r="AT38" s="183"/>
      <c r="AU38" s="182"/>
      <c r="AV38" s="183"/>
      <c r="AW38" s="184"/>
      <c r="AX38" s="184"/>
      <c r="AY38" s="184"/>
      <c r="AZ38" s="227">
        <v>1</v>
      </c>
      <c r="BA38" s="227">
        <v>1</v>
      </c>
    </row>
    <row r="39" spans="1:53" s="179" customFormat="1" x14ac:dyDescent="0.3">
      <c r="A39" s="180"/>
      <c r="B39" s="180"/>
      <c r="D39" s="271"/>
      <c r="E39" s="272"/>
      <c r="F39" s="273"/>
      <c r="G39" s="180"/>
      <c r="H39" s="184"/>
      <c r="I39" s="183"/>
      <c r="J39" s="180"/>
      <c r="K39" s="180"/>
      <c r="L39" s="180"/>
      <c r="P39" s="179" t="s">
        <v>83</v>
      </c>
      <c r="Q39" s="179" t="s">
        <v>83</v>
      </c>
      <c r="R39" s="179" t="s">
        <v>83</v>
      </c>
      <c r="S39" s="179" t="s">
        <v>83</v>
      </c>
      <c r="T39" s="179" t="s">
        <v>83</v>
      </c>
      <c r="U39" s="179" t="s">
        <v>83</v>
      </c>
      <c r="V39" s="179" t="s">
        <v>83</v>
      </c>
      <c r="W39" s="179" t="s">
        <v>83</v>
      </c>
      <c r="X39" s="179" t="s">
        <v>83</v>
      </c>
      <c r="Y39" s="179" t="s">
        <v>83</v>
      </c>
      <c r="Z39" s="179" t="s">
        <v>83</v>
      </c>
      <c r="AA39" s="179" t="s">
        <v>83</v>
      </c>
      <c r="AB39" s="179" t="s">
        <v>83</v>
      </c>
      <c r="AC39" s="179" t="s">
        <v>83</v>
      </c>
      <c r="AD39" s="179" t="s">
        <v>83</v>
      </c>
      <c r="AE39" s="179" t="s">
        <v>83</v>
      </c>
      <c r="AF39" s="179" t="s">
        <v>83</v>
      </c>
      <c r="AG39" s="179" t="s">
        <v>83</v>
      </c>
      <c r="AH39" s="179" t="s">
        <v>83</v>
      </c>
      <c r="AI39" s="179" t="s">
        <v>83</v>
      </c>
      <c r="AQ39" s="182"/>
      <c r="AR39" s="182"/>
      <c r="AS39" s="183"/>
      <c r="AT39" s="183"/>
      <c r="AU39" s="182"/>
      <c r="AV39" s="183"/>
      <c r="AW39" s="184"/>
      <c r="AX39" s="184"/>
      <c r="AY39" s="184"/>
      <c r="AZ39" s="227">
        <v>1</v>
      </c>
      <c r="BA39" s="227">
        <v>1</v>
      </c>
    </row>
    <row r="40" spans="1:53" s="179" customFormat="1" x14ac:dyDescent="0.3">
      <c r="A40" s="180"/>
      <c r="B40" s="180"/>
      <c r="D40" s="271"/>
      <c r="E40" s="272"/>
      <c r="F40" s="273"/>
      <c r="G40" s="180"/>
      <c r="H40" s="184"/>
      <c r="I40" s="183"/>
      <c r="J40" s="180"/>
      <c r="K40" s="180"/>
      <c r="L40" s="180"/>
      <c r="P40" s="179" t="s">
        <v>83</v>
      </c>
      <c r="Q40" s="179" t="s">
        <v>83</v>
      </c>
      <c r="R40" s="179" t="s">
        <v>83</v>
      </c>
      <c r="S40" s="179" t="s">
        <v>83</v>
      </c>
      <c r="T40" s="179" t="s">
        <v>83</v>
      </c>
      <c r="U40" s="179" t="s">
        <v>83</v>
      </c>
      <c r="V40" s="179" t="s">
        <v>83</v>
      </c>
      <c r="W40" s="179" t="s">
        <v>83</v>
      </c>
      <c r="X40" s="179" t="s">
        <v>83</v>
      </c>
      <c r="Y40" s="179" t="s">
        <v>83</v>
      </c>
      <c r="Z40" s="179" t="s">
        <v>83</v>
      </c>
      <c r="AA40" s="179" t="s">
        <v>83</v>
      </c>
      <c r="AB40" s="179" t="s">
        <v>83</v>
      </c>
      <c r="AC40" s="179" t="s">
        <v>83</v>
      </c>
      <c r="AD40" s="179" t="s">
        <v>83</v>
      </c>
      <c r="AE40" s="179" t="s">
        <v>83</v>
      </c>
      <c r="AF40" s="179" t="s">
        <v>83</v>
      </c>
      <c r="AG40" s="179" t="s">
        <v>83</v>
      </c>
      <c r="AH40" s="179" t="s">
        <v>83</v>
      </c>
      <c r="AI40" s="179" t="s">
        <v>83</v>
      </c>
      <c r="AQ40" s="182"/>
      <c r="AR40" s="182"/>
      <c r="AS40" s="183"/>
      <c r="AT40" s="183"/>
      <c r="AU40" s="182"/>
      <c r="AV40" s="183"/>
      <c r="AW40" s="184"/>
      <c r="AX40" s="184"/>
      <c r="AY40" s="184"/>
      <c r="AZ40" s="227">
        <v>1</v>
      </c>
      <c r="BA40" s="227">
        <v>1</v>
      </c>
    </row>
    <row r="41" spans="1:53" ht="15" thickBot="1" x14ac:dyDescent="0.35"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Z41" s="227">
        <v>1</v>
      </c>
      <c r="BA41" s="227">
        <v>1</v>
      </c>
    </row>
    <row r="42" spans="1:53" s="179" customFormat="1" ht="15" thickBot="1" x14ac:dyDescent="0.35">
      <c r="A42" s="169" t="s">
        <v>18</v>
      </c>
      <c r="B42" s="312" t="s">
        <v>419</v>
      </c>
      <c r="C42" s="171" t="s">
        <v>196</v>
      </c>
      <c r="D42" s="172" t="s">
        <v>59</v>
      </c>
      <c r="E42" s="173">
        <v>9.9999999999999995E-7</v>
      </c>
      <c r="F42" s="170">
        <v>1</v>
      </c>
      <c r="G42" s="169">
        <v>0.1</v>
      </c>
      <c r="H42" s="174">
        <f t="shared" ref="H42:H47" si="44">E42*F42*G42</f>
        <v>9.9999999999999995E-8</v>
      </c>
      <c r="I42" s="175">
        <v>6.96</v>
      </c>
      <c r="J42" s="176">
        <f>I42</f>
        <v>6.96</v>
      </c>
      <c r="K42" s="177" t="s">
        <v>175</v>
      </c>
      <c r="L42" s="178">
        <v>230</v>
      </c>
      <c r="M42" s="179" t="str">
        <f t="shared" ref="M42:N47" si="45">A42</f>
        <v>С1</v>
      </c>
      <c r="N42" s="179" t="str">
        <f t="shared" si="45"/>
        <v xml:space="preserve">Дренажная емкость амина V-214 </v>
      </c>
      <c r="O42" s="179" t="str">
        <f t="shared" ref="O42:O47" si="46">D42</f>
        <v>Полное-пожар</v>
      </c>
      <c r="P42" s="179">
        <v>16.5</v>
      </c>
      <c r="Q42" s="179">
        <v>22.5</v>
      </c>
      <c r="R42" s="179">
        <v>31.6</v>
      </c>
      <c r="S42" s="179">
        <v>58</v>
      </c>
      <c r="T42" s="179" t="s">
        <v>83</v>
      </c>
      <c r="U42" s="179" t="s">
        <v>83</v>
      </c>
      <c r="V42" s="179" t="s">
        <v>83</v>
      </c>
      <c r="W42" s="179" t="s">
        <v>83</v>
      </c>
      <c r="X42" s="179" t="s">
        <v>83</v>
      </c>
      <c r="Y42" s="179" t="s">
        <v>83</v>
      </c>
      <c r="Z42" s="179" t="s">
        <v>83</v>
      </c>
      <c r="AA42" s="179" t="s">
        <v>83</v>
      </c>
      <c r="AB42" s="179" t="s">
        <v>83</v>
      </c>
      <c r="AC42" s="179" t="s">
        <v>83</v>
      </c>
      <c r="AD42" s="179" t="s">
        <v>83</v>
      </c>
      <c r="AE42" s="179" t="s">
        <v>83</v>
      </c>
      <c r="AF42" s="179" t="s">
        <v>83</v>
      </c>
      <c r="AG42" s="179" t="s">
        <v>83</v>
      </c>
      <c r="AH42" s="179" t="s">
        <v>83</v>
      </c>
      <c r="AI42" s="179" t="s">
        <v>83</v>
      </c>
      <c r="AJ42" s="180">
        <v>1</v>
      </c>
      <c r="AK42" s="180">
        <v>2</v>
      </c>
      <c r="AL42" s="181">
        <v>5.21</v>
      </c>
      <c r="AM42" s="181">
        <v>2.7E-2</v>
      </c>
      <c r="AN42" s="181">
        <v>3</v>
      </c>
      <c r="AQ42" s="182">
        <f>AM42*I42+AL42</f>
        <v>5.3979200000000001</v>
      </c>
      <c r="AR42" s="182">
        <f t="shared" ref="AR42:AR47" si="47">0.1*AQ42</f>
        <v>0.53979200000000005</v>
      </c>
      <c r="AS42" s="183">
        <f t="shared" ref="AS42:AS47" si="48">AJ42*3+0.25*AK42</f>
        <v>3.5</v>
      </c>
      <c r="AT42" s="183">
        <f t="shared" ref="AT42:AT47" si="49">SUM(AQ42:AS42)/4</f>
        <v>2.3594280000000003</v>
      </c>
      <c r="AU42" s="182">
        <f>10068.2*J42*POWER(10,-6)</f>
        <v>7.0074672000000005E-2</v>
      </c>
      <c r="AV42" s="183">
        <f t="shared" ref="AV42:AV47" si="50">AU42+AT42+AS42+AR42+AQ42</f>
        <v>11.867214671999999</v>
      </c>
      <c r="AW42" s="184">
        <f t="shared" ref="AW42:AW47" si="51">AJ42*H42</f>
        <v>9.9999999999999995E-8</v>
      </c>
      <c r="AX42" s="184">
        <f t="shared" ref="AX42:AX47" si="52">H42*AK42</f>
        <v>1.9999999999999999E-7</v>
      </c>
      <c r="AY42" s="184">
        <f t="shared" ref="AY42:AY47" si="53">H42*AV42</f>
        <v>1.1867214671999998E-6</v>
      </c>
      <c r="AZ42" s="227">
        <v>1</v>
      </c>
      <c r="BA42" s="227">
        <v>1</v>
      </c>
    </row>
    <row r="43" spans="1:53" s="179" customFormat="1" ht="15" thickBot="1" x14ac:dyDescent="0.35">
      <c r="A43" s="169" t="s">
        <v>19</v>
      </c>
      <c r="B43" s="169" t="str">
        <f>B42</f>
        <v xml:space="preserve">Дренажная емкость амина V-214 </v>
      </c>
      <c r="C43" s="171" t="s">
        <v>197</v>
      </c>
      <c r="D43" s="172" t="s">
        <v>62</v>
      </c>
      <c r="E43" s="185">
        <f>E42</f>
        <v>9.9999999999999995E-7</v>
      </c>
      <c r="F43" s="186">
        <f>F42</f>
        <v>1</v>
      </c>
      <c r="G43" s="169">
        <v>0.18000000000000002</v>
      </c>
      <c r="H43" s="174">
        <f t="shared" si="44"/>
        <v>1.8000000000000002E-7</v>
      </c>
      <c r="I43" s="187">
        <f>I42</f>
        <v>6.96</v>
      </c>
      <c r="J43" s="188">
        <v>0.15</v>
      </c>
      <c r="K43" s="177" t="s">
        <v>176</v>
      </c>
      <c r="L43" s="178">
        <v>0</v>
      </c>
      <c r="M43" s="179" t="str">
        <f t="shared" si="45"/>
        <v>С2</v>
      </c>
      <c r="N43" s="179" t="str">
        <f t="shared" si="45"/>
        <v xml:space="preserve">Дренажная емкость амина V-214 </v>
      </c>
      <c r="O43" s="179" t="str">
        <f t="shared" si="46"/>
        <v>Полное-взрыв</v>
      </c>
      <c r="P43" s="179" t="s">
        <v>83</v>
      </c>
      <c r="Q43" s="179" t="s">
        <v>83</v>
      </c>
      <c r="R43" s="179" t="s">
        <v>83</v>
      </c>
      <c r="S43" s="179" t="s">
        <v>83</v>
      </c>
      <c r="T43" s="179">
        <v>0</v>
      </c>
      <c r="U43" s="179">
        <v>0</v>
      </c>
      <c r="V43" s="179">
        <v>40.1</v>
      </c>
      <c r="W43" s="179">
        <v>134.1</v>
      </c>
      <c r="X43" s="179">
        <v>349.6</v>
      </c>
      <c r="Y43" s="179" t="s">
        <v>83</v>
      </c>
      <c r="Z43" s="179" t="s">
        <v>83</v>
      </c>
      <c r="AA43" s="179" t="s">
        <v>83</v>
      </c>
      <c r="AB43" s="179" t="s">
        <v>83</v>
      </c>
      <c r="AC43" s="179" t="s">
        <v>83</v>
      </c>
      <c r="AD43" s="179" t="s">
        <v>83</v>
      </c>
      <c r="AE43" s="179" t="s">
        <v>83</v>
      </c>
      <c r="AF43" s="179" t="s">
        <v>83</v>
      </c>
      <c r="AG43" s="179" t="s">
        <v>83</v>
      </c>
      <c r="AH43" s="179" t="s">
        <v>83</v>
      </c>
      <c r="AI43" s="179" t="s">
        <v>83</v>
      </c>
      <c r="AJ43" s="180">
        <v>2</v>
      </c>
      <c r="AK43" s="180">
        <v>2</v>
      </c>
      <c r="AL43" s="179">
        <f>AL42</f>
        <v>5.21</v>
      </c>
      <c r="AM43" s="179">
        <f>AM42</f>
        <v>2.7E-2</v>
      </c>
      <c r="AN43" s="179">
        <f>AN42</f>
        <v>3</v>
      </c>
      <c r="AQ43" s="182">
        <f>AM43*I43+AL43</f>
        <v>5.3979200000000001</v>
      </c>
      <c r="AR43" s="182">
        <f t="shared" si="47"/>
        <v>0.53979200000000005</v>
      </c>
      <c r="AS43" s="183">
        <f t="shared" si="48"/>
        <v>6.5</v>
      </c>
      <c r="AT43" s="183">
        <f t="shared" si="49"/>
        <v>3.1094280000000003</v>
      </c>
      <c r="AU43" s="182">
        <f>10068.2*J43*POWER(10,-6)*10</f>
        <v>1.5102299999999999E-2</v>
      </c>
      <c r="AV43" s="183">
        <f t="shared" si="50"/>
        <v>15.562242300000001</v>
      </c>
      <c r="AW43" s="184">
        <f t="shared" si="51"/>
        <v>3.6000000000000005E-7</v>
      </c>
      <c r="AX43" s="184">
        <f t="shared" si="52"/>
        <v>3.6000000000000005E-7</v>
      </c>
      <c r="AY43" s="184">
        <f t="shared" si="53"/>
        <v>2.8012036140000006E-6</v>
      </c>
      <c r="AZ43" s="227">
        <v>1</v>
      </c>
      <c r="BA43" s="227">
        <v>1</v>
      </c>
    </row>
    <row r="44" spans="1:53" s="179" customFormat="1" x14ac:dyDescent="0.3">
      <c r="A44" s="169" t="s">
        <v>20</v>
      </c>
      <c r="B44" s="169" t="str">
        <f>B42</f>
        <v xml:space="preserve">Дренажная емкость амина V-214 </v>
      </c>
      <c r="C44" s="171" t="s">
        <v>198</v>
      </c>
      <c r="D44" s="172" t="s">
        <v>60</v>
      </c>
      <c r="E44" s="185">
        <f>E42</f>
        <v>9.9999999999999995E-7</v>
      </c>
      <c r="F44" s="186">
        <f>F42</f>
        <v>1</v>
      </c>
      <c r="G44" s="169">
        <v>0.72000000000000008</v>
      </c>
      <c r="H44" s="174">
        <f t="shared" si="44"/>
        <v>7.2000000000000009E-7</v>
      </c>
      <c r="I44" s="187">
        <f>I42</f>
        <v>6.96</v>
      </c>
      <c r="J44" s="189">
        <v>0</v>
      </c>
      <c r="K44" s="177" t="s">
        <v>177</v>
      </c>
      <c r="L44" s="178">
        <v>0</v>
      </c>
      <c r="M44" s="179" t="str">
        <f t="shared" si="45"/>
        <v>С3</v>
      </c>
      <c r="N44" s="179" t="str">
        <f t="shared" si="45"/>
        <v xml:space="preserve">Дренажная емкость амина V-214 </v>
      </c>
      <c r="O44" s="179" t="str">
        <f t="shared" si="46"/>
        <v>Полное-ликвидация</v>
      </c>
      <c r="P44" s="179" t="s">
        <v>83</v>
      </c>
      <c r="Q44" s="179" t="s">
        <v>83</v>
      </c>
      <c r="R44" s="179" t="s">
        <v>83</v>
      </c>
      <c r="S44" s="179" t="s">
        <v>83</v>
      </c>
      <c r="T44" s="179" t="s">
        <v>83</v>
      </c>
      <c r="U44" s="179" t="s">
        <v>83</v>
      </c>
      <c r="V44" s="179" t="s">
        <v>83</v>
      </c>
      <c r="W44" s="179" t="s">
        <v>83</v>
      </c>
      <c r="X44" s="179" t="s">
        <v>83</v>
      </c>
      <c r="Y44" s="179" t="s">
        <v>83</v>
      </c>
      <c r="Z44" s="179" t="s">
        <v>83</v>
      </c>
      <c r="AA44" s="179" t="s">
        <v>83</v>
      </c>
      <c r="AB44" s="179" t="s">
        <v>83</v>
      </c>
      <c r="AC44" s="179" t="s">
        <v>83</v>
      </c>
      <c r="AD44" s="179" t="s">
        <v>83</v>
      </c>
      <c r="AE44" s="179" t="s">
        <v>83</v>
      </c>
      <c r="AF44" s="179" t="s">
        <v>83</v>
      </c>
      <c r="AG44" s="179" t="s">
        <v>83</v>
      </c>
      <c r="AH44" s="179" t="s">
        <v>83</v>
      </c>
      <c r="AI44" s="179" t="s">
        <v>83</v>
      </c>
      <c r="AJ44" s="179">
        <v>0</v>
      </c>
      <c r="AK44" s="179">
        <v>0</v>
      </c>
      <c r="AL44" s="179">
        <f>AL42</f>
        <v>5.21</v>
      </c>
      <c r="AM44" s="179">
        <f>AM42</f>
        <v>2.7E-2</v>
      </c>
      <c r="AN44" s="179">
        <f>AN42</f>
        <v>3</v>
      </c>
      <c r="AQ44" s="182">
        <f>AM44*I44*0.1+AL44</f>
        <v>5.2287920000000003</v>
      </c>
      <c r="AR44" s="182">
        <f t="shared" si="47"/>
        <v>0.5228792000000001</v>
      </c>
      <c r="AS44" s="183">
        <f t="shared" si="48"/>
        <v>0</v>
      </c>
      <c r="AT44" s="183">
        <f t="shared" si="49"/>
        <v>1.4379178000000001</v>
      </c>
      <c r="AU44" s="182">
        <f>1333*J43*POWER(10,-6)</f>
        <v>1.9994999999999998E-4</v>
      </c>
      <c r="AV44" s="183">
        <f t="shared" si="50"/>
        <v>7.1897889500000005</v>
      </c>
      <c r="AW44" s="184">
        <f t="shared" si="51"/>
        <v>0</v>
      </c>
      <c r="AX44" s="184">
        <f t="shared" si="52"/>
        <v>0</v>
      </c>
      <c r="AY44" s="184">
        <f t="shared" si="53"/>
        <v>5.1766480440000008E-6</v>
      </c>
      <c r="AZ44" s="227">
        <v>1</v>
      </c>
      <c r="BA44" s="227">
        <v>1</v>
      </c>
    </row>
    <row r="45" spans="1:53" s="179" customFormat="1" x14ac:dyDescent="0.3">
      <c r="A45" s="169" t="s">
        <v>21</v>
      </c>
      <c r="B45" s="169" t="str">
        <f>B42</f>
        <v xml:space="preserve">Дренажная емкость амина V-214 </v>
      </c>
      <c r="C45" s="171" t="s">
        <v>199</v>
      </c>
      <c r="D45" s="172" t="s">
        <v>84</v>
      </c>
      <c r="E45" s="173">
        <v>1.0000000000000001E-5</v>
      </c>
      <c r="F45" s="186">
        <f>F42</f>
        <v>1</v>
      </c>
      <c r="G45" s="169">
        <v>0.1</v>
      </c>
      <c r="H45" s="174">
        <f t="shared" si="44"/>
        <v>1.0000000000000002E-6</v>
      </c>
      <c r="I45" s="187">
        <f>0.15*I42</f>
        <v>1.044</v>
      </c>
      <c r="J45" s="176">
        <f>I45</f>
        <v>1.044</v>
      </c>
      <c r="K45" s="190" t="s">
        <v>179</v>
      </c>
      <c r="L45" s="191">
        <v>45390</v>
      </c>
      <c r="M45" s="179" t="str">
        <f t="shared" si="45"/>
        <v>С4</v>
      </c>
      <c r="N45" s="179" t="str">
        <f t="shared" si="45"/>
        <v xml:space="preserve">Дренажная емкость амина V-214 </v>
      </c>
      <c r="O45" s="179" t="str">
        <f t="shared" si="46"/>
        <v>Частичное-пожар</v>
      </c>
      <c r="P45" s="179">
        <v>12.5</v>
      </c>
      <c r="Q45" s="179">
        <v>15.8</v>
      </c>
      <c r="R45" s="179">
        <v>20.7</v>
      </c>
      <c r="S45" s="179">
        <v>35.1</v>
      </c>
      <c r="T45" s="179" t="s">
        <v>83</v>
      </c>
      <c r="U45" s="179" t="s">
        <v>83</v>
      </c>
      <c r="V45" s="179" t="s">
        <v>83</v>
      </c>
      <c r="W45" s="179" t="s">
        <v>83</v>
      </c>
      <c r="X45" s="179" t="s">
        <v>83</v>
      </c>
      <c r="Y45" s="179" t="s">
        <v>83</v>
      </c>
      <c r="Z45" s="179" t="s">
        <v>83</v>
      </c>
      <c r="AA45" s="179" t="s">
        <v>83</v>
      </c>
      <c r="AB45" s="179" t="s">
        <v>83</v>
      </c>
      <c r="AC45" s="179" t="s">
        <v>83</v>
      </c>
      <c r="AD45" s="179" t="s">
        <v>83</v>
      </c>
      <c r="AE45" s="179" t="s">
        <v>83</v>
      </c>
      <c r="AF45" s="179" t="s">
        <v>83</v>
      </c>
      <c r="AG45" s="179" t="s">
        <v>83</v>
      </c>
      <c r="AH45" s="179" t="s">
        <v>83</v>
      </c>
      <c r="AI45" s="179" t="s">
        <v>83</v>
      </c>
      <c r="AJ45" s="179">
        <v>0</v>
      </c>
      <c r="AK45" s="179">
        <v>2</v>
      </c>
      <c r="AL45" s="179">
        <f>0.1*AL42</f>
        <v>0.52100000000000002</v>
      </c>
      <c r="AM45" s="179">
        <f>AM42</f>
        <v>2.7E-2</v>
      </c>
      <c r="AN45" s="179">
        <f>ROUNDUP(AN42/3,0)</f>
        <v>1</v>
      </c>
      <c r="AQ45" s="182">
        <f>AM45*I45+AL45</f>
        <v>0.54918800000000001</v>
      </c>
      <c r="AR45" s="182">
        <f t="shared" si="47"/>
        <v>5.4918800000000004E-2</v>
      </c>
      <c r="AS45" s="183">
        <f t="shared" si="48"/>
        <v>0.5</v>
      </c>
      <c r="AT45" s="183">
        <f t="shared" si="49"/>
        <v>0.27602670000000001</v>
      </c>
      <c r="AU45" s="182">
        <f>10068.2*J45*POWER(10,-6)</f>
        <v>1.05112008E-2</v>
      </c>
      <c r="AV45" s="183">
        <f t="shared" si="50"/>
        <v>1.3906447008</v>
      </c>
      <c r="AW45" s="184">
        <f t="shared" si="51"/>
        <v>0</v>
      </c>
      <c r="AX45" s="184">
        <f t="shared" si="52"/>
        <v>2.0000000000000003E-6</v>
      </c>
      <c r="AY45" s="184">
        <f t="shared" si="53"/>
        <v>1.3906447008000002E-6</v>
      </c>
      <c r="AZ45" s="227">
        <v>1</v>
      </c>
      <c r="BA45" s="227">
        <v>1</v>
      </c>
    </row>
    <row r="46" spans="1:53" s="179" customFormat="1" x14ac:dyDescent="0.3">
      <c r="A46" s="169" t="s">
        <v>22</v>
      </c>
      <c r="B46" s="169" t="str">
        <f>B42</f>
        <v xml:space="preserve">Дренажная емкость амина V-214 </v>
      </c>
      <c r="C46" s="171" t="s">
        <v>200</v>
      </c>
      <c r="D46" s="172" t="s">
        <v>165</v>
      </c>
      <c r="E46" s="185">
        <f>E45</f>
        <v>1.0000000000000001E-5</v>
      </c>
      <c r="F46" s="186">
        <f>F42</f>
        <v>1</v>
      </c>
      <c r="G46" s="169">
        <v>4.5000000000000005E-2</v>
      </c>
      <c r="H46" s="174">
        <f t="shared" si="44"/>
        <v>4.5000000000000009E-7</v>
      </c>
      <c r="I46" s="187">
        <f>0.15*I42</f>
        <v>1.044</v>
      </c>
      <c r="J46" s="176">
        <f>0.15*J43</f>
        <v>2.2499999999999999E-2</v>
      </c>
      <c r="K46" s="190" t="s">
        <v>180</v>
      </c>
      <c r="L46" s="191">
        <v>3</v>
      </c>
      <c r="M46" s="179" t="str">
        <f t="shared" si="45"/>
        <v>С5</v>
      </c>
      <c r="N46" s="179" t="str">
        <f t="shared" si="45"/>
        <v xml:space="preserve">Дренажная емкость амина V-214 </v>
      </c>
      <c r="O46" s="179" t="str">
        <f t="shared" si="46"/>
        <v>Частичное-пожар-вспышка</v>
      </c>
      <c r="P46" s="179" t="s">
        <v>83</v>
      </c>
      <c r="Q46" s="179" t="s">
        <v>83</v>
      </c>
      <c r="R46" s="179" t="s">
        <v>83</v>
      </c>
      <c r="S46" s="179" t="s">
        <v>83</v>
      </c>
      <c r="T46" s="179" t="s">
        <v>83</v>
      </c>
      <c r="U46" s="179" t="s">
        <v>83</v>
      </c>
      <c r="V46" s="179" t="s">
        <v>83</v>
      </c>
      <c r="W46" s="179" t="s">
        <v>83</v>
      </c>
      <c r="X46" s="179" t="s">
        <v>83</v>
      </c>
      <c r="Y46" s="179" t="s">
        <v>83</v>
      </c>
      <c r="Z46" s="179" t="s">
        <v>83</v>
      </c>
      <c r="AA46" s="179">
        <v>9.58</v>
      </c>
      <c r="AB46" s="179">
        <v>11.5</v>
      </c>
      <c r="AC46" s="179" t="s">
        <v>83</v>
      </c>
      <c r="AD46" s="179" t="s">
        <v>83</v>
      </c>
      <c r="AE46" s="179" t="s">
        <v>83</v>
      </c>
      <c r="AF46" s="179" t="s">
        <v>83</v>
      </c>
      <c r="AG46" s="179" t="s">
        <v>83</v>
      </c>
      <c r="AH46" s="179" t="s">
        <v>83</v>
      </c>
      <c r="AI46" s="179" t="s">
        <v>83</v>
      </c>
      <c r="AJ46" s="179">
        <v>0</v>
      </c>
      <c r="AK46" s="179">
        <v>1</v>
      </c>
      <c r="AL46" s="179">
        <f t="shared" ref="AL46:AL47" si="54">0.1*AL43</f>
        <v>0.52100000000000002</v>
      </c>
      <c r="AM46" s="179">
        <f>AM42</f>
        <v>2.7E-2</v>
      </c>
      <c r="AN46" s="179">
        <f>ROUNDUP(AN42/3,0)</f>
        <v>1</v>
      </c>
      <c r="AQ46" s="182">
        <f>AM46*I46+AL46</f>
        <v>0.54918800000000001</v>
      </c>
      <c r="AR46" s="182">
        <f t="shared" si="47"/>
        <v>5.4918800000000004E-2</v>
      </c>
      <c r="AS46" s="183">
        <f t="shared" si="48"/>
        <v>0.25</v>
      </c>
      <c r="AT46" s="183">
        <f t="shared" si="49"/>
        <v>0.21352670000000001</v>
      </c>
      <c r="AU46" s="182">
        <f>10068.2*J46*POWER(10,-6)*10</f>
        <v>2.2653450000000002E-3</v>
      </c>
      <c r="AV46" s="183">
        <f t="shared" si="50"/>
        <v>1.069898845</v>
      </c>
      <c r="AW46" s="184">
        <f t="shared" si="51"/>
        <v>0</v>
      </c>
      <c r="AX46" s="184">
        <f t="shared" si="52"/>
        <v>4.5000000000000009E-7</v>
      </c>
      <c r="AY46" s="184">
        <f t="shared" si="53"/>
        <v>4.8145448025000009E-7</v>
      </c>
      <c r="AZ46" s="227">
        <v>1</v>
      </c>
      <c r="BA46" s="227">
        <v>1</v>
      </c>
    </row>
    <row r="47" spans="1:53" s="179" customFormat="1" ht="15" thickBot="1" x14ac:dyDescent="0.35">
      <c r="A47" s="169" t="s">
        <v>23</v>
      </c>
      <c r="B47" s="169" t="str">
        <f>B42</f>
        <v xml:space="preserve">Дренажная емкость амина V-214 </v>
      </c>
      <c r="C47" s="171" t="s">
        <v>201</v>
      </c>
      <c r="D47" s="172" t="s">
        <v>61</v>
      </c>
      <c r="E47" s="185">
        <f>E45</f>
        <v>1.0000000000000001E-5</v>
      </c>
      <c r="F47" s="186">
        <f>F42</f>
        <v>1</v>
      </c>
      <c r="G47" s="169">
        <v>0.85499999999999998</v>
      </c>
      <c r="H47" s="174">
        <f t="shared" si="44"/>
        <v>8.5500000000000011E-6</v>
      </c>
      <c r="I47" s="187">
        <f>0.15*I42</f>
        <v>1.044</v>
      </c>
      <c r="J47" s="189">
        <v>0</v>
      </c>
      <c r="K47" s="192" t="s">
        <v>191</v>
      </c>
      <c r="L47" s="192">
        <v>9</v>
      </c>
      <c r="M47" s="179" t="str">
        <f t="shared" si="45"/>
        <v>С6</v>
      </c>
      <c r="N47" s="179" t="str">
        <f t="shared" si="45"/>
        <v xml:space="preserve">Дренажная емкость амина V-214 </v>
      </c>
      <c r="O47" s="179" t="str">
        <f t="shared" si="46"/>
        <v>Частичное-ликвидация</v>
      </c>
      <c r="P47" s="179" t="s">
        <v>83</v>
      </c>
      <c r="Q47" s="179" t="s">
        <v>83</v>
      </c>
      <c r="R47" s="179" t="s">
        <v>83</v>
      </c>
      <c r="S47" s="179" t="s">
        <v>83</v>
      </c>
      <c r="T47" s="179" t="s">
        <v>83</v>
      </c>
      <c r="U47" s="179" t="s">
        <v>83</v>
      </c>
      <c r="V47" s="179" t="s">
        <v>83</v>
      </c>
      <c r="W47" s="179" t="s">
        <v>83</v>
      </c>
      <c r="X47" s="179" t="s">
        <v>83</v>
      </c>
      <c r="Y47" s="179" t="s">
        <v>83</v>
      </c>
      <c r="Z47" s="179" t="s">
        <v>83</v>
      </c>
      <c r="AA47" s="179" t="s">
        <v>83</v>
      </c>
      <c r="AB47" s="179" t="s">
        <v>83</v>
      </c>
      <c r="AC47" s="179" t="s">
        <v>83</v>
      </c>
      <c r="AD47" s="179" t="s">
        <v>83</v>
      </c>
      <c r="AE47" s="179" t="s">
        <v>83</v>
      </c>
      <c r="AF47" s="179" t="s">
        <v>83</v>
      </c>
      <c r="AG47" s="179" t="s">
        <v>83</v>
      </c>
      <c r="AH47" s="179" t="s">
        <v>83</v>
      </c>
      <c r="AI47" s="179" t="s">
        <v>83</v>
      </c>
      <c r="AJ47" s="179">
        <v>0</v>
      </c>
      <c r="AK47" s="179">
        <v>0</v>
      </c>
      <c r="AL47" s="179">
        <f t="shared" si="54"/>
        <v>0.52100000000000002</v>
      </c>
      <c r="AM47" s="179">
        <f>AM42</f>
        <v>2.7E-2</v>
      </c>
      <c r="AN47" s="179">
        <f>ROUNDUP(AN42/3,0)</f>
        <v>1</v>
      </c>
      <c r="AQ47" s="182">
        <f>AM47*I47*0.1+AL47</f>
        <v>0.52381880000000003</v>
      </c>
      <c r="AR47" s="182">
        <f t="shared" si="47"/>
        <v>5.2381880000000006E-2</v>
      </c>
      <c r="AS47" s="183">
        <f t="shared" si="48"/>
        <v>0</v>
      </c>
      <c r="AT47" s="183">
        <f t="shared" si="49"/>
        <v>0.14405017000000001</v>
      </c>
      <c r="AU47" s="182">
        <f>1333*J46*POWER(10,-6)</f>
        <v>2.9992499999999998E-5</v>
      </c>
      <c r="AV47" s="183">
        <f t="shared" si="50"/>
        <v>0.72028084250000002</v>
      </c>
      <c r="AW47" s="184">
        <f t="shared" si="51"/>
        <v>0</v>
      </c>
      <c r="AX47" s="184">
        <f t="shared" si="52"/>
        <v>0</v>
      </c>
      <c r="AY47" s="184">
        <f t="shared" si="53"/>
        <v>6.1584012033750014E-6</v>
      </c>
      <c r="AZ47" s="227">
        <v>1</v>
      </c>
      <c r="BA47" s="227">
        <v>1</v>
      </c>
    </row>
    <row r="48" spans="1:53" s="179" customFormat="1" x14ac:dyDescent="0.3">
      <c r="A48" s="180"/>
      <c r="B48" s="180"/>
      <c r="D48" s="271"/>
      <c r="E48" s="272"/>
      <c r="F48" s="273"/>
      <c r="G48" s="180"/>
      <c r="H48" s="184"/>
      <c r="I48" s="183"/>
      <c r="J48" s="180"/>
      <c r="K48" s="180"/>
      <c r="L48" s="180"/>
      <c r="P48" s="179" t="s">
        <v>83</v>
      </c>
      <c r="Q48" s="179" t="s">
        <v>83</v>
      </c>
      <c r="R48" s="179" t="s">
        <v>83</v>
      </c>
      <c r="S48" s="179" t="s">
        <v>83</v>
      </c>
      <c r="T48" s="179" t="s">
        <v>83</v>
      </c>
      <c r="U48" s="179" t="s">
        <v>83</v>
      </c>
      <c r="V48" s="179" t="s">
        <v>83</v>
      </c>
      <c r="W48" s="179" t="s">
        <v>83</v>
      </c>
      <c r="X48" s="179" t="s">
        <v>83</v>
      </c>
      <c r="Y48" s="179" t="s">
        <v>83</v>
      </c>
      <c r="Z48" s="179" t="s">
        <v>83</v>
      </c>
      <c r="AA48" s="179" t="s">
        <v>83</v>
      </c>
      <c r="AB48" s="179" t="s">
        <v>83</v>
      </c>
      <c r="AC48" s="179" t="s">
        <v>83</v>
      </c>
      <c r="AD48" s="179" t="s">
        <v>83</v>
      </c>
      <c r="AE48" s="179" t="s">
        <v>83</v>
      </c>
      <c r="AF48" s="179" t="s">
        <v>83</v>
      </c>
      <c r="AG48" s="179" t="s">
        <v>83</v>
      </c>
      <c r="AH48" s="179" t="s">
        <v>83</v>
      </c>
      <c r="AI48" s="179" t="s">
        <v>83</v>
      </c>
      <c r="AQ48" s="182"/>
      <c r="AR48" s="182"/>
      <c r="AS48" s="183"/>
      <c r="AT48" s="183"/>
      <c r="AU48" s="182"/>
      <c r="AV48" s="183"/>
      <c r="AW48" s="184"/>
      <c r="AX48" s="184"/>
      <c r="AY48" s="184"/>
      <c r="AZ48" s="227">
        <v>1</v>
      </c>
      <c r="BA48" s="227">
        <v>1</v>
      </c>
    </row>
    <row r="49" spans="1:53" s="179" customFormat="1" x14ac:dyDescent="0.3">
      <c r="A49" s="180"/>
      <c r="B49" s="180"/>
      <c r="D49" s="271"/>
      <c r="E49" s="272"/>
      <c r="F49" s="273"/>
      <c r="G49" s="180"/>
      <c r="H49" s="184"/>
      <c r="I49" s="183"/>
      <c r="J49" s="180"/>
      <c r="K49" s="180"/>
      <c r="L49" s="180"/>
      <c r="P49" s="179" t="s">
        <v>83</v>
      </c>
      <c r="Q49" s="179" t="s">
        <v>83</v>
      </c>
      <c r="R49" s="179" t="s">
        <v>83</v>
      </c>
      <c r="S49" s="179" t="s">
        <v>83</v>
      </c>
      <c r="T49" s="179" t="s">
        <v>83</v>
      </c>
      <c r="U49" s="179" t="s">
        <v>83</v>
      </c>
      <c r="V49" s="179" t="s">
        <v>83</v>
      </c>
      <c r="W49" s="179" t="s">
        <v>83</v>
      </c>
      <c r="X49" s="179" t="s">
        <v>83</v>
      </c>
      <c r="Y49" s="179" t="s">
        <v>83</v>
      </c>
      <c r="Z49" s="179" t="s">
        <v>83</v>
      </c>
      <c r="AA49" s="179" t="s">
        <v>83</v>
      </c>
      <c r="AB49" s="179" t="s">
        <v>83</v>
      </c>
      <c r="AC49" s="179" t="s">
        <v>83</v>
      </c>
      <c r="AD49" s="179" t="s">
        <v>83</v>
      </c>
      <c r="AE49" s="179" t="s">
        <v>83</v>
      </c>
      <c r="AF49" s="179" t="s">
        <v>83</v>
      </c>
      <c r="AG49" s="179" t="s">
        <v>83</v>
      </c>
      <c r="AH49" s="179" t="s">
        <v>83</v>
      </c>
      <c r="AI49" s="179" t="s">
        <v>83</v>
      </c>
      <c r="AQ49" s="182"/>
      <c r="AR49" s="182"/>
      <c r="AS49" s="183"/>
      <c r="AT49" s="183"/>
      <c r="AU49" s="182"/>
      <c r="AV49" s="183"/>
      <c r="AW49" s="184"/>
      <c r="AX49" s="184"/>
      <c r="AY49" s="184"/>
      <c r="AZ49" s="227">
        <v>1</v>
      </c>
      <c r="BA49" s="227">
        <v>1</v>
      </c>
    </row>
    <row r="50" spans="1:53" s="179" customFormat="1" x14ac:dyDescent="0.3">
      <c r="A50" s="180"/>
      <c r="B50" s="180"/>
      <c r="D50" s="271"/>
      <c r="E50" s="272"/>
      <c r="F50" s="273"/>
      <c r="G50" s="180"/>
      <c r="H50" s="184"/>
      <c r="I50" s="183"/>
      <c r="J50" s="180"/>
      <c r="K50" s="180"/>
      <c r="L50" s="180"/>
      <c r="P50" s="179" t="s">
        <v>83</v>
      </c>
      <c r="Q50" s="179" t="s">
        <v>83</v>
      </c>
      <c r="R50" s="179" t="s">
        <v>83</v>
      </c>
      <c r="S50" s="179" t="s">
        <v>83</v>
      </c>
      <c r="T50" s="179" t="s">
        <v>83</v>
      </c>
      <c r="U50" s="179" t="s">
        <v>83</v>
      </c>
      <c r="V50" s="179" t="s">
        <v>83</v>
      </c>
      <c r="W50" s="179" t="s">
        <v>83</v>
      </c>
      <c r="X50" s="179" t="s">
        <v>83</v>
      </c>
      <c r="Y50" s="179" t="s">
        <v>83</v>
      </c>
      <c r="Z50" s="179" t="s">
        <v>83</v>
      </c>
      <c r="AA50" s="179" t="s">
        <v>83</v>
      </c>
      <c r="AB50" s="179" t="s">
        <v>83</v>
      </c>
      <c r="AC50" s="179" t="s">
        <v>83</v>
      </c>
      <c r="AD50" s="179" t="s">
        <v>83</v>
      </c>
      <c r="AE50" s="179" t="s">
        <v>83</v>
      </c>
      <c r="AF50" s="179" t="s">
        <v>83</v>
      </c>
      <c r="AG50" s="179" t="s">
        <v>83</v>
      </c>
      <c r="AH50" s="179" t="s">
        <v>83</v>
      </c>
      <c r="AI50" s="179" t="s">
        <v>83</v>
      </c>
      <c r="AQ50" s="182"/>
      <c r="AR50" s="182"/>
      <c r="AS50" s="183"/>
      <c r="AT50" s="183"/>
      <c r="AU50" s="182"/>
      <c r="AV50" s="183"/>
      <c r="AW50" s="184"/>
      <c r="AX50" s="184"/>
      <c r="AY50" s="184"/>
      <c r="AZ50" s="227">
        <v>1</v>
      </c>
      <c r="BA50" s="227">
        <v>1</v>
      </c>
    </row>
    <row r="51" spans="1:53" ht="15" thickBot="1" x14ac:dyDescent="0.35"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  <c r="AZ51" s="227">
        <v>1</v>
      </c>
      <c r="BA51" s="227">
        <v>1</v>
      </c>
    </row>
    <row r="52" spans="1:53" s="227" customFormat="1" ht="18" customHeight="1" x14ac:dyDescent="0.3">
      <c r="A52" s="218" t="s">
        <v>18</v>
      </c>
      <c r="B52" s="310" t="s">
        <v>420</v>
      </c>
      <c r="C52" s="53" t="s">
        <v>300</v>
      </c>
      <c r="D52" s="220" t="s">
        <v>301</v>
      </c>
      <c r="E52" s="221">
        <v>9.9999999999999995E-7</v>
      </c>
      <c r="F52" s="219">
        <v>1</v>
      </c>
      <c r="G52" s="218">
        <v>0.05</v>
      </c>
      <c r="H52" s="222">
        <f>E52*F52*G52</f>
        <v>4.9999999999999998E-8</v>
      </c>
      <c r="I52" s="223">
        <v>0.35</v>
      </c>
      <c r="J52" s="224">
        <f>0.03*I52</f>
        <v>1.0499999999999999E-2</v>
      </c>
      <c r="K52" s="225" t="s">
        <v>175</v>
      </c>
      <c r="L52" s="226">
        <v>6</v>
      </c>
      <c r="M52" s="227" t="str">
        <f t="shared" ref="M52:N60" si="55">A52</f>
        <v>С1</v>
      </c>
      <c r="N52" s="227" t="str">
        <f t="shared" si="55"/>
        <v>Сепаратор факельный С-301/1</v>
      </c>
      <c r="O52" s="227" t="str">
        <f t="shared" ref="O52:O59" si="56">D52</f>
        <v>Полное-огенный шар</v>
      </c>
      <c r="P52" s="227" t="s">
        <v>83</v>
      </c>
      <c r="Q52" s="227" t="s">
        <v>83</v>
      </c>
      <c r="R52" s="227" t="s">
        <v>83</v>
      </c>
      <c r="S52" s="227" t="s">
        <v>83</v>
      </c>
      <c r="T52" s="227" t="s">
        <v>83</v>
      </c>
      <c r="U52" s="227" t="s">
        <v>83</v>
      </c>
      <c r="V52" s="227" t="s">
        <v>83</v>
      </c>
      <c r="W52" s="227" t="s">
        <v>83</v>
      </c>
      <c r="X52" s="227" t="s">
        <v>83</v>
      </c>
      <c r="Y52" s="227" t="s">
        <v>83</v>
      </c>
      <c r="Z52" s="227" t="s">
        <v>83</v>
      </c>
      <c r="AA52" s="227" t="s">
        <v>83</v>
      </c>
      <c r="AB52" s="227" t="s">
        <v>83</v>
      </c>
      <c r="AC52" s="227" t="s">
        <v>83</v>
      </c>
      <c r="AD52" s="227" t="s">
        <v>83</v>
      </c>
      <c r="AE52" s="227">
        <v>1</v>
      </c>
      <c r="AF52" s="227">
        <v>1</v>
      </c>
      <c r="AG52" s="227">
        <v>1</v>
      </c>
      <c r="AH52" s="227">
        <v>5.5</v>
      </c>
      <c r="AI52" s="227" t="s">
        <v>83</v>
      </c>
      <c r="AJ52" s="228">
        <v>1</v>
      </c>
      <c r="AK52" s="228">
        <v>3</v>
      </c>
      <c r="AL52" s="229">
        <v>2.21</v>
      </c>
      <c r="AM52" s="229">
        <v>2.5000000000000001E-2</v>
      </c>
      <c r="AN52" s="229">
        <v>5</v>
      </c>
      <c r="AQ52" s="230">
        <f>AM52*I52+AL52</f>
        <v>2.21875</v>
      </c>
      <c r="AR52" s="230">
        <f>0.1*AQ52</f>
        <v>0.22187500000000002</v>
      </c>
      <c r="AS52" s="231">
        <f>AJ52*3+0.25*AK52</f>
        <v>3.75</v>
      </c>
      <c r="AT52" s="231">
        <f>SUM(AQ52:AS52)/4</f>
        <v>1.54765625</v>
      </c>
      <c r="AU52" s="230">
        <f>10068.2*J52*POWER(10,-6)</f>
        <v>1.057161E-4</v>
      </c>
      <c r="AV52" s="231">
        <f t="shared" ref="AV52:AV60" si="57">AU52+AT52+AS52+AR52+AQ52</f>
        <v>7.7383869660999993</v>
      </c>
      <c r="AW52" s="232">
        <f>AJ52*H52</f>
        <v>4.9999999999999998E-8</v>
      </c>
      <c r="AX52" s="232">
        <f>H52*AK52</f>
        <v>1.4999999999999999E-7</v>
      </c>
      <c r="AY52" s="232">
        <f t="shared" ref="AY52:AY60" si="58">H52*AV52</f>
        <v>3.8691934830499993E-7</v>
      </c>
      <c r="AZ52" s="227">
        <v>1</v>
      </c>
      <c r="BA52" s="227">
        <v>1</v>
      </c>
    </row>
    <row r="53" spans="1:53" s="227" customFormat="1" x14ac:dyDescent="0.3">
      <c r="A53" s="218" t="s">
        <v>19</v>
      </c>
      <c r="B53" s="218" t="str">
        <f>B52</f>
        <v>Сепаратор факельный С-301/1</v>
      </c>
      <c r="C53" s="53" t="s">
        <v>202</v>
      </c>
      <c r="D53" s="220" t="s">
        <v>62</v>
      </c>
      <c r="E53" s="233">
        <f>E52</f>
        <v>9.9999999999999995E-7</v>
      </c>
      <c r="F53" s="234">
        <f>F52</f>
        <v>1</v>
      </c>
      <c r="G53" s="218">
        <v>0.19</v>
      </c>
      <c r="H53" s="222">
        <f t="shared" ref="H53:H60" si="59">E53*F53*G53</f>
        <v>1.8999999999999998E-7</v>
      </c>
      <c r="I53" s="235">
        <f>I52</f>
        <v>0.35</v>
      </c>
      <c r="J53" s="243">
        <v>0.35</v>
      </c>
      <c r="K53" s="236" t="s">
        <v>176</v>
      </c>
      <c r="L53" s="237">
        <v>3</v>
      </c>
      <c r="M53" s="227" t="str">
        <f t="shared" si="55"/>
        <v>С2</v>
      </c>
      <c r="N53" s="227" t="str">
        <f t="shared" si="55"/>
        <v>Сепаратор факельный С-301/1</v>
      </c>
      <c r="O53" s="227" t="str">
        <f t="shared" si="56"/>
        <v>Полное-взрыв</v>
      </c>
      <c r="P53" s="227" t="s">
        <v>83</v>
      </c>
      <c r="Q53" s="227" t="s">
        <v>83</v>
      </c>
      <c r="R53" s="227" t="s">
        <v>83</v>
      </c>
      <c r="S53" s="227" t="s">
        <v>83</v>
      </c>
      <c r="T53" s="227">
        <v>0</v>
      </c>
      <c r="U53" s="227">
        <v>45.1</v>
      </c>
      <c r="V53" s="227">
        <v>108.1</v>
      </c>
      <c r="W53" s="227">
        <v>326.60000000000002</v>
      </c>
      <c r="X53" s="227">
        <v>833.1</v>
      </c>
      <c r="Y53" s="227" t="s">
        <v>83</v>
      </c>
      <c r="Z53" s="227" t="s">
        <v>83</v>
      </c>
      <c r="AA53" s="227" t="s">
        <v>83</v>
      </c>
      <c r="AB53" s="227" t="s">
        <v>83</v>
      </c>
      <c r="AC53" s="227" t="s">
        <v>83</v>
      </c>
      <c r="AD53" s="227" t="s">
        <v>83</v>
      </c>
      <c r="AE53" s="227" t="s">
        <v>83</v>
      </c>
      <c r="AF53" s="227" t="s">
        <v>83</v>
      </c>
      <c r="AG53" s="227" t="s">
        <v>83</v>
      </c>
      <c r="AH53" s="227" t="s">
        <v>83</v>
      </c>
      <c r="AI53" s="227" t="s">
        <v>83</v>
      </c>
      <c r="AJ53" s="228">
        <v>2</v>
      </c>
      <c r="AK53" s="228">
        <v>5</v>
      </c>
      <c r="AL53" s="227">
        <f>AL52</f>
        <v>2.21</v>
      </c>
      <c r="AM53" s="227">
        <f>AM52</f>
        <v>2.5000000000000001E-2</v>
      </c>
      <c r="AN53" s="227">
        <f>AN52</f>
        <v>5</v>
      </c>
      <c r="AQ53" s="230">
        <f>AM53*I53+AL53</f>
        <v>2.21875</v>
      </c>
      <c r="AR53" s="230">
        <f t="shared" ref="AR53:AR59" si="60">0.1*AQ53</f>
        <v>0.22187500000000002</v>
      </c>
      <c r="AS53" s="231">
        <f t="shared" ref="AS53:AS59" si="61">AJ53*3+0.25*AK53</f>
        <v>7.25</v>
      </c>
      <c r="AT53" s="231">
        <f t="shared" ref="AT53:AT59" si="62">SUM(AQ53:AS53)/4</f>
        <v>2.4226562500000002</v>
      </c>
      <c r="AU53" s="230">
        <f>10068.2*J53*POWER(10,-6)*10</f>
        <v>3.5238699999999998E-2</v>
      </c>
      <c r="AV53" s="231">
        <f t="shared" si="57"/>
        <v>12.148519950000001</v>
      </c>
      <c r="AW53" s="232">
        <f t="shared" ref="AW53:AW59" si="63">AJ53*H53</f>
        <v>3.7999999999999996E-7</v>
      </c>
      <c r="AX53" s="232">
        <f t="shared" ref="AX53:AX59" si="64">H53*AK53</f>
        <v>9.499999999999999E-7</v>
      </c>
      <c r="AY53" s="232">
        <f t="shared" si="58"/>
        <v>2.3082187905000001E-6</v>
      </c>
      <c r="AZ53" s="227">
        <v>1</v>
      </c>
      <c r="BA53" s="227">
        <v>1</v>
      </c>
    </row>
    <row r="54" spans="1:53" s="227" customFormat="1" x14ac:dyDescent="0.3">
      <c r="A54" s="218" t="s">
        <v>20</v>
      </c>
      <c r="B54" s="218" t="str">
        <f>B52</f>
        <v>Сепаратор факельный С-301/1</v>
      </c>
      <c r="C54" s="53" t="s">
        <v>241</v>
      </c>
      <c r="D54" s="220" t="s">
        <v>60</v>
      </c>
      <c r="E54" s="233">
        <f>E52</f>
        <v>9.9999999999999995E-7</v>
      </c>
      <c r="F54" s="234">
        <f t="shared" ref="F54:F60" si="65">F53</f>
        <v>1</v>
      </c>
      <c r="G54" s="218">
        <v>0.76</v>
      </c>
      <c r="H54" s="222">
        <f t="shared" si="59"/>
        <v>7.5999999999999992E-7</v>
      </c>
      <c r="I54" s="235">
        <f>I52</f>
        <v>0.35</v>
      </c>
      <c r="J54" s="224">
        <v>0</v>
      </c>
      <c r="K54" s="236" t="s">
        <v>177</v>
      </c>
      <c r="L54" s="237">
        <v>5</v>
      </c>
      <c r="M54" s="227" t="str">
        <f t="shared" si="55"/>
        <v>С3</v>
      </c>
      <c r="N54" s="227" t="str">
        <f t="shared" si="55"/>
        <v>Сепаратор факельный С-301/1</v>
      </c>
      <c r="O54" s="227" t="str">
        <f t="shared" si="56"/>
        <v>Полное-ликвидация</v>
      </c>
      <c r="P54" s="227" t="s">
        <v>83</v>
      </c>
      <c r="Q54" s="227" t="s">
        <v>83</v>
      </c>
      <c r="R54" s="227" t="s">
        <v>83</v>
      </c>
      <c r="S54" s="227" t="s">
        <v>83</v>
      </c>
      <c r="T54" s="227" t="s">
        <v>83</v>
      </c>
      <c r="U54" s="227" t="s">
        <v>83</v>
      </c>
      <c r="V54" s="227" t="s">
        <v>83</v>
      </c>
      <c r="W54" s="227" t="s">
        <v>83</v>
      </c>
      <c r="X54" s="227" t="s">
        <v>83</v>
      </c>
      <c r="Y54" s="227" t="s">
        <v>83</v>
      </c>
      <c r="Z54" s="227" t="s">
        <v>83</v>
      </c>
      <c r="AA54" s="227" t="s">
        <v>83</v>
      </c>
      <c r="AB54" s="227" t="s">
        <v>83</v>
      </c>
      <c r="AC54" s="227" t="s">
        <v>83</v>
      </c>
      <c r="AD54" s="227" t="s">
        <v>83</v>
      </c>
      <c r="AE54" s="227" t="s">
        <v>83</v>
      </c>
      <c r="AF54" s="227" t="s">
        <v>83</v>
      </c>
      <c r="AG54" s="227" t="s">
        <v>83</v>
      </c>
      <c r="AH54" s="227" t="s">
        <v>83</v>
      </c>
      <c r="AI54" s="227" t="s">
        <v>83</v>
      </c>
      <c r="AJ54" s="227">
        <v>0</v>
      </c>
      <c r="AK54" s="227">
        <v>0</v>
      </c>
      <c r="AL54" s="227">
        <f>AL52</f>
        <v>2.21</v>
      </c>
      <c r="AM54" s="227">
        <f>AM52</f>
        <v>2.5000000000000001E-2</v>
      </c>
      <c r="AN54" s="227">
        <f>AN52</f>
        <v>5</v>
      </c>
      <c r="AQ54" s="230">
        <f>AM54*I54*0.1+AL54</f>
        <v>2.2108750000000001</v>
      </c>
      <c r="AR54" s="230">
        <f t="shared" si="60"/>
        <v>0.22108750000000002</v>
      </c>
      <c r="AS54" s="231">
        <f t="shared" si="61"/>
        <v>0</v>
      </c>
      <c r="AT54" s="231">
        <f t="shared" si="62"/>
        <v>0.60799062500000001</v>
      </c>
      <c r="AU54" s="230">
        <f>1333*J52*POWER(10,-6)</f>
        <v>1.3996499999999999E-5</v>
      </c>
      <c r="AV54" s="231">
        <f t="shared" si="57"/>
        <v>3.0399671215000001</v>
      </c>
      <c r="AW54" s="232">
        <f t="shared" si="63"/>
        <v>0</v>
      </c>
      <c r="AX54" s="232">
        <f t="shared" si="64"/>
        <v>0</v>
      </c>
      <c r="AY54" s="232">
        <f t="shared" si="58"/>
        <v>2.3103750123399998E-6</v>
      </c>
      <c r="AZ54" s="227">
        <v>1</v>
      </c>
      <c r="BA54" s="227">
        <v>1</v>
      </c>
    </row>
    <row r="55" spans="1:53" s="227" customFormat="1" x14ac:dyDescent="0.3">
      <c r="A55" s="218" t="s">
        <v>21</v>
      </c>
      <c r="B55" s="218" t="str">
        <f>B52</f>
        <v>Сепаратор факельный С-301/1</v>
      </c>
      <c r="C55" s="53" t="s">
        <v>213</v>
      </c>
      <c r="D55" s="220" t="s">
        <v>214</v>
      </c>
      <c r="E55" s="221">
        <v>1.0000000000000001E-5</v>
      </c>
      <c r="F55" s="234">
        <f t="shared" si="65"/>
        <v>1</v>
      </c>
      <c r="G55" s="218">
        <v>4.0000000000000008E-2</v>
      </c>
      <c r="H55" s="222">
        <f t="shared" si="59"/>
        <v>4.0000000000000009E-7</v>
      </c>
      <c r="I55" s="235">
        <f>0.15*I52</f>
        <v>5.2499999999999998E-2</v>
      </c>
      <c r="J55" s="224">
        <f>I55</f>
        <v>5.2499999999999998E-2</v>
      </c>
      <c r="K55" s="236" t="s">
        <v>179</v>
      </c>
      <c r="L55" s="237">
        <v>45390</v>
      </c>
      <c r="M55" s="227" t="str">
        <f t="shared" si="55"/>
        <v>С4</v>
      </c>
      <c r="N55" s="227" t="str">
        <f t="shared" si="55"/>
        <v>Сепаратор факельный С-301/1</v>
      </c>
      <c r="O55" s="227" t="str">
        <f t="shared" si="56"/>
        <v>Частичное факел</v>
      </c>
      <c r="P55" s="227" t="s">
        <v>83</v>
      </c>
      <c r="Q55" s="227" t="s">
        <v>83</v>
      </c>
      <c r="R55" s="227" t="s">
        <v>83</v>
      </c>
      <c r="S55" s="227" t="s">
        <v>83</v>
      </c>
      <c r="T55" s="227" t="s">
        <v>83</v>
      </c>
      <c r="U55" s="227" t="s">
        <v>83</v>
      </c>
      <c r="V55" s="227" t="s">
        <v>83</v>
      </c>
      <c r="W55" s="227" t="s">
        <v>83</v>
      </c>
      <c r="X55" s="227" t="s">
        <v>83</v>
      </c>
      <c r="Y55" s="227">
        <v>28</v>
      </c>
      <c r="Z55" s="227">
        <v>5</v>
      </c>
      <c r="AA55" s="227" t="s">
        <v>83</v>
      </c>
      <c r="AB55" s="227" t="s">
        <v>83</v>
      </c>
      <c r="AC55" s="227" t="s">
        <v>83</v>
      </c>
      <c r="AD55" s="227" t="s">
        <v>83</v>
      </c>
      <c r="AE55" s="227" t="s">
        <v>83</v>
      </c>
      <c r="AF55" s="227" t="s">
        <v>83</v>
      </c>
      <c r="AG55" s="227" t="s">
        <v>83</v>
      </c>
      <c r="AH55" s="227" t="s">
        <v>83</v>
      </c>
      <c r="AI55" s="227" t="s">
        <v>83</v>
      </c>
      <c r="AJ55" s="227">
        <v>2</v>
      </c>
      <c r="AK55" s="227">
        <v>1</v>
      </c>
      <c r="AL55" s="227">
        <f>0.1*$AL52</f>
        <v>0.221</v>
      </c>
      <c r="AM55" s="227">
        <f>AM53</f>
        <v>2.5000000000000001E-2</v>
      </c>
      <c r="AN55" s="227">
        <f>AN52</f>
        <v>5</v>
      </c>
      <c r="AQ55" s="230">
        <f>AM55*I55*0.1+AL55</f>
        <v>0.22113125</v>
      </c>
      <c r="AR55" s="230">
        <f t="shared" si="60"/>
        <v>2.2113125000000001E-2</v>
      </c>
      <c r="AS55" s="231">
        <f t="shared" si="61"/>
        <v>6.25</v>
      </c>
      <c r="AT55" s="231">
        <f t="shared" si="62"/>
        <v>1.6233110937499999</v>
      </c>
      <c r="AU55" s="230">
        <f>10068.2*J55*POWER(10,-6)</f>
        <v>5.2858050000000002E-4</v>
      </c>
      <c r="AV55" s="231">
        <f t="shared" si="57"/>
        <v>8.1170840492499998</v>
      </c>
      <c r="AW55" s="232">
        <f t="shared" si="63"/>
        <v>8.0000000000000018E-7</v>
      </c>
      <c r="AX55" s="232">
        <f t="shared" si="64"/>
        <v>4.0000000000000009E-7</v>
      </c>
      <c r="AY55" s="232">
        <f t="shared" si="58"/>
        <v>3.2468336197000008E-6</v>
      </c>
      <c r="AZ55" s="227">
        <v>1</v>
      </c>
      <c r="BA55" s="227">
        <v>1</v>
      </c>
    </row>
    <row r="56" spans="1:53" s="227" customFormat="1" x14ac:dyDescent="0.3">
      <c r="A56" s="218" t="s">
        <v>22</v>
      </c>
      <c r="B56" s="218" t="str">
        <f>B52</f>
        <v>Сепаратор факельный С-301/1</v>
      </c>
      <c r="C56" s="53" t="s">
        <v>242</v>
      </c>
      <c r="D56" s="220" t="s">
        <v>61</v>
      </c>
      <c r="E56" s="233">
        <f>E55</f>
        <v>1.0000000000000001E-5</v>
      </c>
      <c r="F56" s="234">
        <f t="shared" si="65"/>
        <v>1</v>
      </c>
      <c r="G56" s="218">
        <v>0.16000000000000003</v>
      </c>
      <c r="H56" s="222">
        <f t="shared" si="59"/>
        <v>1.6000000000000004E-6</v>
      </c>
      <c r="I56" s="235">
        <f>0.15*I52</f>
        <v>5.2499999999999998E-2</v>
      </c>
      <c r="J56" s="224">
        <v>0</v>
      </c>
      <c r="K56" s="236" t="s">
        <v>180</v>
      </c>
      <c r="L56" s="237">
        <v>3</v>
      </c>
      <c r="M56" s="227" t="str">
        <f t="shared" si="55"/>
        <v>С5</v>
      </c>
      <c r="N56" s="227" t="str">
        <f t="shared" si="55"/>
        <v>Сепаратор факельный С-301/1</v>
      </c>
      <c r="O56" s="227" t="str">
        <f t="shared" si="56"/>
        <v>Частичное-ликвидация</v>
      </c>
      <c r="P56" s="227" t="s">
        <v>83</v>
      </c>
      <c r="Q56" s="227" t="s">
        <v>83</v>
      </c>
      <c r="R56" s="227" t="s">
        <v>83</v>
      </c>
      <c r="S56" s="227" t="s">
        <v>83</v>
      </c>
      <c r="T56" s="227" t="s">
        <v>83</v>
      </c>
      <c r="U56" s="227" t="s">
        <v>83</v>
      </c>
      <c r="V56" s="227" t="s">
        <v>83</v>
      </c>
      <c r="W56" s="227" t="s">
        <v>83</v>
      </c>
      <c r="X56" s="227" t="s">
        <v>83</v>
      </c>
      <c r="Y56" s="227" t="s">
        <v>83</v>
      </c>
      <c r="Z56" s="227" t="s">
        <v>83</v>
      </c>
      <c r="AA56" s="227" t="s">
        <v>83</v>
      </c>
      <c r="AB56" s="227" t="s">
        <v>83</v>
      </c>
      <c r="AC56" s="227" t="s">
        <v>83</v>
      </c>
      <c r="AD56" s="227" t="s">
        <v>83</v>
      </c>
      <c r="AE56" s="227" t="s">
        <v>83</v>
      </c>
      <c r="AF56" s="227" t="s">
        <v>83</v>
      </c>
      <c r="AG56" s="227" t="s">
        <v>83</v>
      </c>
      <c r="AH56" s="227" t="s">
        <v>83</v>
      </c>
      <c r="AI56" s="227" t="s">
        <v>83</v>
      </c>
      <c r="AJ56" s="227">
        <v>0</v>
      </c>
      <c r="AK56" s="227">
        <v>1</v>
      </c>
      <c r="AL56" s="227">
        <f>0.1*$AL53</f>
        <v>0.221</v>
      </c>
      <c r="AM56" s="227">
        <f>AM52</f>
        <v>2.5000000000000001E-2</v>
      </c>
      <c r="AN56" s="227">
        <f>ROUNDUP(AN52/3,0)</f>
        <v>2</v>
      </c>
      <c r="AQ56" s="230">
        <f>AM56*I56+AL56</f>
        <v>0.2223125</v>
      </c>
      <c r="AR56" s="230">
        <f t="shared" si="60"/>
        <v>2.2231250000000001E-2</v>
      </c>
      <c r="AS56" s="231">
        <f t="shared" si="61"/>
        <v>0.25</v>
      </c>
      <c r="AT56" s="231">
        <f t="shared" si="62"/>
        <v>0.1236359375</v>
      </c>
      <c r="AU56" s="230">
        <f>1333*J53*POWER(10,-6)*10</f>
        <v>4.6654999999999995E-3</v>
      </c>
      <c r="AV56" s="231">
        <f t="shared" si="57"/>
        <v>0.62284518749999995</v>
      </c>
      <c r="AW56" s="232">
        <f t="shared" si="63"/>
        <v>0</v>
      </c>
      <c r="AX56" s="232">
        <f t="shared" si="64"/>
        <v>1.6000000000000004E-6</v>
      </c>
      <c r="AY56" s="232">
        <f t="shared" si="58"/>
        <v>9.965523000000001E-7</v>
      </c>
      <c r="AZ56" s="227">
        <v>1</v>
      </c>
      <c r="BA56" s="227">
        <v>1</v>
      </c>
    </row>
    <row r="57" spans="1:53" s="227" customFormat="1" x14ac:dyDescent="0.3">
      <c r="A57" s="218" t="s">
        <v>23</v>
      </c>
      <c r="B57" s="218" t="str">
        <f>B52</f>
        <v>Сепаратор факельный С-301/1</v>
      </c>
      <c r="C57" s="53" t="s">
        <v>215</v>
      </c>
      <c r="D57" s="220" t="s">
        <v>214</v>
      </c>
      <c r="E57" s="233">
        <f>E56</f>
        <v>1.0000000000000001E-5</v>
      </c>
      <c r="F57" s="234">
        <f t="shared" si="65"/>
        <v>1</v>
      </c>
      <c r="G57" s="218">
        <v>4.0000000000000008E-2</v>
      </c>
      <c r="H57" s="222">
        <f t="shared" si="59"/>
        <v>4.0000000000000009E-7</v>
      </c>
      <c r="I57" s="235">
        <f>I55*0.15</f>
        <v>7.8750000000000001E-3</v>
      </c>
      <c r="J57" s="224">
        <f>I57</f>
        <v>7.8750000000000001E-3</v>
      </c>
      <c r="K57" s="239" t="s">
        <v>191</v>
      </c>
      <c r="L57" s="240">
        <v>21</v>
      </c>
      <c r="M57" s="227" t="str">
        <f t="shared" si="55"/>
        <v>С6</v>
      </c>
      <c r="N57" s="227" t="str">
        <f t="shared" si="55"/>
        <v>Сепаратор факельный С-301/1</v>
      </c>
      <c r="O57" s="227" t="str">
        <f t="shared" si="56"/>
        <v>Частичное факел</v>
      </c>
      <c r="P57" s="227" t="s">
        <v>83</v>
      </c>
      <c r="Q57" s="227" t="s">
        <v>83</v>
      </c>
      <c r="R57" s="227" t="s">
        <v>83</v>
      </c>
      <c r="S57" s="227" t="s">
        <v>83</v>
      </c>
      <c r="T57" s="227" t="s">
        <v>83</v>
      </c>
      <c r="U57" s="227" t="s">
        <v>83</v>
      </c>
      <c r="V57" s="227" t="s">
        <v>83</v>
      </c>
      <c r="W57" s="227" t="s">
        <v>83</v>
      </c>
      <c r="X57" s="227" t="s">
        <v>83</v>
      </c>
      <c r="Y57" s="227">
        <v>13</v>
      </c>
      <c r="Z57" s="227">
        <v>2</v>
      </c>
      <c r="AA57" s="227" t="s">
        <v>83</v>
      </c>
      <c r="AB57" s="227" t="s">
        <v>83</v>
      </c>
      <c r="AC57" s="227" t="s">
        <v>83</v>
      </c>
      <c r="AD57" s="227" t="s">
        <v>83</v>
      </c>
      <c r="AE57" s="227" t="s">
        <v>83</v>
      </c>
      <c r="AF57" s="227" t="s">
        <v>83</v>
      </c>
      <c r="AG57" s="227" t="s">
        <v>83</v>
      </c>
      <c r="AH57" s="227" t="s">
        <v>83</v>
      </c>
      <c r="AI57" s="227" t="s">
        <v>83</v>
      </c>
      <c r="AJ57" s="227">
        <v>2</v>
      </c>
      <c r="AK57" s="227">
        <v>1</v>
      </c>
      <c r="AL57" s="227">
        <f>0.1*$AL54</f>
        <v>0.221</v>
      </c>
      <c r="AM57" s="227">
        <f>AM52</f>
        <v>2.5000000000000001E-2</v>
      </c>
      <c r="AN57" s="227">
        <f>AN56</f>
        <v>2</v>
      </c>
      <c r="AQ57" s="230">
        <f>AM57*I57+AL57</f>
        <v>0.22119687500000002</v>
      </c>
      <c r="AR57" s="230">
        <f t="shared" si="60"/>
        <v>2.2119687500000002E-2</v>
      </c>
      <c r="AS57" s="231">
        <f t="shared" si="61"/>
        <v>6.25</v>
      </c>
      <c r="AT57" s="231">
        <f t="shared" si="62"/>
        <v>1.6233291406250001</v>
      </c>
      <c r="AU57" s="230">
        <f>10068.2*J57*POWER(10,-6)</f>
        <v>7.9287075E-5</v>
      </c>
      <c r="AV57" s="231">
        <f t="shared" si="57"/>
        <v>8.1167249901999998</v>
      </c>
      <c r="AW57" s="232">
        <f t="shared" si="63"/>
        <v>8.0000000000000018E-7</v>
      </c>
      <c r="AX57" s="232">
        <f t="shared" si="64"/>
        <v>4.0000000000000009E-7</v>
      </c>
      <c r="AY57" s="232">
        <f t="shared" si="58"/>
        <v>3.2466899960800005E-6</v>
      </c>
      <c r="AZ57" s="227">
        <v>1</v>
      </c>
      <c r="BA57" s="227">
        <v>1</v>
      </c>
    </row>
    <row r="58" spans="1:53" s="227" customFormat="1" x14ac:dyDescent="0.3">
      <c r="A58" s="218" t="s">
        <v>210</v>
      </c>
      <c r="B58" s="218" t="str">
        <f>B52</f>
        <v>Сепаратор факельный С-301/1</v>
      </c>
      <c r="C58" s="53" t="s">
        <v>216</v>
      </c>
      <c r="D58" s="220" t="s">
        <v>165</v>
      </c>
      <c r="E58" s="233">
        <f>E56</f>
        <v>1.0000000000000001E-5</v>
      </c>
      <c r="F58" s="234">
        <f t="shared" si="65"/>
        <v>1</v>
      </c>
      <c r="G58" s="218">
        <v>0.15200000000000002</v>
      </c>
      <c r="H58" s="222">
        <f t="shared" si="59"/>
        <v>1.5200000000000003E-6</v>
      </c>
      <c r="I58" s="235">
        <f>I55*0.15</f>
        <v>7.8750000000000001E-3</v>
      </c>
      <c r="J58" s="224">
        <f>I58</f>
        <v>7.8750000000000001E-3</v>
      </c>
      <c r="K58" s="236"/>
      <c r="L58" s="237"/>
      <c r="M58" s="227" t="str">
        <f t="shared" si="55"/>
        <v>С7</v>
      </c>
      <c r="N58" s="227" t="str">
        <f t="shared" si="55"/>
        <v>Сепаратор факельный С-301/1</v>
      </c>
      <c r="O58" s="227" t="str">
        <f t="shared" si="56"/>
        <v>Частичное-пожар-вспышка</v>
      </c>
      <c r="P58" s="227" t="s">
        <v>83</v>
      </c>
      <c r="Q58" s="227" t="s">
        <v>83</v>
      </c>
      <c r="R58" s="227" t="s">
        <v>83</v>
      </c>
      <c r="S58" s="227" t="s">
        <v>83</v>
      </c>
      <c r="T58" s="227" t="s">
        <v>83</v>
      </c>
      <c r="U58" s="227" t="s">
        <v>83</v>
      </c>
      <c r="V58" s="227" t="s">
        <v>83</v>
      </c>
      <c r="W58" s="227" t="s">
        <v>83</v>
      </c>
      <c r="X58" s="227" t="s">
        <v>83</v>
      </c>
      <c r="Y58" s="227" t="s">
        <v>83</v>
      </c>
      <c r="Z58" s="227" t="s">
        <v>83</v>
      </c>
      <c r="AA58" s="227">
        <v>6.78</v>
      </c>
      <c r="AB58" s="227">
        <v>8.14</v>
      </c>
      <c r="AC58" s="227" t="s">
        <v>83</v>
      </c>
      <c r="AD58" s="227" t="s">
        <v>83</v>
      </c>
      <c r="AE58" s="227" t="s">
        <v>83</v>
      </c>
      <c r="AF58" s="227" t="s">
        <v>83</v>
      </c>
      <c r="AG58" s="227" t="s">
        <v>83</v>
      </c>
      <c r="AH58" s="227" t="s">
        <v>83</v>
      </c>
      <c r="AI58" s="227" t="s">
        <v>83</v>
      </c>
      <c r="AJ58" s="227">
        <v>1</v>
      </c>
      <c r="AK58" s="227">
        <v>1</v>
      </c>
      <c r="AL58" s="227">
        <f>0.1*$AL55</f>
        <v>2.2100000000000002E-2</v>
      </c>
      <c r="AM58" s="227">
        <f>AM52</f>
        <v>2.5000000000000001E-2</v>
      </c>
      <c r="AN58" s="227">
        <f>ROUNDUP(AN52/3,0)</f>
        <v>2</v>
      </c>
      <c r="AQ58" s="230">
        <f>AM58*I58+AL58</f>
        <v>2.2296875000000001E-2</v>
      </c>
      <c r="AR58" s="230">
        <f t="shared" si="60"/>
        <v>2.2296875000000003E-3</v>
      </c>
      <c r="AS58" s="231">
        <f t="shared" si="61"/>
        <v>3.25</v>
      </c>
      <c r="AT58" s="231">
        <f t="shared" si="62"/>
        <v>0.81863164062500005</v>
      </c>
      <c r="AU58" s="230">
        <f>10068.2*J58*POWER(10,-6)</f>
        <v>7.9287075E-5</v>
      </c>
      <c r="AV58" s="231">
        <f t="shared" si="57"/>
        <v>4.0932374901999999</v>
      </c>
      <c r="AW58" s="232">
        <f t="shared" si="63"/>
        <v>1.5200000000000003E-6</v>
      </c>
      <c r="AX58" s="232">
        <f t="shared" si="64"/>
        <v>1.5200000000000003E-6</v>
      </c>
      <c r="AY58" s="232">
        <f t="shared" si="58"/>
        <v>6.2217209851040007E-6</v>
      </c>
      <c r="AZ58" s="227">
        <v>1</v>
      </c>
      <c r="BA58" s="227">
        <v>1</v>
      </c>
    </row>
    <row r="59" spans="1:53" s="227" customFormat="1" ht="15" thickBot="1" x14ac:dyDescent="0.35">
      <c r="A59" s="218" t="s">
        <v>211</v>
      </c>
      <c r="B59" s="218" t="str">
        <f>B52</f>
        <v>Сепаратор факельный С-301/1</v>
      </c>
      <c r="C59" s="53" t="s">
        <v>217</v>
      </c>
      <c r="D59" s="220" t="s">
        <v>61</v>
      </c>
      <c r="E59" s="233">
        <f>E56</f>
        <v>1.0000000000000001E-5</v>
      </c>
      <c r="F59" s="234">
        <f t="shared" si="65"/>
        <v>1</v>
      </c>
      <c r="G59" s="218">
        <v>0.6080000000000001</v>
      </c>
      <c r="H59" s="222">
        <f t="shared" si="59"/>
        <v>6.0800000000000011E-6</v>
      </c>
      <c r="I59" s="235">
        <f>I55*0.15</f>
        <v>7.8750000000000001E-3</v>
      </c>
      <c r="J59" s="224">
        <v>0</v>
      </c>
      <c r="K59" s="241"/>
      <c r="L59" s="242"/>
      <c r="M59" s="227" t="str">
        <f t="shared" si="55"/>
        <v>С8</v>
      </c>
      <c r="N59" s="227" t="str">
        <f t="shared" si="55"/>
        <v>Сепаратор факельный С-301/1</v>
      </c>
      <c r="O59" s="227" t="str">
        <f t="shared" si="56"/>
        <v>Частичное-ликвидация</v>
      </c>
      <c r="P59" s="227" t="s">
        <v>83</v>
      </c>
      <c r="Q59" s="227" t="s">
        <v>83</v>
      </c>
      <c r="R59" s="227" t="s">
        <v>83</v>
      </c>
      <c r="S59" s="227" t="s">
        <v>83</v>
      </c>
      <c r="T59" s="227" t="s">
        <v>83</v>
      </c>
      <c r="U59" s="227" t="s">
        <v>83</v>
      </c>
      <c r="V59" s="227" t="s">
        <v>83</v>
      </c>
      <c r="W59" s="227" t="s">
        <v>83</v>
      </c>
      <c r="X59" s="227" t="s">
        <v>83</v>
      </c>
      <c r="Y59" s="227" t="s">
        <v>83</v>
      </c>
      <c r="Z59" s="227" t="s">
        <v>83</v>
      </c>
      <c r="AA59" s="227" t="s">
        <v>83</v>
      </c>
      <c r="AB59" s="227" t="s">
        <v>83</v>
      </c>
      <c r="AC59" s="227" t="s">
        <v>83</v>
      </c>
      <c r="AD59" s="227" t="s">
        <v>83</v>
      </c>
      <c r="AE59" s="227" t="s">
        <v>83</v>
      </c>
      <c r="AF59" s="227" t="s">
        <v>83</v>
      </c>
      <c r="AG59" s="227" t="s">
        <v>83</v>
      </c>
      <c r="AH59" s="227" t="s">
        <v>83</v>
      </c>
      <c r="AI59" s="227" t="s">
        <v>83</v>
      </c>
      <c r="AJ59" s="227">
        <v>0</v>
      </c>
      <c r="AK59" s="227">
        <v>0</v>
      </c>
      <c r="AL59" s="227">
        <f>0.1*$AL56</f>
        <v>2.2100000000000002E-2</v>
      </c>
      <c r="AM59" s="227">
        <f>AM52</f>
        <v>2.5000000000000001E-2</v>
      </c>
      <c r="AN59" s="227">
        <f>ROUNDUP(AN52/3,0)</f>
        <v>2</v>
      </c>
      <c r="AQ59" s="230">
        <f>AM59*I59*0.1+AL59</f>
        <v>2.2119687500000002E-2</v>
      </c>
      <c r="AR59" s="230">
        <f t="shared" si="60"/>
        <v>2.2119687500000004E-3</v>
      </c>
      <c r="AS59" s="231">
        <f t="shared" si="61"/>
        <v>0</v>
      </c>
      <c r="AT59" s="231">
        <f t="shared" si="62"/>
        <v>6.0829140625000009E-3</v>
      </c>
      <c r="AU59" s="230">
        <f>1333*J57*POWER(10,-6)</f>
        <v>1.0497374999999999E-5</v>
      </c>
      <c r="AV59" s="231">
        <f t="shared" si="57"/>
        <v>3.0425067687500001E-2</v>
      </c>
      <c r="AW59" s="232">
        <f t="shared" si="63"/>
        <v>0</v>
      </c>
      <c r="AX59" s="232">
        <f t="shared" si="64"/>
        <v>0</v>
      </c>
      <c r="AY59" s="232">
        <f t="shared" si="58"/>
        <v>1.8498441154000004E-7</v>
      </c>
      <c r="AZ59" s="227">
        <v>1</v>
      </c>
      <c r="BA59" s="227">
        <v>1</v>
      </c>
    </row>
    <row r="60" spans="1:53" s="227" customFormat="1" x14ac:dyDescent="0.3">
      <c r="A60" s="281" t="s">
        <v>240</v>
      </c>
      <c r="B60" s="281" t="str">
        <f>B52</f>
        <v>Сепаратор факельный С-301/1</v>
      </c>
      <c r="C60" s="281" t="s">
        <v>302</v>
      </c>
      <c r="D60" s="281" t="s">
        <v>303</v>
      </c>
      <c r="E60" s="282">
        <v>2.5000000000000001E-5</v>
      </c>
      <c r="F60" s="234">
        <f t="shared" si="65"/>
        <v>1</v>
      </c>
      <c r="G60" s="281">
        <v>1</v>
      </c>
      <c r="H60" s="283">
        <f t="shared" si="59"/>
        <v>2.5000000000000001E-5</v>
      </c>
      <c r="I60" s="284">
        <f>I52</f>
        <v>0.35</v>
      </c>
      <c r="J60" s="284">
        <f>I60*0.07</f>
        <v>2.4500000000000001E-2</v>
      </c>
      <c r="K60" s="281"/>
      <c r="L60" s="281"/>
      <c r="M60" s="285" t="str">
        <f t="shared" si="55"/>
        <v>С9</v>
      </c>
      <c r="N60" s="285"/>
      <c r="O60" s="285"/>
      <c r="P60" s="285">
        <v>9.3000000000000007</v>
      </c>
      <c r="Q60" s="285">
        <v>11.4</v>
      </c>
      <c r="R60" s="285">
        <v>14.4</v>
      </c>
      <c r="S60" s="285">
        <v>23.4</v>
      </c>
      <c r="T60" s="285" t="s">
        <v>83</v>
      </c>
      <c r="U60" s="285" t="s">
        <v>83</v>
      </c>
      <c r="V60" s="285" t="s">
        <v>83</v>
      </c>
      <c r="W60" s="285" t="s">
        <v>83</v>
      </c>
      <c r="X60" s="285" t="s">
        <v>83</v>
      </c>
      <c r="Y60" s="285" t="s">
        <v>83</v>
      </c>
      <c r="Z60" s="285" t="s">
        <v>83</v>
      </c>
      <c r="AA60" s="285" t="s">
        <v>83</v>
      </c>
      <c r="AB60" s="285" t="s">
        <v>83</v>
      </c>
      <c r="AC60" s="285" t="s">
        <v>83</v>
      </c>
      <c r="AD60" s="285" t="s">
        <v>83</v>
      </c>
      <c r="AE60" s="285">
        <v>1</v>
      </c>
      <c r="AF60" s="285">
        <v>1</v>
      </c>
      <c r="AG60" s="285">
        <v>1</v>
      </c>
      <c r="AH60" s="285">
        <v>10.5</v>
      </c>
      <c r="AI60" s="227" t="s">
        <v>83</v>
      </c>
      <c r="AJ60" s="285">
        <v>1</v>
      </c>
      <c r="AK60" s="285">
        <v>3</v>
      </c>
      <c r="AL60" s="285">
        <f>AL52</f>
        <v>2.21</v>
      </c>
      <c r="AM60" s="285">
        <f>AM52</f>
        <v>2.5000000000000001E-2</v>
      </c>
      <c r="AN60" s="285">
        <v>5</v>
      </c>
      <c r="AO60" s="285"/>
      <c r="AP60" s="285"/>
      <c r="AQ60" s="286">
        <f>AM60*I60+AL60</f>
        <v>2.21875</v>
      </c>
      <c r="AR60" s="286">
        <f>0.1*AQ60</f>
        <v>0.22187500000000002</v>
      </c>
      <c r="AS60" s="287">
        <f>AJ60*3+0.25*AK60</f>
        <v>3.75</v>
      </c>
      <c r="AT60" s="287">
        <f>SUM(AQ60:AS60)/4</f>
        <v>1.54765625</v>
      </c>
      <c r="AU60" s="286">
        <f>10068.2*J60*POWER(10,-6)</f>
        <v>2.4667090000000003E-4</v>
      </c>
      <c r="AV60" s="287">
        <f t="shared" si="57"/>
        <v>7.7385279209000002</v>
      </c>
      <c r="AW60" s="288">
        <f>AJ60*H60</f>
        <v>2.5000000000000001E-5</v>
      </c>
      <c r="AX60" s="288">
        <f>H60*AK60</f>
        <v>7.5000000000000007E-5</v>
      </c>
      <c r="AY60" s="288">
        <f t="shared" si="58"/>
        <v>1.9346319802250001E-4</v>
      </c>
      <c r="AZ60" s="227">
        <v>1</v>
      </c>
      <c r="BA60" s="227">
        <v>1</v>
      </c>
    </row>
    <row r="61" spans="1:53" ht="15" thickBot="1" x14ac:dyDescent="0.35"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Z61" s="227">
        <v>1</v>
      </c>
      <c r="BA61" s="227">
        <v>1</v>
      </c>
    </row>
    <row r="62" spans="1:53" s="179" customFormat="1" ht="15" thickBot="1" x14ac:dyDescent="0.35">
      <c r="A62" s="169" t="s">
        <v>18</v>
      </c>
      <c r="B62" s="312" t="s">
        <v>421</v>
      </c>
      <c r="C62" s="171" t="s">
        <v>196</v>
      </c>
      <c r="D62" s="172" t="s">
        <v>59</v>
      </c>
      <c r="E62" s="173">
        <v>9.9999999999999995E-7</v>
      </c>
      <c r="F62" s="170">
        <v>1</v>
      </c>
      <c r="G62" s="169">
        <v>0.1</v>
      </c>
      <c r="H62" s="174">
        <f t="shared" ref="H62:H67" si="66">E62*F62*G62</f>
        <v>9.9999999999999995E-8</v>
      </c>
      <c r="I62" s="175">
        <v>1.5</v>
      </c>
      <c r="J62" s="176">
        <f>I62</f>
        <v>1.5</v>
      </c>
      <c r="K62" s="177" t="s">
        <v>175</v>
      </c>
      <c r="L62" s="178">
        <v>230</v>
      </c>
      <c r="M62" s="179" t="str">
        <f t="shared" ref="M62:N67" si="67">A62</f>
        <v>С1</v>
      </c>
      <c r="N62" s="179" t="str">
        <f t="shared" si="67"/>
        <v xml:space="preserve">Дренажная емкость гликоля V-707 </v>
      </c>
      <c r="O62" s="179" t="str">
        <f t="shared" ref="O62:O67" si="68">D62</f>
        <v>Полное-пожар</v>
      </c>
      <c r="P62" s="179">
        <v>16.5</v>
      </c>
      <c r="Q62" s="179">
        <v>22.5</v>
      </c>
      <c r="R62" s="179">
        <v>31.6</v>
      </c>
      <c r="S62" s="179">
        <v>58</v>
      </c>
      <c r="T62" s="179" t="s">
        <v>83</v>
      </c>
      <c r="U62" s="179" t="s">
        <v>83</v>
      </c>
      <c r="V62" s="179" t="s">
        <v>83</v>
      </c>
      <c r="W62" s="179" t="s">
        <v>83</v>
      </c>
      <c r="X62" s="179" t="s">
        <v>83</v>
      </c>
      <c r="Y62" s="179" t="s">
        <v>83</v>
      </c>
      <c r="Z62" s="179" t="s">
        <v>83</v>
      </c>
      <c r="AA62" s="179" t="s">
        <v>83</v>
      </c>
      <c r="AB62" s="179" t="s">
        <v>83</v>
      </c>
      <c r="AC62" s="179" t="s">
        <v>83</v>
      </c>
      <c r="AD62" s="179" t="s">
        <v>83</v>
      </c>
      <c r="AE62" s="179" t="s">
        <v>83</v>
      </c>
      <c r="AF62" s="179" t="s">
        <v>83</v>
      </c>
      <c r="AG62" s="179" t="s">
        <v>83</v>
      </c>
      <c r="AH62" s="179" t="s">
        <v>83</v>
      </c>
      <c r="AI62" s="179" t="s">
        <v>83</v>
      </c>
      <c r="AJ62" s="180">
        <v>1</v>
      </c>
      <c r="AK62" s="180">
        <v>2</v>
      </c>
      <c r="AL62" s="181">
        <v>3.2</v>
      </c>
      <c r="AM62" s="181">
        <v>2.7E-2</v>
      </c>
      <c r="AN62" s="181">
        <v>3</v>
      </c>
      <c r="AQ62" s="182">
        <f>AM62*I62+AL62</f>
        <v>3.2405000000000004</v>
      </c>
      <c r="AR62" s="182">
        <f t="shared" ref="AR62:AR67" si="69">0.1*AQ62</f>
        <v>0.32405000000000006</v>
      </c>
      <c r="AS62" s="183">
        <f t="shared" ref="AS62:AS67" si="70">AJ62*3+0.25*AK62</f>
        <v>3.5</v>
      </c>
      <c r="AT62" s="183">
        <f t="shared" ref="AT62:AT67" si="71">SUM(AQ62:AS62)/4</f>
        <v>1.7661375000000001</v>
      </c>
      <c r="AU62" s="182">
        <f>10068.2*J62*POWER(10,-6)</f>
        <v>1.5102300000000001E-2</v>
      </c>
      <c r="AV62" s="183">
        <f t="shared" ref="AV62:AV67" si="72">AU62+AT62+AS62+AR62+AQ62</f>
        <v>8.8457898000000004</v>
      </c>
      <c r="AW62" s="184">
        <f t="shared" ref="AW62:AW67" si="73">AJ62*H62</f>
        <v>9.9999999999999995E-8</v>
      </c>
      <c r="AX62" s="184">
        <f t="shared" ref="AX62:AX67" si="74">H62*AK62</f>
        <v>1.9999999999999999E-7</v>
      </c>
      <c r="AY62" s="184">
        <f t="shared" ref="AY62:AY67" si="75">H62*AV62</f>
        <v>8.8457897999999995E-7</v>
      </c>
      <c r="AZ62" s="227">
        <v>1</v>
      </c>
      <c r="BA62" s="227">
        <v>1</v>
      </c>
    </row>
    <row r="63" spans="1:53" s="179" customFormat="1" ht="15" thickBot="1" x14ac:dyDescent="0.35">
      <c r="A63" s="169" t="s">
        <v>19</v>
      </c>
      <c r="B63" s="169" t="str">
        <f>B62</f>
        <v xml:space="preserve">Дренажная емкость гликоля V-707 </v>
      </c>
      <c r="C63" s="171" t="s">
        <v>197</v>
      </c>
      <c r="D63" s="172" t="s">
        <v>62</v>
      </c>
      <c r="E63" s="185">
        <f>E62</f>
        <v>9.9999999999999995E-7</v>
      </c>
      <c r="F63" s="186">
        <f>F62</f>
        <v>1</v>
      </c>
      <c r="G63" s="169">
        <v>0.18000000000000002</v>
      </c>
      <c r="H63" s="174">
        <f t="shared" si="66"/>
        <v>1.8000000000000002E-7</v>
      </c>
      <c r="I63" s="187">
        <f>I62</f>
        <v>1.5</v>
      </c>
      <c r="J63" s="188">
        <v>0.08</v>
      </c>
      <c r="K63" s="177" t="s">
        <v>176</v>
      </c>
      <c r="L63" s="178">
        <v>0</v>
      </c>
      <c r="M63" s="179" t="str">
        <f t="shared" si="67"/>
        <v>С2</v>
      </c>
      <c r="N63" s="179" t="str">
        <f t="shared" si="67"/>
        <v xml:space="preserve">Дренажная емкость гликоля V-707 </v>
      </c>
      <c r="O63" s="179" t="str">
        <f t="shared" si="68"/>
        <v>Полное-взрыв</v>
      </c>
      <c r="P63" s="179" t="s">
        <v>83</v>
      </c>
      <c r="Q63" s="179" t="s">
        <v>83</v>
      </c>
      <c r="R63" s="179" t="s">
        <v>83</v>
      </c>
      <c r="S63" s="179" t="s">
        <v>83</v>
      </c>
      <c r="T63" s="179">
        <v>0</v>
      </c>
      <c r="U63" s="179">
        <v>0</v>
      </c>
      <c r="V63" s="179">
        <v>32.6</v>
      </c>
      <c r="W63" s="179">
        <v>109.1</v>
      </c>
      <c r="X63" s="179">
        <v>283.60000000000002</v>
      </c>
      <c r="Y63" s="179" t="s">
        <v>83</v>
      </c>
      <c r="Z63" s="179" t="s">
        <v>83</v>
      </c>
      <c r="AA63" s="179" t="s">
        <v>83</v>
      </c>
      <c r="AB63" s="179" t="s">
        <v>83</v>
      </c>
      <c r="AC63" s="179" t="s">
        <v>83</v>
      </c>
      <c r="AD63" s="179" t="s">
        <v>83</v>
      </c>
      <c r="AE63" s="179" t="s">
        <v>83</v>
      </c>
      <c r="AF63" s="179" t="s">
        <v>83</v>
      </c>
      <c r="AG63" s="179" t="s">
        <v>83</v>
      </c>
      <c r="AH63" s="179" t="s">
        <v>83</v>
      </c>
      <c r="AI63" s="179" t="s">
        <v>83</v>
      </c>
      <c r="AJ63" s="180">
        <v>2</v>
      </c>
      <c r="AK63" s="180">
        <v>2</v>
      </c>
      <c r="AL63" s="179">
        <f>AL62</f>
        <v>3.2</v>
      </c>
      <c r="AM63" s="179">
        <f>AM62</f>
        <v>2.7E-2</v>
      </c>
      <c r="AN63" s="179">
        <f>AN62</f>
        <v>3</v>
      </c>
      <c r="AQ63" s="182">
        <f>AM63*I63+AL63</f>
        <v>3.2405000000000004</v>
      </c>
      <c r="AR63" s="182">
        <f t="shared" si="69"/>
        <v>0.32405000000000006</v>
      </c>
      <c r="AS63" s="183">
        <f t="shared" si="70"/>
        <v>6.5</v>
      </c>
      <c r="AT63" s="183">
        <f t="shared" si="71"/>
        <v>2.5161375000000001</v>
      </c>
      <c r="AU63" s="182">
        <f>10068.2*J63*POWER(10,-6)*10</f>
        <v>8.0545600000000005E-3</v>
      </c>
      <c r="AV63" s="183">
        <f t="shared" si="72"/>
        <v>12.588742060000001</v>
      </c>
      <c r="AW63" s="184">
        <f t="shared" si="73"/>
        <v>3.6000000000000005E-7</v>
      </c>
      <c r="AX63" s="184">
        <f t="shared" si="74"/>
        <v>3.6000000000000005E-7</v>
      </c>
      <c r="AY63" s="184">
        <f t="shared" si="75"/>
        <v>2.2659735708000006E-6</v>
      </c>
      <c r="AZ63" s="227">
        <v>1</v>
      </c>
      <c r="BA63" s="227">
        <v>1</v>
      </c>
    </row>
    <row r="64" spans="1:53" s="179" customFormat="1" x14ac:dyDescent="0.3">
      <c r="A64" s="169" t="s">
        <v>20</v>
      </c>
      <c r="B64" s="169" t="str">
        <f>B62</f>
        <v xml:space="preserve">Дренажная емкость гликоля V-707 </v>
      </c>
      <c r="C64" s="171" t="s">
        <v>198</v>
      </c>
      <c r="D64" s="172" t="s">
        <v>60</v>
      </c>
      <c r="E64" s="185">
        <f>E62</f>
        <v>9.9999999999999995E-7</v>
      </c>
      <c r="F64" s="186">
        <f>F62</f>
        <v>1</v>
      </c>
      <c r="G64" s="169">
        <v>0.72000000000000008</v>
      </c>
      <c r="H64" s="174">
        <f t="shared" si="66"/>
        <v>7.2000000000000009E-7</v>
      </c>
      <c r="I64" s="187">
        <f>I62</f>
        <v>1.5</v>
      </c>
      <c r="J64" s="189">
        <v>0</v>
      </c>
      <c r="K64" s="177" t="s">
        <v>177</v>
      </c>
      <c r="L64" s="178">
        <v>0</v>
      </c>
      <c r="M64" s="179" t="str">
        <f t="shared" si="67"/>
        <v>С3</v>
      </c>
      <c r="N64" s="179" t="str">
        <f t="shared" si="67"/>
        <v xml:space="preserve">Дренажная емкость гликоля V-707 </v>
      </c>
      <c r="O64" s="179" t="str">
        <f t="shared" si="68"/>
        <v>Полное-ликвидация</v>
      </c>
      <c r="P64" s="179" t="s">
        <v>83</v>
      </c>
      <c r="Q64" s="179" t="s">
        <v>83</v>
      </c>
      <c r="R64" s="179" t="s">
        <v>83</v>
      </c>
      <c r="S64" s="179" t="s">
        <v>83</v>
      </c>
      <c r="T64" s="179" t="s">
        <v>83</v>
      </c>
      <c r="U64" s="179" t="s">
        <v>83</v>
      </c>
      <c r="V64" s="179" t="s">
        <v>83</v>
      </c>
      <c r="W64" s="179" t="s">
        <v>83</v>
      </c>
      <c r="X64" s="179" t="s">
        <v>83</v>
      </c>
      <c r="Y64" s="179" t="s">
        <v>83</v>
      </c>
      <c r="Z64" s="179" t="s">
        <v>83</v>
      </c>
      <c r="AA64" s="179" t="s">
        <v>83</v>
      </c>
      <c r="AB64" s="179" t="s">
        <v>83</v>
      </c>
      <c r="AC64" s="179" t="s">
        <v>83</v>
      </c>
      <c r="AD64" s="179" t="s">
        <v>83</v>
      </c>
      <c r="AE64" s="179" t="s">
        <v>83</v>
      </c>
      <c r="AF64" s="179" t="s">
        <v>83</v>
      </c>
      <c r="AG64" s="179" t="s">
        <v>83</v>
      </c>
      <c r="AH64" s="179" t="s">
        <v>83</v>
      </c>
      <c r="AI64" s="179" t="s">
        <v>83</v>
      </c>
      <c r="AJ64" s="179">
        <v>0</v>
      </c>
      <c r="AK64" s="179">
        <v>0</v>
      </c>
      <c r="AL64" s="179">
        <f>AL62</f>
        <v>3.2</v>
      </c>
      <c r="AM64" s="179">
        <f>AM62</f>
        <v>2.7E-2</v>
      </c>
      <c r="AN64" s="179">
        <f>AN62</f>
        <v>3</v>
      </c>
      <c r="AQ64" s="182">
        <f>AM64*I64*0.1+AL64</f>
        <v>3.2040500000000001</v>
      </c>
      <c r="AR64" s="182">
        <f t="shared" si="69"/>
        <v>0.32040500000000005</v>
      </c>
      <c r="AS64" s="183">
        <f t="shared" si="70"/>
        <v>0</v>
      </c>
      <c r="AT64" s="183">
        <f t="shared" si="71"/>
        <v>0.88111375000000003</v>
      </c>
      <c r="AU64" s="182">
        <f>1333*J63*POWER(10,-6)</f>
        <v>1.0664E-4</v>
      </c>
      <c r="AV64" s="183">
        <f t="shared" si="72"/>
        <v>4.4056753900000007</v>
      </c>
      <c r="AW64" s="184">
        <f t="shared" si="73"/>
        <v>0</v>
      </c>
      <c r="AX64" s="184">
        <f t="shared" si="74"/>
        <v>0</v>
      </c>
      <c r="AY64" s="184">
        <f t="shared" si="75"/>
        <v>3.1720862808000009E-6</v>
      </c>
      <c r="AZ64" s="227">
        <v>1</v>
      </c>
      <c r="BA64" s="227">
        <v>1</v>
      </c>
    </row>
    <row r="65" spans="1:53" s="179" customFormat="1" x14ac:dyDescent="0.3">
      <c r="A65" s="169" t="s">
        <v>21</v>
      </c>
      <c r="B65" s="169" t="str">
        <f>B62</f>
        <v xml:space="preserve">Дренажная емкость гликоля V-707 </v>
      </c>
      <c r="C65" s="171" t="s">
        <v>199</v>
      </c>
      <c r="D65" s="172" t="s">
        <v>84</v>
      </c>
      <c r="E65" s="173">
        <v>1.0000000000000001E-5</v>
      </c>
      <c r="F65" s="186">
        <f>F62</f>
        <v>1</v>
      </c>
      <c r="G65" s="169">
        <v>0.1</v>
      </c>
      <c r="H65" s="174">
        <f t="shared" si="66"/>
        <v>1.0000000000000002E-6</v>
      </c>
      <c r="I65" s="187">
        <f>0.15*I62</f>
        <v>0.22499999999999998</v>
      </c>
      <c r="J65" s="176">
        <f>I65</f>
        <v>0.22499999999999998</v>
      </c>
      <c r="K65" s="190" t="s">
        <v>179</v>
      </c>
      <c r="L65" s="191">
        <v>45390</v>
      </c>
      <c r="M65" s="179" t="str">
        <f t="shared" si="67"/>
        <v>С4</v>
      </c>
      <c r="N65" s="179" t="str">
        <f t="shared" si="67"/>
        <v xml:space="preserve">Дренажная емкость гликоля V-707 </v>
      </c>
      <c r="O65" s="179" t="str">
        <f t="shared" si="68"/>
        <v>Частичное-пожар</v>
      </c>
      <c r="P65" s="179">
        <v>12.5</v>
      </c>
      <c r="Q65" s="179">
        <v>15.8</v>
      </c>
      <c r="R65" s="179">
        <v>20.7</v>
      </c>
      <c r="S65" s="179">
        <v>35.1</v>
      </c>
      <c r="T65" s="179" t="s">
        <v>83</v>
      </c>
      <c r="U65" s="179" t="s">
        <v>83</v>
      </c>
      <c r="V65" s="179" t="s">
        <v>83</v>
      </c>
      <c r="W65" s="179" t="s">
        <v>83</v>
      </c>
      <c r="X65" s="179" t="s">
        <v>83</v>
      </c>
      <c r="Y65" s="179" t="s">
        <v>83</v>
      </c>
      <c r="Z65" s="179" t="s">
        <v>83</v>
      </c>
      <c r="AA65" s="179" t="s">
        <v>83</v>
      </c>
      <c r="AB65" s="179" t="s">
        <v>83</v>
      </c>
      <c r="AC65" s="179" t="s">
        <v>83</v>
      </c>
      <c r="AD65" s="179" t="s">
        <v>83</v>
      </c>
      <c r="AE65" s="179" t="s">
        <v>83</v>
      </c>
      <c r="AF65" s="179" t="s">
        <v>83</v>
      </c>
      <c r="AG65" s="179" t="s">
        <v>83</v>
      </c>
      <c r="AH65" s="179" t="s">
        <v>83</v>
      </c>
      <c r="AI65" s="179" t="s">
        <v>83</v>
      </c>
      <c r="AJ65" s="179">
        <v>0</v>
      </c>
      <c r="AK65" s="179">
        <v>2</v>
      </c>
      <c r="AL65" s="179">
        <f>0.1*AL62</f>
        <v>0.32000000000000006</v>
      </c>
      <c r="AM65" s="179">
        <f>AM62</f>
        <v>2.7E-2</v>
      </c>
      <c r="AN65" s="179">
        <f>ROUNDUP(AN62/3,0)</f>
        <v>1</v>
      </c>
      <c r="AQ65" s="182">
        <f>AM65*I65+AL65</f>
        <v>0.32607500000000006</v>
      </c>
      <c r="AR65" s="182">
        <f t="shared" si="69"/>
        <v>3.2607500000000005E-2</v>
      </c>
      <c r="AS65" s="183">
        <f t="shared" si="70"/>
        <v>0.5</v>
      </c>
      <c r="AT65" s="183">
        <f t="shared" si="71"/>
        <v>0.214670625</v>
      </c>
      <c r="AU65" s="182">
        <f>10068.2*J65*POWER(10,-6)</f>
        <v>2.2653449999999998E-3</v>
      </c>
      <c r="AV65" s="183">
        <f t="shared" si="72"/>
        <v>1.07561847</v>
      </c>
      <c r="AW65" s="184">
        <f t="shared" si="73"/>
        <v>0</v>
      </c>
      <c r="AX65" s="184">
        <f t="shared" si="74"/>
        <v>2.0000000000000003E-6</v>
      </c>
      <c r="AY65" s="184">
        <f t="shared" si="75"/>
        <v>1.0756184700000002E-6</v>
      </c>
      <c r="AZ65" s="227">
        <v>1</v>
      </c>
      <c r="BA65" s="227">
        <v>1</v>
      </c>
    </row>
    <row r="66" spans="1:53" s="179" customFormat="1" x14ac:dyDescent="0.3">
      <c r="A66" s="169" t="s">
        <v>22</v>
      </c>
      <c r="B66" s="169" t="str">
        <f>B62</f>
        <v xml:space="preserve">Дренажная емкость гликоля V-707 </v>
      </c>
      <c r="C66" s="171" t="s">
        <v>200</v>
      </c>
      <c r="D66" s="172" t="s">
        <v>165</v>
      </c>
      <c r="E66" s="185">
        <f>E65</f>
        <v>1.0000000000000001E-5</v>
      </c>
      <c r="F66" s="186">
        <f>F62</f>
        <v>1</v>
      </c>
      <c r="G66" s="169">
        <v>4.5000000000000005E-2</v>
      </c>
      <c r="H66" s="174">
        <f t="shared" si="66"/>
        <v>4.5000000000000009E-7</v>
      </c>
      <c r="I66" s="187">
        <f>0.15*I62</f>
        <v>0.22499999999999998</v>
      </c>
      <c r="J66" s="176">
        <f>0.15*J63</f>
        <v>1.2E-2</v>
      </c>
      <c r="K66" s="190" t="s">
        <v>180</v>
      </c>
      <c r="L66" s="191">
        <v>3</v>
      </c>
      <c r="M66" s="179" t="str">
        <f t="shared" si="67"/>
        <v>С5</v>
      </c>
      <c r="N66" s="179" t="str">
        <f t="shared" si="67"/>
        <v xml:space="preserve">Дренажная емкость гликоля V-707 </v>
      </c>
      <c r="O66" s="179" t="str">
        <f t="shared" si="68"/>
        <v>Частичное-пожар-вспышка</v>
      </c>
      <c r="P66" s="179" t="s">
        <v>83</v>
      </c>
      <c r="Q66" s="179" t="s">
        <v>83</v>
      </c>
      <c r="R66" s="179" t="s">
        <v>83</v>
      </c>
      <c r="S66" s="179" t="s">
        <v>83</v>
      </c>
      <c r="T66" s="179" t="s">
        <v>83</v>
      </c>
      <c r="U66" s="179" t="s">
        <v>83</v>
      </c>
      <c r="V66" s="179" t="s">
        <v>83</v>
      </c>
      <c r="W66" s="179" t="s">
        <v>83</v>
      </c>
      <c r="X66" s="179" t="s">
        <v>83</v>
      </c>
      <c r="Y66" s="179" t="s">
        <v>83</v>
      </c>
      <c r="Z66" s="179" t="s">
        <v>83</v>
      </c>
      <c r="AA66" s="179">
        <v>7.79</v>
      </c>
      <c r="AB66" s="179">
        <v>9.35</v>
      </c>
      <c r="AC66" s="179" t="s">
        <v>83</v>
      </c>
      <c r="AD66" s="179" t="s">
        <v>83</v>
      </c>
      <c r="AE66" s="179" t="s">
        <v>83</v>
      </c>
      <c r="AF66" s="179" t="s">
        <v>83</v>
      </c>
      <c r="AG66" s="179" t="s">
        <v>83</v>
      </c>
      <c r="AH66" s="179" t="s">
        <v>83</v>
      </c>
      <c r="AI66" s="179" t="s">
        <v>83</v>
      </c>
      <c r="AJ66" s="179">
        <v>0</v>
      </c>
      <c r="AK66" s="179">
        <v>1</v>
      </c>
      <c r="AL66" s="179">
        <f t="shared" ref="AL66:AL67" si="76">0.1*AL63</f>
        <v>0.32000000000000006</v>
      </c>
      <c r="AM66" s="179">
        <f>AM62</f>
        <v>2.7E-2</v>
      </c>
      <c r="AN66" s="179">
        <f>ROUNDUP(AN62/3,0)</f>
        <v>1</v>
      </c>
      <c r="AQ66" s="182">
        <f>AM66*I66+AL66</f>
        <v>0.32607500000000006</v>
      </c>
      <c r="AR66" s="182">
        <f t="shared" si="69"/>
        <v>3.2607500000000005E-2</v>
      </c>
      <c r="AS66" s="183">
        <f t="shared" si="70"/>
        <v>0.25</v>
      </c>
      <c r="AT66" s="183">
        <f t="shared" si="71"/>
        <v>0.152170625</v>
      </c>
      <c r="AU66" s="182">
        <f>10068.2*J66*POWER(10,-6)*10</f>
        <v>1.2081840000000002E-3</v>
      </c>
      <c r="AV66" s="183">
        <f t="shared" si="72"/>
        <v>0.76206130900000013</v>
      </c>
      <c r="AW66" s="184">
        <f t="shared" si="73"/>
        <v>0</v>
      </c>
      <c r="AX66" s="184">
        <f t="shared" si="74"/>
        <v>4.5000000000000009E-7</v>
      </c>
      <c r="AY66" s="184">
        <f t="shared" si="75"/>
        <v>3.4292758905000015E-7</v>
      </c>
      <c r="AZ66" s="227">
        <v>1</v>
      </c>
      <c r="BA66" s="227">
        <v>1</v>
      </c>
    </row>
    <row r="67" spans="1:53" s="179" customFormat="1" ht="15" thickBot="1" x14ac:dyDescent="0.35">
      <c r="A67" s="169" t="s">
        <v>23</v>
      </c>
      <c r="B67" s="169" t="str">
        <f>B62</f>
        <v xml:space="preserve">Дренажная емкость гликоля V-707 </v>
      </c>
      <c r="C67" s="171" t="s">
        <v>201</v>
      </c>
      <c r="D67" s="172" t="s">
        <v>61</v>
      </c>
      <c r="E67" s="185">
        <f>E65</f>
        <v>1.0000000000000001E-5</v>
      </c>
      <c r="F67" s="186">
        <f>F62</f>
        <v>1</v>
      </c>
      <c r="G67" s="169">
        <v>0.85499999999999998</v>
      </c>
      <c r="H67" s="174">
        <f t="shared" si="66"/>
        <v>8.5500000000000011E-6</v>
      </c>
      <c r="I67" s="187">
        <f>0.15*I62</f>
        <v>0.22499999999999998</v>
      </c>
      <c r="J67" s="189">
        <v>0</v>
      </c>
      <c r="K67" s="192" t="s">
        <v>191</v>
      </c>
      <c r="L67" s="192">
        <v>9</v>
      </c>
      <c r="M67" s="179" t="str">
        <f t="shared" si="67"/>
        <v>С6</v>
      </c>
      <c r="N67" s="179" t="str">
        <f t="shared" si="67"/>
        <v xml:space="preserve">Дренажная емкость гликоля V-707 </v>
      </c>
      <c r="O67" s="179" t="str">
        <f t="shared" si="68"/>
        <v>Частичное-ликвидация</v>
      </c>
      <c r="P67" s="179" t="s">
        <v>83</v>
      </c>
      <c r="Q67" s="179" t="s">
        <v>83</v>
      </c>
      <c r="R67" s="179" t="s">
        <v>83</v>
      </c>
      <c r="S67" s="179" t="s">
        <v>83</v>
      </c>
      <c r="T67" s="179" t="s">
        <v>83</v>
      </c>
      <c r="U67" s="179" t="s">
        <v>83</v>
      </c>
      <c r="V67" s="179" t="s">
        <v>83</v>
      </c>
      <c r="W67" s="179" t="s">
        <v>83</v>
      </c>
      <c r="X67" s="179" t="s">
        <v>83</v>
      </c>
      <c r="Y67" s="179" t="s">
        <v>83</v>
      </c>
      <c r="Z67" s="179" t="s">
        <v>83</v>
      </c>
      <c r="AA67" s="179" t="s">
        <v>83</v>
      </c>
      <c r="AB67" s="179" t="s">
        <v>83</v>
      </c>
      <c r="AC67" s="179" t="s">
        <v>83</v>
      </c>
      <c r="AD67" s="179" t="s">
        <v>83</v>
      </c>
      <c r="AE67" s="179" t="s">
        <v>83</v>
      </c>
      <c r="AF67" s="179" t="s">
        <v>83</v>
      </c>
      <c r="AG67" s="179" t="s">
        <v>83</v>
      </c>
      <c r="AH67" s="179" t="s">
        <v>83</v>
      </c>
      <c r="AI67" s="179" t="s">
        <v>83</v>
      </c>
      <c r="AJ67" s="179">
        <v>0</v>
      </c>
      <c r="AK67" s="179">
        <v>0</v>
      </c>
      <c r="AL67" s="179">
        <f t="shared" si="76"/>
        <v>0.32000000000000006</v>
      </c>
      <c r="AM67" s="179">
        <f>AM62</f>
        <v>2.7E-2</v>
      </c>
      <c r="AN67" s="179">
        <f>ROUNDUP(AN62/3,0)</f>
        <v>1</v>
      </c>
      <c r="AQ67" s="182">
        <f>AM67*I67*0.1+AL67</f>
        <v>0.32060750000000005</v>
      </c>
      <c r="AR67" s="182">
        <f t="shared" si="69"/>
        <v>3.2060750000000006E-2</v>
      </c>
      <c r="AS67" s="183">
        <f t="shared" si="70"/>
        <v>0</v>
      </c>
      <c r="AT67" s="183">
        <f t="shared" si="71"/>
        <v>8.8167062500000018E-2</v>
      </c>
      <c r="AU67" s="182">
        <f>1333*J66*POWER(10,-6)</f>
        <v>1.5996000000000001E-5</v>
      </c>
      <c r="AV67" s="183">
        <f t="shared" si="72"/>
        <v>0.44085130850000009</v>
      </c>
      <c r="AW67" s="184">
        <f t="shared" si="73"/>
        <v>0</v>
      </c>
      <c r="AX67" s="184">
        <f t="shared" si="74"/>
        <v>0</v>
      </c>
      <c r="AY67" s="184">
        <f t="shared" si="75"/>
        <v>3.7692786876750013E-6</v>
      </c>
      <c r="AZ67" s="227">
        <v>1</v>
      </c>
      <c r="BA67" s="227">
        <v>1</v>
      </c>
    </row>
    <row r="68" spans="1:53" s="179" customFormat="1" x14ac:dyDescent="0.3">
      <c r="A68" s="180"/>
      <c r="B68" s="180"/>
      <c r="D68" s="271"/>
      <c r="E68" s="272"/>
      <c r="F68" s="273"/>
      <c r="G68" s="180"/>
      <c r="H68" s="184"/>
      <c r="I68" s="183"/>
      <c r="J68" s="180"/>
      <c r="K68" s="180"/>
      <c r="L68" s="180"/>
      <c r="P68" s="179" t="s">
        <v>83</v>
      </c>
      <c r="Q68" s="179" t="s">
        <v>83</v>
      </c>
      <c r="R68" s="179" t="s">
        <v>83</v>
      </c>
      <c r="S68" s="179" t="s">
        <v>83</v>
      </c>
      <c r="T68" s="179" t="s">
        <v>83</v>
      </c>
      <c r="U68" s="179" t="s">
        <v>83</v>
      </c>
      <c r="V68" s="179" t="s">
        <v>83</v>
      </c>
      <c r="W68" s="179" t="s">
        <v>83</v>
      </c>
      <c r="X68" s="179" t="s">
        <v>83</v>
      </c>
      <c r="Y68" s="179" t="s">
        <v>83</v>
      </c>
      <c r="Z68" s="179" t="s">
        <v>83</v>
      </c>
      <c r="AA68" s="179" t="s">
        <v>83</v>
      </c>
      <c r="AB68" s="179" t="s">
        <v>83</v>
      </c>
      <c r="AC68" s="179" t="s">
        <v>83</v>
      </c>
      <c r="AD68" s="179" t="s">
        <v>83</v>
      </c>
      <c r="AE68" s="179" t="s">
        <v>83</v>
      </c>
      <c r="AF68" s="179" t="s">
        <v>83</v>
      </c>
      <c r="AG68" s="179" t="s">
        <v>83</v>
      </c>
      <c r="AH68" s="179" t="s">
        <v>83</v>
      </c>
      <c r="AI68" s="179" t="s">
        <v>83</v>
      </c>
      <c r="AQ68" s="182"/>
      <c r="AR68" s="182"/>
      <c r="AS68" s="183"/>
      <c r="AT68" s="183"/>
      <c r="AU68" s="182"/>
      <c r="AV68" s="183"/>
      <c r="AW68" s="184"/>
      <c r="AX68" s="184"/>
      <c r="AY68" s="184"/>
      <c r="AZ68" s="227">
        <v>1</v>
      </c>
      <c r="BA68" s="227">
        <v>1</v>
      </c>
    </row>
    <row r="69" spans="1:53" s="179" customFormat="1" x14ac:dyDescent="0.3">
      <c r="A69" s="180"/>
      <c r="B69" s="180"/>
      <c r="D69" s="271"/>
      <c r="E69" s="272"/>
      <c r="F69" s="273"/>
      <c r="G69" s="180"/>
      <c r="H69" s="184"/>
      <c r="I69" s="183"/>
      <c r="J69" s="180"/>
      <c r="K69" s="180"/>
      <c r="L69" s="180"/>
      <c r="P69" s="179" t="s">
        <v>83</v>
      </c>
      <c r="Q69" s="179" t="s">
        <v>83</v>
      </c>
      <c r="R69" s="179" t="s">
        <v>83</v>
      </c>
      <c r="S69" s="179" t="s">
        <v>83</v>
      </c>
      <c r="T69" s="179" t="s">
        <v>83</v>
      </c>
      <c r="U69" s="179" t="s">
        <v>83</v>
      </c>
      <c r="V69" s="179" t="s">
        <v>83</v>
      </c>
      <c r="W69" s="179" t="s">
        <v>83</v>
      </c>
      <c r="X69" s="179" t="s">
        <v>83</v>
      </c>
      <c r="Y69" s="179" t="s">
        <v>83</v>
      </c>
      <c r="Z69" s="179" t="s">
        <v>83</v>
      </c>
      <c r="AA69" s="179" t="s">
        <v>83</v>
      </c>
      <c r="AB69" s="179" t="s">
        <v>83</v>
      </c>
      <c r="AC69" s="179" t="s">
        <v>83</v>
      </c>
      <c r="AD69" s="179" t="s">
        <v>83</v>
      </c>
      <c r="AE69" s="179" t="s">
        <v>83</v>
      </c>
      <c r="AF69" s="179" t="s">
        <v>83</v>
      </c>
      <c r="AG69" s="179" t="s">
        <v>83</v>
      </c>
      <c r="AH69" s="179" t="s">
        <v>83</v>
      </c>
      <c r="AI69" s="179" t="s">
        <v>83</v>
      </c>
      <c r="AQ69" s="182"/>
      <c r="AR69" s="182"/>
      <c r="AS69" s="183"/>
      <c r="AT69" s="183"/>
      <c r="AU69" s="182"/>
      <c r="AV69" s="183"/>
      <c r="AW69" s="184"/>
      <c r="AX69" s="184"/>
      <c r="AY69" s="184"/>
      <c r="AZ69" s="227">
        <v>1</v>
      </c>
      <c r="BA69" s="227">
        <v>1</v>
      </c>
    </row>
    <row r="70" spans="1:53" s="179" customFormat="1" x14ac:dyDescent="0.3">
      <c r="A70" s="180"/>
      <c r="B70" s="180"/>
      <c r="D70" s="271"/>
      <c r="E70" s="272"/>
      <c r="F70" s="273"/>
      <c r="G70" s="180"/>
      <c r="H70" s="184"/>
      <c r="I70" s="183"/>
      <c r="J70" s="180"/>
      <c r="K70" s="180"/>
      <c r="L70" s="180"/>
      <c r="P70" s="179" t="s">
        <v>83</v>
      </c>
      <c r="Q70" s="179" t="s">
        <v>83</v>
      </c>
      <c r="R70" s="179" t="s">
        <v>83</v>
      </c>
      <c r="S70" s="179" t="s">
        <v>83</v>
      </c>
      <c r="T70" s="179" t="s">
        <v>83</v>
      </c>
      <c r="U70" s="179" t="s">
        <v>83</v>
      </c>
      <c r="V70" s="179" t="s">
        <v>83</v>
      </c>
      <c r="W70" s="179" t="s">
        <v>83</v>
      </c>
      <c r="X70" s="179" t="s">
        <v>83</v>
      </c>
      <c r="Y70" s="179" t="s">
        <v>83</v>
      </c>
      <c r="Z70" s="179" t="s">
        <v>83</v>
      </c>
      <c r="AA70" s="179" t="s">
        <v>83</v>
      </c>
      <c r="AB70" s="179" t="s">
        <v>83</v>
      </c>
      <c r="AC70" s="179" t="s">
        <v>83</v>
      </c>
      <c r="AD70" s="179" t="s">
        <v>83</v>
      </c>
      <c r="AE70" s="179" t="s">
        <v>83</v>
      </c>
      <c r="AF70" s="179" t="s">
        <v>83</v>
      </c>
      <c r="AG70" s="179" t="s">
        <v>83</v>
      </c>
      <c r="AH70" s="179" t="s">
        <v>83</v>
      </c>
      <c r="AI70" s="179" t="s">
        <v>83</v>
      </c>
      <c r="AQ70" s="182"/>
      <c r="AR70" s="182"/>
      <c r="AS70" s="183"/>
      <c r="AT70" s="183"/>
      <c r="AU70" s="182"/>
      <c r="AV70" s="183"/>
      <c r="AW70" s="184"/>
      <c r="AX70" s="184"/>
      <c r="AY70" s="184"/>
      <c r="AZ70" s="227">
        <v>1</v>
      </c>
      <c r="BA70" s="227">
        <v>1</v>
      </c>
    </row>
    <row r="71" spans="1:53" ht="15" thickBot="1" x14ac:dyDescent="0.35"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Z71" s="227">
        <v>1</v>
      </c>
      <c r="BA71" s="227">
        <v>1</v>
      </c>
    </row>
    <row r="72" spans="1:53" s="179" customFormat="1" ht="15" thickBot="1" x14ac:dyDescent="0.35">
      <c r="A72" s="169" t="s">
        <v>18</v>
      </c>
      <c r="B72" s="312" t="s">
        <v>422</v>
      </c>
      <c r="C72" s="171" t="s">
        <v>196</v>
      </c>
      <c r="D72" s="172" t="s">
        <v>59</v>
      </c>
      <c r="E72" s="173">
        <v>9.9999999999999995E-7</v>
      </c>
      <c r="F72" s="170">
        <v>1</v>
      </c>
      <c r="G72" s="169">
        <v>0.1</v>
      </c>
      <c r="H72" s="174">
        <f t="shared" ref="H72:H77" si="77">E72*F72*G72</f>
        <v>9.9999999999999995E-8</v>
      </c>
      <c r="I72" s="175">
        <v>21.38</v>
      </c>
      <c r="J72" s="176">
        <f>I72</f>
        <v>21.38</v>
      </c>
      <c r="K72" s="177" t="s">
        <v>175</v>
      </c>
      <c r="L72" s="178">
        <v>420</v>
      </c>
      <c r="M72" s="179" t="str">
        <f t="shared" ref="M72:N77" si="78">A72</f>
        <v>С1</v>
      </c>
      <c r="N72" s="179" t="str">
        <f t="shared" si="78"/>
        <v>Емкость Е-27</v>
      </c>
      <c r="O72" s="179" t="str">
        <f t="shared" ref="O72:O77" si="79">D72</f>
        <v>Полное-пожар</v>
      </c>
      <c r="P72" s="179">
        <v>18</v>
      </c>
      <c r="Q72" s="179">
        <v>24.9</v>
      </c>
      <c r="R72" s="179">
        <v>35.4</v>
      </c>
      <c r="S72" s="179">
        <v>65.900000000000006</v>
      </c>
      <c r="T72" s="179" t="s">
        <v>83</v>
      </c>
      <c r="U72" s="179" t="s">
        <v>83</v>
      </c>
      <c r="V72" s="179" t="s">
        <v>83</v>
      </c>
      <c r="W72" s="179" t="s">
        <v>83</v>
      </c>
      <c r="X72" s="179" t="s">
        <v>83</v>
      </c>
      <c r="Y72" s="179" t="s">
        <v>83</v>
      </c>
      <c r="Z72" s="179" t="s">
        <v>83</v>
      </c>
      <c r="AA72" s="179" t="s">
        <v>83</v>
      </c>
      <c r="AB72" s="179" t="s">
        <v>83</v>
      </c>
      <c r="AC72" s="179" t="s">
        <v>83</v>
      </c>
      <c r="AD72" s="179" t="s">
        <v>83</v>
      </c>
      <c r="AE72" s="179" t="s">
        <v>83</v>
      </c>
      <c r="AF72" s="179" t="s">
        <v>83</v>
      </c>
      <c r="AG72" s="179" t="s">
        <v>83</v>
      </c>
      <c r="AH72" s="179" t="s">
        <v>83</v>
      </c>
      <c r="AI72" s="179" t="s">
        <v>83</v>
      </c>
      <c r="AJ72" s="180">
        <v>1</v>
      </c>
      <c r="AK72" s="180">
        <v>2</v>
      </c>
      <c r="AL72" s="181">
        <v>1.3</v>
      </c>
      <c r="AM72" s="181">
        <v>2.7E-2</v>
      </c>
      <c r="AN72" s="181">
        <v>3</v>
      </c>
      <c r="AQ72" s="182">
        <f>AM72*I72+AL72</f>
        <v>1.8772600000000002</v>
      </c>
      <c r="AR72" s="182">
        <f t="shared" ref="AR72:AR77" si="80">0.1*AQ72</f>
        <v>0.18772600000000003</v>
      </c>
      <c r="AS72" s="183">
        <f t="shared" ref="AS72:AS77" si="81">AJ72*3+0.25*AK72</f>
        <v>3.5</v>
      </c>
      <c r="AT72" s="183">
        <f t="shared" ref="AT72:AT77" si="82">SUM(AQ72:AS72)/4</f>
        <v>1.3912465000000001</v>
      </c>
      <c r="AU72" s="182">
        <f>10068.2*J72*POWER(10,-6)</f>
        <v>0.215258116</v>
      </c>
      <c r="AV72" s="183">
        <f t="shared" ref="AV72:AV77" si="83">AU72+AT72+AS72+AR72+AQ72</f>
        <v>7.1714906159999998</v>
      </c>
      <c r="AW72" s="184">
        <f t="shared" ref="AW72:AW77" si="84">AJ72*H72</f>
        <v>9.9999999999999995E-8</v>
      </c>
      <c r="AX72" s="184">
        <f t="shared" ref="AX72:AX77" si="85">H72*AK72</f>
        <v>1.9999999999999999E-7</v>
      </c>
      <c r="AY72" s="184">
        <f t="shared" ref="AY72:AY77" si="86">H72*AV72</f>
        <v>7.1714906159999999E-7</v>
      </c>
      <c r="AZ72" s="227">
        <v>1</v>
      </c>
      <c r="BA72" s="227">
        <v>1</v>
      </c>
    </row>
    <row r="73" spans="1:53" s="179" customFormat="1" ht="15" thickBot="1" x14ac:dyDescent="0.35">
      <c r="A73" s="169" t="s">
        <v>19</v>
      </c>
      <c r="B73" s="169" t="str">
        <f>B72</f>
        <v>Емкость Е-27</v>
      </c>
      <c r="C73" s="171" t="s">
        <v>197</v>
      </c>
      <c r="D73" s="172" t="s">
        <v>62</v>
      </c>
      <c r="E73" s="185">
        <f>E72</f>
        <v>9.9999999999999995E-7</v>
      </c>
      <c r="F73" s="186">
        <f>F72</f>
        <v>1</v>
      </c>
      <c r="G73" s="169">
        <v>0.18000000000000002</v>
      </c>
      <c r="H73" s="174">
        <f t="shared" si="77"/>
        <v>1.8000000000000002E-7</v>
      </c>
      <c r="I73" s="187">
        <f>I72</f>
        <v>21.38</v>
      </c>
      <c r="J73" s="188">
        <v>0.04</v>
      </c>
      <c r="K73" s="177" t="s">
        <v>176</v>
      </c>
      <c r="L73" s="178">
        <v>0</v>
      </c>
      <c r="M73" s="179" t="str">
        <f t="shared" si="78"/>
        <v>С2</v>
      </c>
      <c r="N73" s="179" t="str">
        <f t="shared" si="78"/>
        <v>Емкость Е-27</v>
      </c>
      <c r="O73" s="179" t="str">
        <f t="shared" si="79"/>
        <v>Полное-взрыв</v>
      </c>
      <c r="P73" s="179" t="s">
        <v>83</v>
      </c>
      <c r="Q73" s="179" t="s">
        <v>83</v>
      </c>
      <c r="R73" s="179" t="s">
        <v>83</v>
      </c>
      <c r="S73" s="179" t="s">
        <v>83</v>
      </c>
      <c r="T73" s="179">
        <v>0</v>
      </c>
      <c r="U73" s="179">
        <v>0</v>
      </c>
      <c r="V73" s="179">
        <v>26.1</v>
      </c>
      <c r="W73" s="179">
        <v>86.6</v>
      </c>
      <c r="X73" s="179">
        <v>225.1</v>
      </c>
      <c r="Y73" s="179" t="s">
        <v>83</v>
      </c>
      <c r="Z73" s="179" t="s">
        <v>83</v>
      </c>
      <c r="AA73" s="179" t="s">
        <v>83</v>
      </c>
      <c r="AB73" s="179" t="s">
        <v>83</v>
      </c>
      <c r="AC73" s="179" t="s">
        <v>83</v>
      </c>
      <c r="AD73" s="179" t="s">
        <v>83</v>
      </c>
      <c r="AE73" s="179" t="s">
        <v>83</v>
      </c>
      <c r="AF73" s="179" t="s">
        <v>83</v>
      </c>
      <c r="AG73" s="179" t="s">
        <v>83</v>
      </c>
      <c r="AH73" s="179" t="s">
        <v>83</v>
      </c>
      <c r="AI73" s="179" t="s">
        <v>83</v>
      </c>
      <c r="AJ73" s="180">
        <v>2</v>
      </c>
      <c r="AK73" s="180">
        <v>2</v>
      </c>
      <c r="AL73" s="179">
        <f>AL72</f>
        <v>1.3</v>
      </c>
      <c r="AM73" s="179">
        <f>AM72</f>
        <v>2.7E-2</v>
      </c>
      <c r="AN73" s="179">
        <f>AN72</f>
        <v>3</v>
      </c>
      <c r="AQ73" s="182">
        <f>AM73*I73+AL73</f>
        <v>1.8772600000000002</v>
      </c>
      <c r="AR73" s="182">
        <f t="shared" si="80"/>
        <v>0.18772600000000003</v>
      </c>
      <c r="AS73" s="183">
        <f t="shared" si="81"/>
        <v>6.5</v>
      </c>
      <c r="AT73" s="183">
        <f t="shared" si="82"/>
        <v>2.1412465000000003</v>
      </c>
      <c r="AU73" s="182">
        <f>10068.2*J73*POWER(10,-6)*10</f>
        <v>4.0272800000000003E-3</v>
      </c>
      <c r="AV73" s="183">
        <f t="shared" si="83"/>
        <v>10.710259779999999</v>
      </c>
      <c r="AW73" s="184">
        <f t="shared" si="84"/>
        <v>3.6000000000000005E-7</v>
      </c>
      <c r="AX73" s="184">
        <f t="shared" si="85"/>
        <v>3.6000000000000005E-7</v>
      </c>
      <c r="AY73" s="184">
        <f t="shared" si="86"/>
        <v>1.9278467604000001E-6</v>
      </c>
      <c r="AZ73" s="227">
        <v>1</v>
      </c>
      <c r="BA73" s="227">
        <v>1</v>
      </c>
    </row>
    <row r="74" spans="1:53" s="179" customFormat="1" x14ac:dyDescent="0.3">
      <c r="A74" s="169" t="s">
        <v>20</v>
      </c>
      <c r="B74" s="169" t="str">
        <f>B72</f>
        <v>Емкость Е-27</v>
      </c>
      <c r="C74" s="171" t="s">
        <v>198</v>
      </c>
      <c r="D74" s="172" t="s">
        <v>60</v>
      </c>
      <c r="E74" s="185">
        <f>E72</f>
        <v>9.9999999999999995E-7</v>
      </c>
      <c r="F74" s="186">
        <f>F72</f>
        <v>1</v>
      </c>
      <c r="G74" s="169">
        <v>0.72000000000000008</v>
      </c>
      <c r="H74" s="174">
        <f t="shared" si="77"/>
        <v>7.2000000000000009E-7</v>
      </c>
      <c r="I74" s="187">
        <f>I72</f>
        <v>21.38</v>
      </c>
      <c r="J74" s="189">
        <v>0</v>
      </c>
      <c r="K74" s="177" t="s">
        <v>177</v>
      </c>
      <c r="L74" s="178">
        <v>0</v>
      </c>
      <c r="M74" s="179" t="str">
        <f t="shared" si="78"/>
        <v>С3</v>
      </c>
      <c r="N74" s="179" t="str">
        <f t="shared" si="78"/>
        <v>Емкость Е-27</v>
      </c>
      <c r="O74" s="179" t="str">
        <f t="shared" si="79"/>
        <v>Полное-ликвидация</v>
      </c>
      <c r="P74" s="179" t="s">
        <v>83</v>
      </c>
      <c r="Q74" s="179" t="s">
        <v>83</v>
      </c>
      <c r="R74" s="179" t="s">
        <v>83</v>
      </c>
      <c r="S74" s="179" t="s">
        <v>83</v>
      </c>
      <c r="T74" s="179" t="s">
        <v>83</v>
      </c>
      <c r="U74" s="179" t="s">
        <v>83</v>
      </c>
      <c r="V74" s="179" t="s">
        <v>83</v>
      </c>
      <c r="W74" s="179" t="s">
        <v>83</v>
      </c>
      <c r="X74" s="179" t="s">
        <v>83</v>
      </c>
      <c r="Y74" s="179" t="s">
        <v>83</v>
      </c>
      <c r="Z74" s="179" t="s">
        <v>83</v>
      </c>
      <c r="AA74" s="179" t="s">
        <v>83</v>
      </c>
      <c r="AB74" s="179" t="s">
        <v>83</v>
      </c>
      <c r="AC74" s="179" t="s">
        <v>83</v>
      </c>
      <c r="AD74" s="179" t="s">
        <v>83</v>
      </c>
      <c r="AE74" s="179" t="s">
        <v>83</v>
      </c>
      <c r="AF74" s="179" t="s">
        <v>83</v>
      </c>
      <c r="AG74" s="179" t="s">
        <v>83</v>
      </c>
      <c r="AH74" s="179" t="s">
        <v>83</v>
      </c>
      <c r="AI74" s="179" t="s">
        <v>83</v>
      </c>
      <c r="AJ74" s="179">
        <v>0</v>
      </c>
      <c r="AK74" s="179">
        <v>0</v>
      </c>
      <c r="AL74" s="179">
        <f>AL72</f>
        <v>1.3</v>
      </c>
      <c r="AM74" s="179">
        <f>AM72</f>
        <v>2.7E-2</v>
      </c>
      <c r="AN74" s="179">
        <f>AN72</f>
        <v>3</v>
      </c>
      <c r="AQ74" s="182">
        <f>AM74*I74*0.1+AL74</f>
        <v>1.357726</v>
      </c>
      <c r="AR74" s="182">
        <f t="shared" si="80"/>
        <v>0.13577259999999999</v>
      </c>
      <c r="AS74" s="183">
        <f t="shared" si="81"/>
        <v>0</v>
      </c>
      <c r="AT74" s="183">
        <f t="shared" si="82"/>
        <v>0.37337464999999997</v>
      </c>
      <c r="AU74" s="182">
        <f>1333*J73*POWER(10,-6)</f>
        <v>5.3319999999999998E-5</v>
      </c>
      <c r="AV74" s="183">
        <f t="shared" si="83"/>
        <v>1.86692657</v>
      </c>
      <c r="AW74" s="184">
        <f t="shared" si="84"/>
        <v>0</v>
      </c>
      <c r="AX74" s="184">
        <f t="shared" si="85"/>
        <v>0</v>
      </c>
      <c r="AY74" s="184">
        <f t="shared" si="86"/>
        <v>1.3441871304000002E-6</v>
      </c>
      <c r="AZ74" s="227">
        <v>1</v>
      </c>
      <c r="BA74" s="227">
        <v>1</v>
      </c>
    </row>
    <row r="75" spans="1:53" s="179" customFormat="1" x14ac:dyDescent="0.3">
      <c r="A75" s="169" t="s">
        <v>21</v>
      </c>
      <c r="B75" s="169" t="str">
        <f>B72</f>
        <v>Емкость Е-27</v>
      </c>
      <c r="C75" s="171" t="s">
        <v>199</v>
      </c>
      <c r="D75" s="172" t="s">
        <v>84</v>
      </c>
      <c r="E75" s="173">
        <v>1.0000000000000001E-5</v>
      </c>
      <c r="F75" s="186">
        <f>F72</f>
        <v>1</v>
      </c>
      <c r="G75" s="169">
        <v>0.1</v>
      </c>
      <c r="H75" s="174">
        <f t="shared" si="77"/>
        <v>1.0000000000000002E-6</v>
      </c>
      <c r="I75" s="187">
        <f>0.15*I72</f>
        <v>3.2069999999999999</v>
      </c>
      <c r="J75" s="176">
        <f>I75</f>
        <v>3.2069999999999999</v>
      </c>
      <c r="K75" s="190" t="s">
        <v>179</v>
      </c>
      <c r="L75" s="191">
        <v>45390</v>
      </c>
      <c r="M75" s="179" t="str">
        <f t="shared" si="78"/>
        <v>С4</v>
      </c>
      <c r="N75" s="179" t="str">
        <f t="shared" si="78"/>
        <v>Емкость Е-27</v>
      </c>
      <c r="O75" s="179" t="str">
        <f t="shared" si="79"/>
        <v>Частичное-пожар</v>
      </c>
      <c r="P75" s="179">
        <v>12.4</v>
      </c>
      <c r="Q75" s="179">
        <v>16.3</v>
      </c>
      <c r="R75" s="179">
        <v>22.1</v>
      </c>
      <c r="S75" s="179">
        <v>39.700000000000003</v>
      </c>
      <c r="T75" s="179" t="s">
        <v>83</v>
      </c>
      <c r="U75" s="179" t="s">
        <v>83</v>
      </c>
      <c r="V75" s="179" t="s">
        <v>83</v>
      </c>
      <c r="W75" s="179" t="s">
        <v>83</v>
      </c>
      <c r="X75" s="179" t="s">
        <v>83</v>
      </c>
      <c r="Y75" s="179" t="s">
        <v>83</v>
      </c>
      <c r="Z75" s="179" t="s">
        <v>83</v>
      </c>
      <c r="AA75" s="179" t="s">
        <v>83</v>
      </c>
      <c r="AB75" s="179" t="s">
        <v>83</v>
      </c>
      <c r="AC75" s="179" t="s">
        <v>83</v>
      </c>
      <c r="AD75" s="179" t="s">
        <v>83</v>
      </c>
      <c r="AE75" s="179" t="s">
        <v>83</v>
      </c>
      <c r="AF75" s="179" t="s">
        <v>83</v>
      </c>
      <c r="AG75" s="179" t="s">
        <v>83</v>
      </c>
      <c r="AH75" s="179" t="s">
        <v>83</v>
      </c>
      <c r="AI75" s="179" t="s">
        <v>83</v>
      </c>
      <c r="AJ75" s="179">
        <v>0</v>
      </c>
      <c r="AK75" s="179">
        <v>2</v>
      </c>
      <c r="AL75" s="179">
        <f>0.1*AL72</f>
        <v>0.13</v>
      </c>
      <c r="AM75" s="179">
        <f>AM72</f>
        <v>2.7E-2</v>
      </c>
      <c r="AN75" s="179">
        <f>ROUNDUP(AN72/3,0)</f>
        <v>1</v>
      </c>
      <c r="AQ75" s="182">
        <f>AM75*I75+AL75</f>
        <v>0.216589</v>
      </c>
      <c r="AR75" s="182">
        <f t="shared" si="80"/>
        <v>2.1658900000000002E-2</v>
      </c>
      <c r="AS75" s="183">
        <f t="shared" si="81"/>
        <v>0.5</v>
      </c>
      <c r="AT75" s="183">
        <f t="shared" si="82"/>
        <v>0.18456197499999999</v>
      </c>
      <c r="AU75" s="182">
        <f>10068.2*J75*POWER(10,-6)</f>
        <v>3.22887174E-2</v>
      </c>
      <c r="AV75" s="183">
        <f t="shared" si="83"/>
        <v>0.95509859240000006</v>
      </c>
      <c r="AW75" s="184">
        <f t="shared" si="84"/>
        <v>0</v>
      </c>
      <c r="AX75" s="184">
        <f t="shared" si="85"/>
        <v>2.0000000000000003E-6</v>
      </c>
      <c r="AY75" s="184">
        <f t="shared" si="86"/>
        <v>9.5509859240000024E-7</v>
      </c>
      <c r="AZ75" s="227">
        <v>1</v>
      </c>
      <c r="BA75" s="227">
        <v>1</v>
      </c>
    </row>
    <row r="76" spans="1:53" s="179" customFormat="1" x14ac:dyDescent="0.3">
      <c r="A76" s="169" t="s">
        <v>22</v>
      </c>
      <c r="B76" s="169" t="str">
        <f>B72</f>
        <v>Емкость Е-27</v>
      </c>
      <c r="C76" s="171" t="s">
        <v>200</v>
      </c>
      <c r="D76" s="172" t="s">
        <v>165</v>
      </c>
      <c r="E76" s="185">
        <f>E75</f>
        <v>1.0000000000000001E-5</v>
      </c>
      <c r="F76" s="186">
        <f>F72</f>
        <v>1</v>
      </c>
      <c r="G76" s="169">
        <v>4.5000000000000005E-2</v>
      </c>
      <c r="H76" s="174">
        <f t="shared" si="77"/>
        <v>4.5000000000000009E-7</v>
      </c>
      <c r="I76" s="187">
        <f>0.15*I72</f>
        <v>3.2069999999999999</v>
      </c>
      <c r="J76" s="176">
        <f>0.15*J73</f>
        <v>6.0000000000000001E-3</v>
      </c>
      <c r="K76" s="190" t="s">
        <v>180</v>
      </c>
      <c r="L76" s="191">
        <v>3</v>
      </c>
      <c r="M76" s="179" t="str">
        <f t="shared" si="78"/>
        <v>С5</v>
      </c>
      <c r="N76" s="179" t="str">
        <f t="shared" si="78"/>
        <v>Емкость Е-27</v>
      </c>
      <c r="O76" s="179" t="str">
        <f t="shared" si="79"/>
        <v>Частичное-пожар-вспышка</v>
      </c>
      <c r="P76" s="179" t="s">
        <v>83</v>
      </c>
      <c r="Q76" s="179" t="s">
        <v>83</v>
      </c>
      <c r="R76" s="179" t="s">
        <v>83</v>
      </c>
      <c r="S76" s="179" t="s">
        <v>83</v>
      </c>
      <c r="T76" s="179" t="s">
        <v>83</v>
      </c>
      <c r="U76" s="179" t="s">
        <v>83</v>
      </c>
      <c r="V76" s="179" t="s">
        <v>83</v>
      </c>
      <c r="W76" s="179" t="s">
        <v>83</v>
      </c>
      <c r="X76" s="179" t="s">
        <v>83</v>
      </c>
      <c r="Y76" s="179" t="s">
        <v>83</v>
      </c>
      <c r="Z76" s="179" t="s">
        <v>83</v>
      </c>
      <c r="AA76" s="179">
        <v>6.2</v>
      </c>
      <c r="AB76" s="179">
        <v>7.44</v>
      </c>
      <c r="AC76" s="179" t="s">
        <v>83</v>
      </c>
      <c r="AD76" s="179" t="s">
        <v>83</v>
      </c>
      <c r="AE76" s="179" t="s">
        <v>83</v>
      </c>
      <c r="AF76" s="179" t="s">
        <v>83</v>
      </c>
      <c r="AG76" s="179" t="s">
        <v>83</v>
      </c>
      <c r="AH76" s="179" t="s">
        <v>83</v>
      </c>
      <c r="AI76" s="179" t="s">
        <v>83</v>
      </c>
      <c r="AJ76" s="179">
        <v>0</v>
      </c>
      <c r="AK76" s="179">
        <v>1</v>
      </c>
      <c r="AL76" s="179">
        <f t="shared" ref="AL76:AL77" si="87">0.1*AL73</f>
        <v>0.13</v>
      </c>
      <c r="AM76" s="179">
        <f>AM72</f>
        <v>2.7E-2</v>
      </c>
      <c r="AN76" s="179">
        <f>ROUNDUP(AN72/3,0)</f>
        <v>1</v>
      </c>
      <c r="AQ76" s="182">
        <f>AM76*I76+AL76</f>
        <v>0.216589</v>
      </c>
      <c r="AR76" s="182">
        <f t="shared" si="80"/>
        <v>2.1658900000000002E-2</v>
      </c>
      <c r="AS76" s="183">
        <f t="shared" si="81"/>
        <v>0.25</v>
      </c>
      <c r="AT76" s="183">
        <f t="shared" si="82"/>
        <v>0.122061975</v>
      </c>
      <c r="AU76" s="182">
        <f>10068.2*J76*POWER(10,-6)*10</f>
        <v>6.0409200000000008E-4</v>
      </c>
      <c r="AV76" s="183">
        <f t="shared" si="83"/>
        <v>0.610913967</v>
      </c>
      <c r="AW76" s="184">
        <f t="shared" si="84"/>
        <v>0</v>
      </c>
      <c r="AX76" s="184">
        <f t="shared" si="85"/>
        <v>4.5000000000000009E-7</v>
      </c>
      <c r="AY76" s="184">
        <f t="shared" si="86"/>
        <v>2.7491128515000008E-7</v>
      </c>
      <c r="AZ76" s="227">
        <v>1</v>
      </c>
      <c r="BA76" s="227">
        <v>1</v>
      </c>
    </row>
    <row r="77" spans="1:53" s="179" customFormat="1" ht="15" thickBot="1" x14ac:dyDescent="0.35">
      <c r="A77" s="169" t="s">
        <v>23</v>
      </c>
      <c r="B77" s="169" t="str">
        <f>B72</f>
        <v>Емкость Е-27</v>
      </c>
      <c r="C77" s="171" t="s">
        <v>201</v>
      </c>
      <c r="D77" s="172" t="s">
        <v>61</v>
      </c>
      <c r="E77" s="185">
        <f>E75</f>
        <v>1.0000000000000001E-5</v>
      </c>
      <c r="F77" s="186">
        <f>F72</f>
        <v>1</v>
      </c>
      <c r="G77" s="169">
        <v>0.85499999999999998</v>
      </c>
      <c r="H77" s="174">
        <f t="shared" si="77"/>
        <v>8.5500000000000011E-6</v>
      </c>
      <c r="I77" s="187">
        <f>0.15*I72</f>
        <v>3.2069999999999999</v>
      </c>
      <c r="J77" s="189">
        <v>0</v>
      </c>
      <c r="K77" s="192" t="s">
        <v>191</v>
      </c>
      <c r="L77" s="192">
        <v>9</v>
      </c>
      <c r="M77" s="179" t="str">
        <f t="shared" si="78"/>
        <v>С6</v>
      </c>
      <c r="N77" s="179" t="str">
        <f t="shared" si="78"/>
        <v>Емкость Е-27</v>
      </c>
      <c r="O77" s="179" t="str">
        <f t="shared" si="79"/>
        <v>Частичное-ликвидация</v>
      </c>
      <c r="P77" s="179" t="s">
        <v>83</v>
      </c>
      <c r="Q77" s="179" t="s">
        <v>83</v>
      </c>
      <c r="R77" s="179" t="s">
        <v>83</v>
      </c>
      <c r="S77" s="179" t="s">
        <v>83</v>
      </c>
      <c r="T77" s="179" t="s">
        <v>83</v>
      </c>
      <c r="U77" s="179" t="s">
        <v>83</v>
      </c>
      <c r="V77" s="179" t="s">
        <v>83</v>
      </c>
      <c r="W77" s="179" t="s">
        <v>83</v>
      </c>
      <c r="X77" s="179" t="s">
        <v>83</v>
      </c>
      <c r="Y77" s="179" t="s">
        <v>83</v>
      </c>
      <c r="Z77" s="179" t="s">
        <v>83</v>
      </c>
      <c r="AA77" s="179" t="s">
        <v>83</v>
      </c>
      <c r="AB77" s="179" t="s">
        <v>83</v>
      </c>
      <c r="AC77" s="179" t="s">
        <v>83</v>
      </c>
      <c r="AD77" s="179" t="s">
        <v>83</v>
      </c>
      <c r="AE77" s="179" t="s">
        <v>83</v>
      </c>
      <c r="AF77" s="179" t="s">
        <v>83</v>
      </c>
      <c r="AG77" s="179" t="s">
        <v>83</v>
      </c>
      <c r="AH77" s="179" t="s">
        <v>83</v>
      </c>
      <c r="AI77" s="179" t="s">
        <v>83</v>
      </c>
      <c r="AJ77" s="179">
        <v>0</v>
      </c>
      <c r="AK77" s="179">
        <v>0</v>
      </c>
      <c r="AL77" s="179">
        <f t="shared" si="87"/>
        <v>0.13</v>
      </c>
      <c r="AM77" s="179">
        <f>AM72</f>
        <v>2.7E-2</v>
      </c>
      <c r="AN77" s="179">
        <f>ROUNDUP(AN72/3,0)</f>
        <v>1</v>
      </c>
      <c r="AQ77" s="182">
        <f>AM77*I77*0.1+AL77</f>
        <v>0.1386589</v>
      </c>
      <c r="AR77" s="182">
        <f t="shared" si="80"/>
        <v>1.3865890000000001E-2</v>
      </c>
      <c r="AS77" s="183">
        <f t="shared" si="81"/>
        <v>0</v>
      </c>
      <c r="AT77" s="183">
        <f t="shared" si="82"/>
        <v>3.8131197499999998E-2</v>
      </c>
      <c r="AU77" s="182">
        <f>1333*J76*POWER(10,-6)</f>
        <v>7.9980000000000003E-6</v>
      </c>
      <c r="AV77" s="183">
        <f t="shared" si="83"/>
        <v>0.19066398549999999</v>
      </c>
      <c r="AW77" s="184">
        <f t="shared" si="84"/>
        <v>0</v>
      </c>
      <c r="AX77" s="184">
        <f t="shared" si="85"/>
        <v>0</v>
      </c>
      <c r="AY77" s="184">
        <f t="shared" si="86"/>
        <v>1.6301770760250001E-6</v>
      </c>
      <c r="AZ77" s="227">
        <v>1</v>
      </c>
      <c r="BA77" s="227">
        <v>1</v>
      </c>
    </row>
    <row r="78" spans="1:53" s="179" customFormat="1" x14ac:dyDescent="0.3">
      <c r="A78" s="180"/>
      <c r="B78" s="180"/>
      <c r="D78" s="271"/>
      <c r="E78" s="272"/>
      <c r="F78" s="273"/>
      <c r="G78" s="180"/>
      <c r="H78" s="184"/>
      <c r="I78" s="183"/>
      <c r="J78" s="180"/>
      <c r="K78" s="180"/>
      <c r="L78" s="180"/>
      <c r="P78" s="179" t="s">
        <v>83</v>
      </c>
      <c r="Q78" s="179" t="s">
        <v>83</v>
      </c>
      <c r="R78" s="179" t="s">
        <v>83</v>
      </c>
      <c r="S78" s="179" t="s">
        <v>83</v>
      </c>
      <c r="T78" s="179" t="s">
        <v>83</v>
      </c>
      <c r="U78" s="179" t="s">
        <v>83</v>
      </c>
      <c r="V78" s="179" t="s">
        <v>83</v>
      </c>
      <c r="W78" s="179" t="s">
        <v>83</v>
      </c>
      <c r="X78" s="179" t="s">
        <v>83</v>
      </c>
      <c r="Y78" s="179" t="s">
        <v>83</v>
      </c>
      <c r="Z78" s="179" t="s">
        <v>83</v>
      </c>
      <c r="AA78" s="179" t="s">
        <v>83</v>
      </c>
      <c r="AB78" s="179" t="s">
        <v>83</v>
      </c>
      <c r="AC78" s="179" t="s">
        <v>83</v>
      </c>
      <c r="AD78" s="179" t="s">
        <v>83</v>
      </c>
      <c r="AE78" s="179" t="s">
        <v>83</v>
      </c>
      <c r="AF78" s="179" t="s">
        <v>83</v>
      </c>
      <c r="AG78" s="179" t="s">
        <v>83</v>
      </c>
      <c r="AH78" s="179" t="s">
        <v>83</v>
      </c>
      <c r="AI78" s="179" t="s">
        <v>83</v>
      </c>
      <c r="AQ78" s="182"/>
      <c r="AR78" s="182"/>
      <c r="AS78" s="183"/>
      <c r="AT78" s="183"/>
      <c r="AU78" s="182"/>
      <c r="AV78" s="183"/>
      <c r="AW78" s="184"/>
      <c r="AX78" s="184"/>
      <c r="AY78" s="184"/>
      <c r="AZ78" s="227">
        <v>1</v>
      </c>
      <c r="BA78" s="227">
        <v>1</v>
      </c>
    </row>
    <row r="79" spans="1:53" s="179" customFormat="1" x14ac:dyDescent="0.3">
      <c r="A79" s="180"/>
      <c r="B79" s="180"/>
      <c r="D79" s="271"/>
      <c r="E79" s="272"/>
      <c r="F79" s="273"/>
      <c r="G79" s="180"/>
      <c r="H79" s="184"/>
      <c r="I79" s="183"/>
      <c r="J79" s="180"/>
      <c r="K79" s="180"/>
      <c r="L79" s="180"/>
      <c r="P79" s="179" t="s">
        <v>83</v>
      </c>
      <c r="Q79" s="179" t="s">
        <v>83</v>
      </c>
      <c r="R79" s="179" t="s">
        <v>83</v>
      </c>
      <c r="S79" s="179" t="s">
        <v>83</v>
      </c>
      <c r="T79" s="179" t="s">
        <v>83</v>
      </c>
      <c r="U79" s="179" t="s">
        <v>83</v>
      </c>
      <c r="V79" s="179" t="s">
        <v>83</v>
      </c>
      <c r="W79" s="179" t="s">
        <v>83</v>
      </c>
      <c r="X79" s="179" t="s">
        <v>83</v>
      </c>
      <c r="Y79" s="179" t="s">
        <v>83</v>
      </c>
      <c r="Z79" s="179" t="s">
        <v>83</v>
      </c>
      <c r="AA79" s="179" t="s">
        <v>83</v>
      </c>
      <c r="AB79" s="179" t="s">
        <v>83</v>
      </c>
      <c r="AC79" s="179" t="s">
        <v>83</v>
      </c>
      <c r="AD79" s="179" t="s">
        <v>83</v>
      </c>
      <c r="AE79" s="179" t="s">
        <v>83</v>
      </c>
      <c r="AF79" s="179" t="s">
        <v>83</v>
      </c>
      <c r="AG79" s="179" t="s">
        <v>83</v>
      </c>
      <c r="AH79" s="179" t="s">
        <v>83</v>
      </c>
      <c r="AI79" s="179" t="s">
        <v>83</v>
      </c>
      <c r="AQ79" s="182"/>
      <c r="AR79" s="182"/>
      <c r="AS79" s="183"/>
      <c r="AT79" s="183"/>
      <c r="AU79" s="182"/>
      <c r="AV79" s="183"/>
      <c r="AW79" s="184"/>
      <c r="AX79" s="184"/>
      <c r="AY79" s="184"/>
      <c r="AZ79" s="227">
        <v>1</v>
      </c>
      <c r="BA79" s="227">
        <v>1</v>
      </c>
    </row>
    <row r="80" spans="1:53" s="179" customFormat="1" x14ac:dyDescent="0.3">
      <c r="A80" s="180"/>
      <c r="B80" s="180"/>
      <c r="D80" s="271"/>
      <c r="E80" s="272"/>
      <c r="F80" s="273"/>
      <c r="G80" s="180"/>
      <c r="H80" s="184"/>
      <c r="I80" s="183"/>
      <c r="J80" s="180"/>
      <c r="K80" s="180"/>
      <c r="L80" s="180"/>
      <c r="P80" s="179" t="s">
        <v>83</v>
      </c>
      <c r="Q80" s="179" t="s">
        <v>83</v>
      </c>
      <c r="R80" s="179" t="s">
        <v>83</v>
      </c>
      <c r="S80" s="179" t="s">
        <v>83</v>
      </c>
      <c r="T80" s="179" t="s">
        <v>83</v>
      </c>
      <c r="U80" s="179" t="s">
        <v>83</v>
      </c>
      <c r="V80" s="179" t="s">
        <v>83</v>
      </c>
      <c r="W80" s="179" t="s">
        <v>83</v>
      </c>
      <c r="X80" s="179" t="s">
        <v>83</v>
      </c>
      <c r="Y80" s="179" t="s">
        <v>83</v>
      </c>
      <c r="Z80" s="179" t="s">
        <v>83</v>
      </c>
      <c r="AA80" s="179" t="s">
        <v>83</v>
      </c>
      <c r="AB80" s="179" t="s">
        <v>83</v>
      </c>
      <c r="AC80" s="179" t="s">
        <v>83</v>
      </c>
      <c r="AD80" s="179" t="s">
        <v>83</v>
      </c>
      <c r="AE80" s="179" t="s">
        <v>83</v>
      </c>
      <c r="AF80" s="179" t="s">
        <v>83</v>
      </c>
      <c r="AG80" s="179" t="s">
        <v>83</v>
      </c>
      <c r="AH80" s="179" t="s">
        <v>83</v>
      </c>
      <c r="AI80" s="179" t="s">
        <v>83</v>
      </c>
      <c r="AQ80" s="182"/>
      <c r="AR80" s="182"/>
      <c r="AS80" s="183"/>
      <c r="AT80" s="183"/>
      <c r="AU80" s="182"/>
      <c r="AV80" s="183"/>
      <c r="AW80" s="184"/>
      <c r="AX80" s="184"/>
      <c r="AY80" s="184"/>
      <c r="AZ80" s="227">
        <v>1</v>
      </c>
      <c r="BA80" s="227">
        <v>1</v>
      </c>
    </row>
    <row r="81" spans="1:53" s="402" customFormat="1" ht="15" thickBot="1" x14ac:dyDescent="0.35">
      <c r="A81" s="401"/>
      <c r="B81" s="401"/>
      <c r="D81" s="403"/>
      <c r="E81" s="401"/>
      <c r="F81" s="401"/>
      <c r="G81" s="401"/>
      <c r="H81" s="401"/>
      <c r="I81" s="401"/>
      <c r="J81" s="401"/>
      <c r="K81" s="401"/>
      <c r="P81" s="402" t="s">
        <v>83</v>
      </c>
      <c r="Q81" s="402" t="s">
        <v>83</v>
      </c>
      <c r="R81" s="402" t="s">
        <v>83</v>
      </c>
      <c r="S81" s="402" t="s">
        <v>83</v>
      </c>
      <c r="T81" s="402" t="s">
        <v>83</v>
      </c>
      <c r="U81" s="402" t="s">
        <v>83</v>
      </c>
      <c r="V81" s="402" t="s">
        <v>83</v>
      </c>
      <c r="W81" s="402" t="s">
        <v>83</v>
      </c>
      <c r="X81" s="402" t="s">
        <v>83</v>
      </c>
      <c r="Y81" s="402" t="s">
        <v>83</v>
      </c>
      <c r="Z81" s="402" t="s">
        <v>83</v>
      </c>
      <c r="AA81" s="402" t="s">
        <v>83</v>
      </c>
      <c r="AB81" s="402" t="s">
        <v>83</v>
      </c>
      <c r="AC81" s="402" t="s">
        <v>83</v>
      </c>
      <c r="AD81" s="402" t="s">
        <v>83</v>
      </c>
      <c r="AE81" s="402" t="s">
        <v>83</v>
      </c>
      <c r="AF81" s="402" t="s">
        <v>83</v>
      </c>
      <c r="AG81" s="402" t="s">
        <v>83</v>
      </c>
      <c r="AH81" s="402" t="s">
        <v>83</v>
      </c>
      <c r="AI81" s="402" t="s">
        <v>83</v>
      </c>
      <c r="AZ81" s="227">
        <v>1</v>
      </c>
      <c r="BA81" s="227">
        <v>1</v>
      </c>
    </row>
    <row r="82" spans="1:53" s="179" customFormat="1" ht="15" thickBot="1" x14ac:dyDescent="0.35">
      <c r="A82" s="169" t="s">
        <v>18</v>
      </c>
      <c r="B82" s="312" t="s">
        <v>423</v>
      </c>
      <c r="C82" s="171" t="s">
        <v>196</v>
      </c>
      <c r="D82" s="172" t="s">
        <v>59</v>
      </c>
      <c r="E82" s="173">
        <v>9.9999999999999995E-7</v>
      </c>
      <c r="F82" s="170">
        <v>1</v>
      </c>
      <c r="G82" s="169">
        <v>0.1</v>
      </c>
      <c r="H82" s="174">
        <f t="shared" ref="H82:H87" si="88">E82*F82*G82</f>
        <v>9.9999999999999995E-8</v>
      </c>
      <c r="I82" s="175">
        <v>24.48</v>
      </c>
      <c r="J82" s="176">
        <f>I82</f>
        <v>24.48</v>
      </c>
      <c r="K82" s="177" t="s">
        <v>175</v>
      </c>
      <c r="L82" s="178">
        <v>420</v>
      </c>
      <c r="M82" s="179" t="str">
        <f t="shared" ref="M82:N87" si="89">A82</f>
        <v>С1</v>
      </c>
      <c r="N82" s="179" t="str">
        <f t="shared" si="89"/>
        <v xml:space="preserve">Емкость Е-100 </v>
      </c>
      <c r="O82" s="179" t="str">
        <f t="shared" ref="O82:O87" si="90">D82</f>
        <v>Полное-пожар</v>
      </c>
      <c r="P82" s="179">
        <v>18</v>
      </c>
      <c r="Q82" s="179">
        <v>24.9</v>
      </c>
      <c r="R82" s="179">
        <v>35.4</v>
      </c>
      <c r="S82" s="179">
        <v>65.900000000000006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1.6</v>
      </c>
      <c r="AM82" s="181">
        <v>2.7E-2</v>
      </c>
      <c r="AN82" s="181">
        <v>3</v>
      </c>
      <c r="AQ82" s="182">
        <f>AM82*I82+AL82</f>
        <v>2.2609599999999999</v>
      </c>
      <c r="AR82" s="182">
        <f t="shared" ref="AR82:AR87" si="91">0.1*AQ82</f>
        <v>0.22609599999999999</v>
      </c>
      <c r="AS82" s="183">
        <f t="shared" ref="AS82:AS87" si="92">AJ82*3+0.25*AK82</f>
        <v>3.5</v>
      </c>
      <c r="AT82" s="183">
        <f t="shared" ref="AT82:AT87" si="93">SUM(AQ82:AS82)/4</f>
        <v>1.496764</v>
      </c>
      <c r="AU82" s="182">
        <f>10068.2*J82*POWER(10,-6)</f>
        <v>0.24646953600000002</v>
      </c>
      <c r="AV82" s="183">
        <f t="shared" ref="AV82:AV87" si="94">AU82+AT82+AS82+AR82+AQ82</f>
        <v>7.7302895359999999</v>
      </c>
      <c r="AW82" s="184">
        <f t="shared" ref="AW82:AW87" si="95">AJ82*H82</f>
        <v>9.9999999999999995E-8</v>
      </c>
      <c r="AX82" s="184">
        <f t="shared" ref="AX82:AX87" si="96">H82*AK82</f>
        <v>1.9999999999999999E-7</v>
      </c>
      <c r="AY82" s="184">
        <f t="shared" ref="AY82:AY87" si="97">H82*AV82</f>
        <v>7.7302895359999997E-7</v>
      </c>
      <c r="AZ82" s="227">
        <v>1</v>
      </c>
      <c r="BA82" s="227">
        <v>1</v>
      </c>
    </row>
    <row r="83" spans="1:53" s="179" customFormat="1" ht="15" thickBot="1" x14ac:dyDescent="0.35">
      <c r="A83" s="169" t="s">
        <v>19</v>
      </c>
      <c r="B83" s="169" t="str">
        <f>B82</f>
        <v xml:space="preserve">Емкость Е-100 </v>
      </c>
      <c r="C83" s="171" t="s">
        <v>197</v>
      </c>
      <c r="D83" s="172" t="s">
        <v>62</v>
      </c>
      <c r="E83" s="185">
        <f>E82</f>
        <v>9.9999999999999995E-7</v>
      </c>
      <c r="F83" s="186">
        <f>F82</f>
        <v>1</v>
      </c>
      <c r="G83" s="169">
        <v>0.18000000000000002</v>
      </c>
      <c r="H83" s="174">
        <f t="shared" si="88"/>
        <v>1.8000000000000002E-7</v>
      </c>
      <c r="I83" s="187">
        <f>I82</f>
        <v>24.48</v>
      </c>
      <c r="J83" s="188">
        <v>0.04</v>
      </c>
      <c r="K83" s="177" t="s">
        <v>176</v>
      </c>
      <c r="L83" s="178">
        <v>0</v>
      </c>
      <c r="M83" s="179" t="str">
        <f t="shared" si="89"/>
        <v>С2</v>
      </c>
      <c r="N83" s="179" t="str">
        <f t="shared" si="89"/>
        <v xml:space="preserve">Емкость Е-100 </v>
      </c>
      <c r="O83" s="179" t="str">
        <f t="shared" si="90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26.1</v>
      </c>
      <c r="W83" s="179">
        <v>86.6</v>
      </c>
      <c r="X83" s="179">
        <v>225.1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1.6</v>
      </c>
      <c r="AM83" s="179">
        <f>AM82</f>
        <v>2.7E-2</v>
      </c>
      <c r="AN83" s="179">
        <f>AN82</f>
        <v>3</v>
      </c>
      <c r="AQ83" s="182">
        <f>AM83*I83+AL83</f>
        <v>2.2609599999999999</v>
      </c>
      <c r="AR83" s="182">
        <f t="shared" si="91"/>
        <v>0.22609599999999999</v>
      </c>
      <c r="AS83" s="183">
        <f t="shared" si="92"/>
        <v>6.5</v>
      </c>
      <c r="AT83" s="183">
        <f t="shared" si="93"/>
        <v>2.2467639999999998</v>
      </c>
      <c r="AU83" s="182">
        <f>10068.2*J83*POWER(10,-6)*10</f>
        <v>4.0272800000000003E-3</v>
      </c>
      <c r="AV83" s="183">
        <f t="shared" si="94"/>
        <v>11.23784728</v>
      </c>
      <c r="AW83" s="184">
        <f t="shared" si="95"/>
        <v>3.6000000000000005E-7</v>
      </c>
      <c r="AX83" s="184">
        <f t="shared" si="96"/>
        <v>3.6000000000000005E-7</v>
      </c>
      <c r="AY83" s="184">
        <f t="shared" si="97"/>
        <v>2.0228125104000005E-6</v>
      </c>
      <c r="AZ83" s="227">
        <v>1</v>
      </c>
      <c r="BA83" s="227">
        <v>1</v>
      </c>
    </row>
    <row r="84" spans="1:53" s="179" customFormat="1" x14ac:dyDescent="0.3">
      <c r="A84" s="169" t="s">
        <v>20</v>
      </c>
      <c r="B84" s="169" t="str">
        <f>B82</f>
        <v xml:space="preserve">Емкость Е-100 </v>
      </c>
      <c r="C84" s="171" t="s">
        <v>198</v>
      </c>
      <c r="D84" s="172" t="s">
        <v>60</v>
      </c>
      <c r="E84" s="185">
        <f>E82</f>
        <v>9.9999999999999995E-7</v>
      </c>
      <c r="F84" s="186">
        <f>F82</f>
        <v>1</v>
      </c>
      <c r="G84" s="169">
        <v>0.72000000000000008</v>
      </c>
      <c r="H84" s="174">
        <f t="shared" si="88"/>
        <v>7.2000000000000009E-7</v>
      </c>
      <c r="I84" s="187">
        <f>I82</f>
        <v>24.48</v>
      </c>
      <c r="J84" s="189">
        <v>0</v>
      </c>
      <c r="K84" s="177" t="s">
        <v>177</v>
      </c>
      <c r="L84" s="178">
        <v>0</v>
      </c>
      <c r="M84" s="179" t="str">
        <f t="shared" si="89"/>
        <v>С3</v>
      </c>
      <c r="N84" s="179" t="str">
        <f t="shared" si="89"/>
        <v xml:space="preserve">Емкость Е-100 </v>
      </c>
      <c r="O84" s="179" t="str">
        <f t="shared" si="90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1.6</v>
      </c>
      <c r="AM84" s="179">
        <f>AM82</f>
        <v>2.7E-2</v>
      </c>
      <c r="AN84" s="179">
        <f>AN82</f>
        <v>3</v>
      </c>
      <c r="AQ84" s="182">
        <f>AM84*I84*0.1+AL84</f>
        <v>1.666096</v>
      </c>
      <c r="AR84" s="182">
        <f t="shared" si="91"/>
        <v>0.16660960000000002</v>
      </c>
      <c r="AS84" s="183">
        <f t="shared" si="92"/>
        <v>0</v>
      </c>
      <c r="AT84" s="183">
        <f t="shared" si="93"/>
        <v>0.45817640000000004</v>
      </c>
      <c r="AU84" s="182">
        <f>1333*J83*POWER(10,-6)</f>
        <v>5.3319999999999998E-5</v>
      </c>
      <c r="AV84" s="183">
        <f t="shared" si="94"/>
        <v>2.29093532</v>
      </c>
      <c r="AW84" s="184">
        <f t="shared" si="95"/>
        <v>0</v>
      </c>
      <c r="AX84" s="184">
        <f t="shared" si="96"/>
        <v>0</v>
      </c>
      <c r="AY84" s="184">
        <f t="shared" si="97"/>
        <v>1.6494734304000003E-6</v>
      </c>
      <c r="AZ84" s="227">
        <v>1</v>
      </c>
      <c r="BA84" s="227">
        <v>1</v>
      </c>
    </row>
    <row r="85" spans="1:53" s="179" customFormat="1" x14ac:dyDescent="0.3">
      <c r="A85" s="169" t="s">
        <v>21</v>
      </c>
      <c r="B85" s="169" t="str">
        <f>B82</f>
        <v xml:space="preserve">Емкость Е-100 </v>
      </c>
      <c r="C85" s="171" t="s">
        <v>199</v>
      </c>
      <c r="D85" s="172" t="s">
        <v>84</v>
      </c>
      <c r="E85" s="173">
        <v>1.0000000000000001E-5</v>
      </c>
      <c r="F85" s="186">
        <f>F82</f>
        <v>1</v>
      </c>
      <c r="G85" s="169">
        <v>0.1</v>
      </c>
      <c r="H85" s="174">
        <f t="shared" si="88"/>
        <v>1.0000000000000002E-6</v>
      </c>
      <c r="I85" s="187">
        <f>0.15*I82</f>
        <v>3.6719999999999997</v>
      </c>
      <c r="J85" s="176">
        <f>I85</f>
        <v>3.6719999999999997</v>
      </c>
      <c r="K85" s="190" t="s">
        <v>179</v>
      </c>
      <c r="L85" s="191">
        <v>45390</v>
      </c>
      <c r="M85" s="179" t="str">
        <f t="shared" si="89"/>
        <v>С4</v>
      </c>
      <c r="N85" s="179" t="str">
        <f t="shared" si="89"/>
        <v xml:space="preserve">Емкость Е-100 </v>
      </c>
      <c r="O85" s="179" t="str">
        <f t="shared" si="90"/>
        <v>Частичное-пожар</v>
      </c>
      <c r="P85" s="179">
        <v>12.4</v>
      </c>
      <c r="Q85" s="179">
        <v>16.3</v>
      </c>
      <c r="R85" s="179">
        <v>22.1</v>
      </c>
      <c r="S85" s="179">
        <v>39.700000000000003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0.1*AL82</f>
        <v>0.16000000000000003</v>
      </c>
      <c r="AM85" s="179">
        <f>AM82</f>
        <v>2.7E-2</v>
      </c>
      <c r="AN85" s="179">
        <f>ROUNDUP(AN82/3,0)</f>
        <v>1</v>
      </c>
      <c r="AQ85" s="182">
        <f>AM85*I85+AL85</f>
        <v>0.25914400000000004</v>
      </c>
      <c r="AR85" s="182">
        <f t="shared" si="91"/>
        <v>2.5914400000000004E-2</v>
      </c>
      <c r="AS85" s="183">
        <f t="shared" si="92"/>
        <v>0.5</v>
      </c>
      <c r="AT85" s="183">
        <f t="shared" si="93"/>
        <v>0.19626460000000001</v>
      </c>
      <c r="AU85" s="182">
        <f>10068.2*J85*POWER(10,-6)</f>
        <v>3.6970430399999997E-2</v>
      </c>
      <c r="AV85" s="183">
        <f t="shared" si="94"/>
        <v>1.0182934304</v>
      </c>
      <c r="AW85" s="184">
        <f t="shared" si="95"/>
        <v>0</v>
      </c>
      <c r="AX85" s="184">
        <f t="shared" si="96"/>
        <v>2.0000000000000003E-6</v>
      </c>
      <c r="AY85" s="184">
        <f t="shared" si="97"/>
        <v>1.0182934304000002E-6</v>
      </c>
      <c r="AZ85" s="227">
        <v>1</v>
      </c>
      <c r="BA85" s="227">
        <v>1</v>
      </c>
    </row>
    <row r="86" spans="1:53" s="179" customFormat="1" x14ac:dyDescent="0.3">
      <c r="A86" s="169" t="s">
        <v>22</v>
      </c>
      <c r="B86" s="169" t="str">
        <f>B82</f>
        <v xml:space="preserve">Емкость Е-100 </v>
      </c>
      <c r="C86" s="171" t="s">
        <v>200</v>
      </c>
      <c r="D86" s="172" t="s">
        <v>165</v>
      </c>
      <c r="E86" s="185">
        <f>E85</f>
        <v>1.0000000000000001E-5</v>
      </c>
      <c r="F86" s="186">
        <f>F82</f>
        <v>1</v>
      </c>
      <c r="G86" s="169">
        <v>4.5000000000000005E-2</v>
      </c>
      <c r="H86" s="174">
        <f t="shared" si="88"/>
        <v>4.5000000000000009E-7</v>
      </c>
      <c r="I86" s="187">
        <f>0.15*I82</f>
        <v>3.6719999999999997</v>
      </c>
      <c r="J86" s="176">
        <f>0.15*J83</f>
        <v>6.0000000000000001E-3</v>
      </c>
      <c r="K86" s="190" t="s">
        <v>180</v>
      </c>
      <c r="L86" s="191">
        <v>3</v>
      </c>
      <c r="M86" s="179" t="str">
        <f t="shared" si="89"/>
        <v>С5</v>
      </c>
      <c r="N86" s="179" t="str">
        <f t="shared" si="89"/>
        <v xml:space="preserve">Емкость Е-100 </v>
      </c>
      <c r="O86" s="179" t="str">
        <f t="shared" si="90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6.2</v>
      </c>
      <c r="AB86" s="179">
        <v>7.44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 t="shared" ref="AL86:AL87" si="98">0.1*AL83</f>
        <v>0.16000000000000003</v>
      </c>
      <c r="AM86" s="179">
        <f>AM82</f>
        <v>2.7E-2</v>
      </c>
      <c r="AN86" s="179">
        <f>ROUNDUP(AN82/3,0)</f>
        <v>1</v>
      </c>
      <c r="AQ86" s="182">
        <f>AM86*I86+AL86</f>
        <v>0.25914400000000004</v>
      </c>
      <c r="AR86" s="182">
        <f t="shared" si="91"/>
        <v>2.5914400000000004E-2</v>
      </c>
      <c r="AS86" s="183">
        <f t="shared" si="92"/>
        <v>0.25</v>
      </c>
      <c r="AT86" s="183">
        <f t="shared" si="93"/>
        <v>0.13376460000000001</v>
      </c>
      <c r="AU86" s="182">
        <f>10068.2*J86*POWER(10,-6)*10</f>
        <v>6.0409200000000008E-4</v>
      </c>
      <c r="AV86" s="183">
        <f t="shared" si="94"/>
        <v>0.66942709200000006</v>
      </c>
      <c r="AW86" s="184">
        <f t="shared" si="95"/>
        <v>0</v>
      </c>
      <c r="AX86" s="184">
        <f t="shared" si="96"/>
        <v>4.5000000000000009E-7</v>
      </c>
      <c r="AY86" s="184">
        <f t="shared" si="97"/>
        <v>3.0124219140000011E-7</v>
      </c>
      <c r="AZ86" s="227">
        <v>1</v>
      </c>
      <c r="BA86" s="227">
        <v>1</v>
      </c>
    </row>
    <row r="87" spans="1:53" s="179" customFormat="1" ht="15" thickBot="1" x14ac:dyDescent="0.35">
      <c r="A87" s="169" t="s">
        <v>23</v>
      </c>
      <c r="B87" s="169" t="str">
        <f>B82</f>
        <v xml:space="preserve">Емкость Е-100 </v>
      </c>
      <c r="C87" s="171" t="s">
        <v>201</v>
      </c>
      <c r="D87" s="172" t="s">
        <v>61</v>
      </c>
      <c r="E87" s="185">
        <f>E85</f>
        <v>1.0000000000000001E-5</v>
      </c>
      <c r="F87" s="186">
        <f>F82</f>
        <v>1</v>
      </c>
      <c r="G87" s="169">
        <v>0.85499999999999998</v>
      </c>
      <c r="H87" s="174">
        <f t="shared" si="88"/>
        <v>8.5500000000000011E-6</v>
      </c>
      <c r="I87" s="187">
        <f>0.15*I82</f>
        <v>3.6719999999999997</v>
      </c>
      <c r="J87" s="189">
        <v>0</v>
      </c>
      <c r="K87" s="192" t="s">
        <v>191</v>
      </c>
      <c r="L87" s="192">
        <v>9</v>
      </c>
      <c r="M87" s="179" t="str">
        <f t="shared" si="89"/>
        <v>С6</v>
      </c>
      <c r="N87" s="179" t="str">
        <f t="shared" si="89"/>
        <v xml:space="preserve">Емкость Е-100 </v>
      </c>
      <c r="O87" s="179" t="str">
        <f t="shared" si="90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 t="shared" si="98"/>
        <v>0.16000000000000003</v>
      </c>
      <c r="AM87" s="179">
        <f>AM82</f>
        <v>2.7E-2</v>
      </c>
      <c r="AN87" s="179">
        <f>ROUNDUP(AN82/3,0)</f>
        <v>1</v>
      </c>
      <c r="AQ87" s="182">
        <f>AM87*I87*0.1+AL87</f>
        <v>0.16991440000000002</v>
      </c>
      <c r="AR87" s="182">
        <f t="shared" si="91"/>
        <v>1.6991440000000003E-2</v>
      </c>
      <c r="AS87" s="183">
        <f t="shared" si="92"/>
        <v>0</v>
      </c>
      <c r="AT87" s="183">
        <f t="shared" si="93"/>
        <v>4.6726460000000004E-2</v>
      </c>
      <c r="AU87" s="182">
        <f>1333*J86*POWER(10,-6)</f>
        <v>7.9980000000000003E-6</v>
      </c>
      <c r="AV87" s="183">
        <f t="shared" si="94"/>
        <v>0.23364029800000002</v>
      </c>
      <c r="AW87" s="184">
        <f t="shared" si="95"/>
        <v>0</v>
      </c>
      <c r="AX87" s="184">
        <f t="shared" si="96"/>
        <v>0</v>
      </c>
      <c r="AY87" s="184">
        <f t="shared" si="97"/>
        <v>1.9976245479000004E-6</v>
      </c>
      <c r="AZ87" s="227">
        <v>1</v>
      </c>
      <c r="BA87" s="227">
        <v>1</v>
      </c>
    </row>
    <row r="88" spans="1:53" s="179" customFormat="1" x14ac:dyDescent="0.3">
      <c r="A88" s="180"/>
      <c r="B88" s="180"/>
      <c r="D88" s="271"/>
      <c r="E88" s="272"/>
      <c r="F88" s="273"/>
      <c r="G88" s="180"/>
      <c r="H88" s="184"/>
      <c r="I88" s="183"/>
      <c r="J88" s="180"/>
      <c r="K88" s="180"/>
      <c r="L88" s="180"/>
      <c r="P88" s="179" t="s">
        <v>83</v>
      </c>
      <c r="Q88" s="179" t="s">
        <v>83</v>
      </c>
      <c r="R88" s="179" t="s">
        <v>83</v>
      </c>
      <c r="S88" s="179" t="s">
        <v>83</v>
      </c>
      <c r="T88" s="179" t="s">
        <v>83</v>
      </c>
      <c r="U88" s="179" t="s">
        <v>83</v>
      </c>
      <c r="V88" s="179" t="s">
        <v>83</v>
      </c>
      <c r="W88" s="179" t="s">
        <v>83</v>
      </c>
      <c r="X88" s="179" t="s">
        <v>83</v>
      </c>
      <c r="Y88" s="179" t="s">
        <v>83</v>
      </c>
      <c r="Z88" s="179" t="s">
        <v>83</v>
      </c>
      <c r="AA88" s="179" t="s">
        <v>83</v>
      </c>
      <c r="AB88" s="179" t="s">
        <v>83</v>
      </c>
      <c r="AC88" s="179" t="s">
        <v>83</v>
      </c>
      <c r="AD88" s="179" t="s">
        <v>83</v>
      </c>
      <c r="AE88" s="179" t="s">
        <v>83</v>
      </c>
      <c r="AF88" s="179" t="s">
        <v>83</v>
      </c>
      <c r="AG88" s="179" t="s">
        <v>83</v>
      </c>
      <c r="AH88" s="179" t="s">
        <v>83</v>
      </c>
      <c r="AI88" s="179" t="s">
        <v>83</v>
      </c>
      <c r="AQ88" s="182"/>
      <c r="AR88" s="182"/>
      <c r="AS88" s="183"/>
      <c r="AT88" s="183"/>
      <c r="AU88" s="182"/>
      <c r="AV88" s="183"/>
      <c r="AW88" s="184"/>
      <c r="AX88" s="184"/>
      <c r="AY88" s="184"/>
      <c r="AZ88" s="227">
        <v>1</v>
      </c>
      <c r="BA88" s="227">
        <v>1</v>
      </c>
    </row>
    <row r="89" spans="1:53" s="179" customFormat="1" x14ac:dyDescent="0.3">
      <c r="A89" s="180"/>
      <c r="B89" s="180"/>
      <c r="D89" s="271"/>
      <c r="E89" s="272"/>
      <c r="F89" s="273"/>
      <c r="G89" s="180"/>
      <c r="H89" s="184"/>
      <c r="I89" s="183"/>
      <c r="J89" s="180"/>
      <c r="K89" s="180"/>
      <c r="L89" s="180"/>
      <c r="P89" s="179" t="s">
        <v>83</v>
      </c>
      <c r="Q89" s="179" t="s">
        <v>83</v>
      </c>
      <c r="R89" s="179" t="s">
        <v>83</v>
      </c>
      <c r="S89" s="179" t="s">
        <v>83</v>
      </c>
      <c r="T89" s="179" t="s">
        <v>83</v>
      </c>
      <c r="U89" s="179" t="s">
        <v>83</v>
      </c>
      <c r="V89" s="179" t="s">
        <v>83</v>
      </c>
      <c r="W89" s="179" t="s">
        <v>83</v>
      </c>
      <c r="X89" s="179" t="s">
        <v>83</v>
      </c>
      <c r="Y89" s="179" t="s">
        <v>83</v>
      </c>
      <c r="Z89" s="179" t="s">
        <v>83</v>
      </c>
      <c r="AA89" s="179" t="s">
        <v>83</v>
      </c>
      <c r="AB89" s="179" t="s">
        <v>83</v>
      </c>
      <c r="AC89" s="179" t="s">
        <v>83</v>
      </c>
      <c r="AD89" s="179" t="s">
        <v>83</v>
      </c>
      <c r="AE89" s="179" t="s">
        <v>83</v>
      </c>
      <c r="AF89" s="179" t="s">
        <v>83</v>
      </c>
      <c r="AG89" s="179" t="s">
        <v>83</v>
      </c>
      <c r="AH89" s="179" t="s">
        <v>83</v>
      </c>
      <c r="AI89" s="179" t="s">
        <v>83</v>
      </c>
      <c r="AQ89" s="182"/>
      <c r="AR89" s="182"/>
      <c r="AS89" s="183"/>
      <c r="AT89" s="183"/>
      <c r="AU89" s="182"/>
      <c r="AV89" s="183"/>
      <c r="AW89" s="184"/>
      <c r="AX89" s="184"/>
      <c r="AY89" s="184"/>
      <c r="AZ89" s="227">
        <v>1</v>
      </c>
      <c r="BA89" s="227">
        <v>1</v>
      </c>
    </row>
    <row r="90" spans="1:53" s="179" customFormat="1" x14ac:dyDescent="0.3">
      <c r="A90" s="180"/>
      <c r="B90" s="180"/>
      <c r="D90" s="271"/>
      <c r="E90" s="272"/>
      <c r="F90" s="273"/>
      <c r="G90" s="180"/>
      <c r="H90" s="184"/>
      <c r="I90" s="183"/>
      <c r="J90" s="180"/>
      <c r="K90" s="180"/>
      <c r="L90" s="180"/>
      <c r="P90" s="179" t="s">
        <v>83</v>
      </c>
      <c r="Q90" s="179" t="s">
        <v>83</v>
      </c>
      <c r="R90" s="179" t="s">
        <v>83</v>
      </c>
      <c r="S90" s="179" t="s">
        <v>83</v>
      </c>
      <c r="T90" s="179" t="s">
        <v>83</v>
      </c>
      <c r="U90" s="179" t="s">
        <v>83</v>
      </c>
      <c r="V90" s="179" t="s">
        <v>83</v>
      </c>
      <c r="W90" s="179" t="s">
        <v>83</v>
      </c>
      <c r="X90" s="179" t="s">
        <v>83</v>
      </c>
      <c r="Y90" s="179" t="s">
        <v>83</v>
      </c>
      <c r="Z90" s="179" t="s">
        <v>83</v>
      </c>
      <c r="AA90" s="179" t="s">
        <v>83</v>
      </c>
      <c r="AB90" s="179" t="s">
        <v>83</v>
      </c>
      <c r="AC90" s="179" t="s">
        <v>83</v>
      </c>
      <c r="AD90" s="179" t="s">
        <v>83</v>
      </c>
      <c r="AE90" s="179" t="s">
        <v>83</v>
      </c>
      <c r="AF90" s="179" t="s">
        <v>83</v>
      </c>
      <c r="AG90" s="179" t="s">
        <v>83</v>
      </c>
      <c r="AH90" s="179" t="s">
        <v>83</v>
      </c>
      <c r="AI90" s="179" t="s">
        <v>83</v>
      </c>
      <c r="AQ90" s="182"/>
      <c r="AR90" s="182"/>
      <c r="AS90" s="183"/>
      <c r="AT90" s="183"/>
      <c r="AU90" s="182"/>
      <c r="AV90" s="183"/>
      <c r="AW90" s="184"/>
      <c r="AX90" s="184"/>
      <c r="AY90" s="184"/>
      <c r="AZ90" s="227">
        <v>1</v>
      </c>
      <c r="BA90" s="227">
        <v>1</v>
      </c>
    </row>
    <row r="91" spans="1:53" ht="15" thickBot="1" x14ac:dyDescent="0.35"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  <c r="AZ91" s="227">
        <v>1</v>
      </c>
      <c r="BA91" s="227">
        <v>1</v>
      </c>
    </row>
    <row r="92" spans="1:53" s="227" customFormat="1" ht="18" customHeight="1" x14ac:dyDescent="0.3">
      <c r="A92" s="218" t="s">
        <v>18</v>
      </c>
      <c r="B92" s="310" t="s">
        <v>424</v>
      </c>
      <c r="C92" s="53" t="s">
        <v>300</v>
      </c>
      <c r="D92" s="220" t="s">
        <v>301</v>
      </c>
      <c r="E92" s="221">
        <v>9.9999999999999995E-7</v>
      </c>
      <c r="F92" s="219">
        <v>1</v>
      </c>
      <c r="G92" s="218">
        <v>0.05</v>
      </c>
      <c r="H92" s="222">
        <f>E92*F92*G92</f>
        <v>4.9999999999999998E-8</v>
      </c>
      <c r="I92" s="223">
        <v>1.5</v>
      </c>
      <c r="J92" s="224">
        <f>0.03*I92</f>
        <v>4.4999999999999998E-2</v>
      </c>
      <c r="K92" s="225" t="s">
        <v>175</v>
      </c>
      <c r="L92" s="226">
        <v>6</v>
      </c>
      <c r="M92" s="227" t="str">
        <f t="shared" ref="M92:N100" si="99">A92</f>
        <v>С1</v>
      </c>
      <c r="N92" s="227" t="str">
        <f t="shared" si="99"/>
        <v xml:space="preserve">Газосепаратор V-207/1 </v>
      </c>
      <c r="O92" s="227" t="str">
        <f t="shared" ref="O92:O99" si="100">D92</f>
        <v>Полное-огенный шар</v>
      </c>
      <c r="P92" s="227" t="s">
        <v>83</v>
      </c>
      <c r="Q92" s="227" t="s">
        <v>83</v>
      </c>
      <c r="R92" s="227" t="s">
        <v>83</v>
      </c>
      <c r="S92" s="227" t="s">
        <v>83</v>
      </c>
      <c r="T92" s="227" t="s">
        <v>83</v>
      </c>
      <c r="U92" s="227" t="s">
        <v>83</v>
      </c>
      <c r="V92" s="227" t="s">
        <v>83</v>
      </c>
      <c r="W92" s="227" t="s">
        <v>83</v>
      </c>
      <c r="X92" s="227" t="s">
        <v>83</v>
      </c>
      <c r="Y92" s="227" t="s">
        <v>83</v>
      </c>
      <c r="Z92" s="227" t="s">
        <v>83</v>
      </c>
      <c r="AA92" s="227" t="s">
        <v>83</v>
      </c>
      <c r="AB92" s="227" t="s">
        <v>83</v>
      </c>
      <c r="AC92" s="227" t="s">
        <v>83</v>
      </c>
      <c r="AD92" s="227" t="s">
        <v>83</v>
      </c>
      <c r="AE92" s="227">
        <v>1</v>
      </c>
      <c r="AF92" s="227">
        <v>1</v>
      </c>
      <c r="AG92" s="227">
        <v>6</v>
      </c>
      <c r="AH92" s="227">
        <v>15</v>
      </c>
      <c r="AI92" s="227" t="s">
        <v>83</v>
      </c>
      <c r="AJ92" s="228">
        <v>1</v>
      </c>
      <c r="AK92" s="228">
        <v>3</v>
      </c>
      <c r="AL92" s="229">
        <v>2.8</v>
      </c>
      <c r="AM92" s="229">
        <v>2.5000000000000001E-2</v>
      </c>
      <c r="AN92" s="229">
        <v>5</v>
      </c>
      <c r="AQ92" s="230">
        <f>AM92*I92+AL92</f>
        <v>2.8374999999999999</v>
      </c>
      <c r="AR92" s="230">
        <f>0.1*AQ92</f>
        <v>0.28375</v>
      </c>
      <c r="AS92" s="231">
        <f>AJ92*3+0.25*AK92</f>
        <v>3.75</v>
      </c>
      <c r="AT92" s="231">
        <f>SUM(AQ92:AS92)/4</f>
        <v>1.7178125</v>
      </c>
      <c r="AU92" s="230">
        <f>10068.2*J92*POWER(10,-6)</f>
        <v>4.5306900000000001E-4</v>
      </c>
      <c r="AV92" s="231">
        <f t="shared" ref="AV92:AV100" si="101">AU92+AT92+AS92+AR92+AQ92</f>
        <v>8.5895155689999996</v>
      </c>
      <c r="AW92" s="232">
        <f>AJ92*H92</f>
        <v>4.9999999999999998E-8</v>
      </c>
      <c r="AX92" s="232">
        <f>H92*AK92</f>
        <v>1.4999999999999999E-7</v>
      </c>
      <c r="AY92" s="232">
        <f t="shared" ref="AY92:AY100" si="102">H92*AV92</f>
        <v>4.2947577844999995E-7</v>
      </c>
      <c r="AZ92" s="227">
        <v>1</v>
      </c>
      <c r="BA92" s="227">
        <v>1</v>
      </c>
    </row>
    <row r="93" spans="1:53" s="227" customFormat="1" x14ac:dyDescent="0.3">
      <c r="A93" s="218" t="s">
        <v>19</v>
      </c>
      <c r="B93" s="218" t="str">
        <f>B92</f>
        <v xml:space="preserve">Газосепаратор V-207/1 </v>
      </c>
      <c r="C93" s="53" t="s">
        <v>202</v>
      </c>
      <c r="D93" s="220" t="s">
        <v>62</v>
      </c>
      <c r="E93" s="233">
        <f>E92</f>
        <v>9.9999999999999995E-7</v>
      </c>
      <c r="F93" s="234">
        <f>F92</f>
        <v>1</v>
      </c>
      <c r="G93" s="218">
        <v>0.19</v>
      </c>
      <c r="H93" s="222">
        <f t="shared" ref="H93:H100" si="103">E93*F93*G93</f>
        <v>1.8999999999999998E-7</v>
      </c>
      <c r="I93" s="235">
        <f>I92</f>
        <v>1.5</v>
      </c>
      <c r="J93" s="243">
        <v>1.5</v>
      </c>
      <c r="K93" s="236" t="s">
        <v>176</v>
      </c>
      <c r="L93" s="237">
        <v>2</v>
      </c>
      <c r="M93" s="227" t="str">
        <f t="shared" si="99"/>
        <v>С2</v>
      </c>
      <c r="N93" s="227" t="str">
        <f t="shared" si="99"/>
        <v xml:space="preserve">Газосепаратор V-207/1 </v>
      </c>
      <c r="O93" s="227" t="str">
        <f t="shared" si="100"/>
        <v>Полное-взрыв</v>
      </c>
      <c r="P93" s="227" t="s">
        <v>83</v>
      </c>
      <c r="Q93" s="227" t="s">
        <v>83</v>
      </c>
      <c r="R93" s="227" t="s">
        <v>83</v>
      </c>
      <c r="S93" s="227" t="s">
        <v>83</v>
      </c>
      <c r="T93" s="227">
        <v>0</v>
      </c>
      <c r="U93" s="227">
        <v>73.099999999999994</v>
      </c>
      <c r="V93" s="227">
        <v>175.6</v>
      </c>
      <c r="W93" s="227">
        <v>530.6</v>
      </c>
      <c r="X93" s="227">
        <v>1353.1</v>
      </c>
      <c r="Y93" s="227" t="s">
        <v>83</v>
      </c>
      <c r="Z93" s="227" t="s">
        <v>83</v>
      </c>
      <c r="AA93" s="227" t="s">
        <v>83</v>
      </c>
      <c r="AB93" s="227" t="s">
        <v>83</v>
      </c>
      <c r="AC93" s="227" t="s">
        <v>83</v>
      </c>
      <c r="AD93" s="227" t="s">
        <v>83</v>
      </c>
      <c r="AE93" s="227" t="s">
        <v>83</v>
      </c>
      <c r="AF93" s="227" t="s">
        <v>83</v>
      </c>
      <c r="AG93" s="227" t="s">
        <v>83</v>
      </c>
      <c r="AH93" s="227" t="s">
        <v>83</v>
      </c>
      <c r="AI93" s="227" t="s">
        <v>83</v>
      </c>
      <c r="AJ93" s="228">
        <v>2</v>
      </c>
      <c r="AK93" s="228">
        <v>4</v>
      </c>
      <c r="AL93" s="227">
        <f>AL92</f>
        <v>2.8</v>
      </c>
      <c r="AM93" s="227">
        <f>AM92</f>
        <v>2.5000000000000001E-2</v>
      </c>
      <c r="AN93" s="227">
        <f>AN92</f>
        <v>5</v>
      </c>
      <c r="AQ93" s="230">
        <f>AM93*I93+AL93</f>
        <v>2.8374999999999999</v>
      </c>
      <c r="AR93" s="230">
        <f t="shared" ref="AR93:AR99" si="104">0.1*AQ93</f>
        <v>0.28375</v>
      </c>
      <c r="AS93" s="231">
        <f t="shared" ref="AS93:AS99" si="105">AJ93*3+0.25*AK93</f>
        <v>7</v>
      </c>
      <c r="AT93" s="231">
        <f t="shared" ref="AT93:AT99" si="106">SUM(AQ93:AS93)/4</f>
        <v>2.5303125</v>
      </c>
      <c r="AU93" s="230">
        <f>10068.2*J93*POWER(10,-6)*10</f>
        <v>0.15102300000000002</v>
      </c>
      <c r="AV93" s="231">
        <f t="shared" si="101"/>
        <v>12.802585499999999</v>
      </c>
      <c r="AW93" s="232">
        <f t="shared" ref="AW93:AW99" si="107">AJ93*H93</f>
        <v>3.7999999999999996E-7</v>
      </c>
      <c r="AX93" s="232">
        <f t="shared" ref="AX93:AX99" si="108">H93*AK93</f>
        <v>7.5999999999999992E-7</v>
      </c>
      <c r="AY93" s="232">
        <f t="shared" si="102"/>
        <v>2.4324912449999995E-6</v>
      </c>
      <c r="AZ93" s="227">
        <v>1</v>
      </c>
      <c r="BA93" s="227">
        <v>1</v>
      </c>
    </row>
    <row r="94" spans="1:53" s="227" customFormat="1" x14ac:dyDescent="0.3">
      <c r="A94" s="218" t="s">
        <v>20</v>
      </c>
      <c r="B94" s="218" t="str">
        <f>B92</f>
        <v xml:space="preserve">Газосепаратор V-207/1 </v>
      </c>
      <c r="C94" s="53" t="s">
        <v>241</v>
      </c>
      <c r="D94" s="220" t="s">
        <v>60</v>
      </c>
      <c r="E94" s="233">
        <f>E92</f>
        <v>9.9999999999999995E-7</v>
      </c>
      <c r="F94" s="234">
        <f t="shared" ref="F94:F100" si="109">F93</f>
        <v>1</v>
      </c>
      <c r="G94" s="218">
        <v>0.76</v>
      </c>
      <c r="H94" s="222">
        <f t="shared" si="103"/>
        <v>7.5999999999999992E-7</v>
      </c>
      <c r="I94" s="235">
        <f>I92</f>
        <v>1.5</v>
      </c>
      <c r="J94" s="224">
        <v>0</v>
      </c>
      <c r="K94" s="236" t="s">
        <v>177</v>
      </c>
      <c r="L94" s="237">
        <v>4</v>
      </c>
      <c r="M94" s="227" t="str">
        <f t="shared" si="99"/>
        <v>С3</v>
      </c>
      <c r="N94" s="227" t="str">
        <f t="shared" si="99"/>
        <v xml:space="preserve">Газосепаратор V-207/1 </v>
      </c>
      <c r="O94" s="227" t="str">
        <f t="shared" si="100"/>
        <v>Полное-ликвидация</v>
      </c>
      <c r="P94" s="227" t="s">
        <v>83</v>
      </c>
      <c r="Q94" s="227" t="s">
        <v>83</v>
      </c>
      <c r="R94" s="227" t="s">
        <v>83</v>
      </c>
      <c r="S94" s="227" t="s">
        <v>83</v>
      </c>
      <c r="T94" s="227" t="s">
        <v>83</v>
      </c>
      <c r="U94" s="227" t="s">
        <v>83</v>
      </c>
      <c r="V94" s="227" t="s">
        <v>83</v>
      </c>
      <c r="W94" s="227" t="s">
        <v>83</v>
      </c>
      <c r="X94" s="227" t="s">
        <v>83</v>
      </c>
      <c r="Y94" s="227" t="s">
        <v>83</v>
      </c>
      <c r="Z94" s="227" t="s">
        <v>83</v>
      </c>
      <c r="AA94" s="227" t="s">
        <v>83</v>
      </c>
      <c r="AB94" s="227" t="s">
        <v>83</v>
      </c>
      <c r="AC94" s="227" t="s">
        <v>83</v>
      </c>
      <c r="AD94" s="227" t="s">
        <v>83</v>
      </c>
      <c r="AE94" s="227" t="s">
        <v>83</v>
      </c>
      <c r="AF94" s="227" t="s">
        <v>83</v>
      </c>
      <c r="AG94" s="227" t="s">
        <v>83</v>
      </c>
      <c r="AH94" s="227" t="s">
        <v>83</v>
      </c>
      <c r="AI94" s="227" t="s">
        <v>83</v>
      </c>
      <c r="AJ94" s="227">
        <v>0</v>
      </c>
      <c r="AK94" s="227">
        <v>0</v>
      </c>
      <c r="AL94" s="227">
        <f>AL92</f>
        <v>2.8</v>
      </c>
      <c r="AM94" s="227">
        <f>AM92</f>
        <v>2.5000000000000001E-2</v>
      </c>
      <c r="AN94" s="227">
        <f>AN92</f>
        <v>5</v>
      </c>
      <c r="AQ94" s="230">
        <f>AM94*I94*0.1+AL94</f>
        <v>2.80375</v>
      </c>
      <c r="AR94" s="230">
        <f t="shared" si="104"/>
        <v>0.28037499999999999</v>
      </c>
      <c r="AS94" s="231">
        <f t="shared" si="105"/>
        <v>0</v>
      </c>
      <c r="AT94" s="231">
        <f t="shared" si="106"/>
        <v>0.77103124999999995</v>
      </c>
      <c r="AU94" s="230">
        <f>1333*J92*POWER(10,-6)</f>
        <v>5.9984999999999996E-5</v>
      </c>
      <c r="AV94" s="231">
        <f t="shared" si="101"/>
        <v>3.8552162349999999</v>
      </c>
      <c r="AW94" s="232">
        <f t="shared" si="107"/>
        <v>0</v>
      </c>
      <c r="AX94" s="232">
        <f t="shared" si="108"/>
        <v>0</v>
      </c>
      <c r="AY94" s="232">
        <f t="shared" si="102"/>
        <v>2.9299643385999995E-6</v>
      </c>
      <c r="AZ94" s="227">
        <v>1</v>
      </c>
      <c r="BA94" s="227">
        <v>1</v>
      </c>
    </row>
    <row r="95" spans="1:53" s="227" customFormat="1" x14ac:dyDescent="0.3">
      <c r="A95" s="218" t="s">
        <v>21</v>
      </c>
      <c r="B95" s="218" t="str">
        <f>B92</f>
        <v xml:space="preserve">Газосепаратор V-207/1 </v>
      </c>
      <c r="C95" s="53" t="s">
        <v>213</v>
      </c>
      <c r="D95" s="220" t="s">
        <v>214</v>
      </c>
      <c r="E95" s="221">
        <v>1.0000000000000001E-5</v>
      </c>
      <c r="F95" s="234">
        <f t="shared" si="109"/>
        <v>1</v>
      </c>
      <c r="G95" s="218">
        <v>4.0000000000000008E-2</v>
      </c>
      <c r="H95" s="222">
        <f t="shared" si="103"/>
        <v>4.0000000000000009E-7</v>
      </c>
      <c r="I95" s="235">
        <f>0.15*I92</f>
        <v>0.22499999999999998</v>
      </c>
      <c r="J95" s="224">
        <f>I95</f>
        <v>0.22499999999999998</v>
      </c>
      <c r="K95" s="236" t="s">
        <v>179</v>
      </c>
      <c r="L95" s="237">
        <v>45390</v>
      </c>
      <c r="M95" s="227" t="str">
        <f t="shared" si="99"/>
        <v>С4</v>
      </c>
      <c r="N95" s="227" t="str">
        <f t="shared" si="99"/>
        <v xml:space="preserve">Газосепаратор V-207/1 </v>
      </c>
      <c r="O95" s="227" t="str">
        <f t="shared" si="100"/>
        <v>Частичное факел</v>
      </c>
      <c r="P95" s="227" t="s">
        <v>83</v>
      </c>
      <c r="Q95" s="227" t="s">
        <v>83</v>
      </c>
      <c r="R95" s="227" t="s">
        <v>83</v>
      </c>
      <c r="S95" s="227" t="s">
        <v>83</v>
      </c>
      <c r="T95" s="227" t="s">
        <v>83</v>
      </c>
      <c r="U95" s="227" t="s">
        <v>83</v>
      </c>
      <c r="V95" s="227" t="s">
        <v>83</v>
      </c>
      <c r="W95" s="227" t="s">
        <v>83</v>
      </c>
      <c r="X95" s="227" t="s">
        <v>83</v>
      </c>
      <c r="Y95" s="227">
        <v>26</v>
      </c>
      <c r="Z95" s="227">
        <v>4</v>
      </c>
      <c r="AA95" s="227" t="s">
        <v>83</v>
      </c>
      <c r="AB95" s="227" t="s">
        <v>83</v>
      </c>
      <c r="AC95" s="227" t="s">
        <v>83</v>
      </c>
      <c r="AD95" s="227" t="s">
        <v>83</v>
      </c>
      <c r="AE95" s="227" t="s">
        <v>83</v>
      </c>
      <c r="AF95" s="227" t="s">
        <v>83</v>
      </c>
      <c r="AG95" s="227" t="s">
        <v>83</v>
      </c>
      <c r="AH95" s="227" t="s">
        <v>83</v>
      </c>
      <c r="AI95" s="227" t="s">
        <v>83</v>
      </c>
      <c r="AJ95" s="227">
        <v>2</v>
      </c>
      <c r="AK95" s="227">
        <v>1</v>
      </c>
      <c r="AL95" s="227">
        <f>0.1*$AL92</f>
        <v>0.27999999999999997</v>
      </c>
      <c r="AM95" s="227">
        <f>AM93</f>
        <v>2.5000000000000001E-2</v>
      </c>
      <c r="AN95" s="227">
        <f>AN92</f>
        <v>5</v>
      </c>
      <c r="AQ95" s="230">
        <f>AM95*I95*0.1+AL95</f>
        <v>0.28056249999999999</v>
      </c>
      <c r="AR95" s="230">
        <f t="shared" si="104"/>
        <v>2.8056250000000001E-2</v>
      </c>
      <c r="AS95" s="231">
        <f t="shared" si="105"/>
        <v>6.25</v>
      </c>
      <c r="AT95" s="231">
        <f t="shared" si="106"/>
        <v>1.6396546875</v>
      </c>
      <c r="AU95" s="230">
        <f>10068.2*J95*POWER(10,-6)</f>
        <v>2.2653449999999998E-3</v>
      </c>
      <c r="AV95" s="231">
        <f t="shared" si="101"/>
        <v>8.2005387824999989</v>
      </c>
      <c r="AW95" s="232">
        <f t="shared" si="107"/>
        <v>8.0000000000000018E-7</v>
      </c>
      <c r="AX95" s="232">
        <f t="shared" si="108"/>
        <v>4.0000000000000009E-7</v>
      </c>
      <c r="AY95" s="232">
        <f t="shared" si="102"/>
        <v>3.2802155130000002E-6</v>
      </c>
      <c r="AZ95" s="227">
        <v>1</v>
      </c>
      <c r="BA95" s="227">
        <v>1</v>
      </c>
    </row>
    <row r="96" spans="1:53" s="227" customFormat="1" x14ac:dyDescent="0.3">
      <c r="A96" s="218" t="s">
        <v>22</v>
      </c>
      <c r="B96" s="218" t="str">
        <f>B92</f>
        <v xml:space="preserve">Газосепаратор V-207/1 </v>
      </c>
      <c r="C96" s="53" t="s">
        <v>242</v>
      </c>
      <c r="D96" s="220" t="s">
        <v>61</v>
      </c>
      <c r="E96" s="233">
        <f>E95</f>
        <v>1.0000000000000001E-5</v>
      </c>
      <c r="F96" s="234">
        <f t="shared" si="109"/>
        <v>1</v>
      </c>
      <c r="G96" s="218">
        <v>0.16000000000000003</v>
      </c>
      <c r="H96" s="222">
        <f t="shared" si="103"/>
        <v>1.6000000000000004E-6</v>
      </c>
      <c r="I96" s="235">
        <f>0.15*I92</f>
        <v>0.22499999999999998</v>
      </c>
      <c r="J96" s="224">
        <v>0</v>
      </c>
      <c r="K96" s="236" t="s">
        <v>180</v>
      </c>
      <c r="L96" s="237">
        <v>3</v>
      </c>
      <c r="M96" s="227" t="str">
        <f t="shared" si="99"/>
        <v>С5</v>
      </c>
      <c r="N96" s="227" t="str">
        <f t="shared" si="99"/>
        <v xml:space="preserve">Газосепаратор V-207/1 </v>
      </c>
      <c r="O96" s="227" t="str">
        <f t="shared" si="100"/>
        <v>Частичное-ликвидация</v>
      </c>
      <c r="P96" s="227" t="s">
        <v>83</v>
      </c>
      <c r="Q96" s="227" t="s">
        <v>83</v>
      </c>
      <c r="R96" s="227" t="s">
        <v>83</v>
      </c>
      <c r="S96" s="227" t="s">
        <v>83</v>
      </c>
      <c r="T96" s="227" t="s">
        <v>83</v>
      </c>
      <c r="U96" s="227" t="s">
        <v>83</v>
      </c>
      <c r="V96" s="227" t="s">
        <v>83</v>
      </c>
      <c r="W96" s="227" t="s">
        <v>83</v>
      </c>
      <c r="X96" s="227" t="s">
        <v>83</v>
      </c>
      <c r="Y96" s="227" t="s">
        <v>83</v>
      </c>
      <c r="Z96" s="227" t="s">
        <v>83</v>
      </c>
      <c r="AA96" s="227" t="s">
        <v>83</v>
      </c>
      <c r="AB96" s="227" t="s">
        <v>83</v>
      </c>
      <c r="AC96" s="227" t="s">
        <v>83</v>
      </c>
      <c r="AD96" s="227" t="s">
        <v>83</v>
      </c>
      <c r="AE96" s="227" t="s">
        <v>83</v>
      </c>
      <c r="AF96" s="227" t="s">
        <v>83</v>
      </c>
      <c r="AG96" s="227" t="s">
        <v>83</v>
      </c>
      <c r="AH96" s="227" t="s">
        <v>83</v>
      </c>
      <c r="AI96" s="227" t="s">
        <v>83</v>
      </c>
      <c r="AJ96" s="227">
        <v>0</v>
      </c>
      <c r="AK96" s="227">
        <v>1</v>
      </c>
      <c r="AL96" s="227">
        <f>0.1*$AL93</f>
        <v>0.27999999999999997</v>
      </c>
      <c r="AM96" s="227">
        <f>AM92</f>
        <v>2.5000000000000001E-2</v>
      </c>
      <c r="AN96" s="227">
        <f>ROUNDUP(AN92/3,0)</f>
        <v>2</v>
      </c>
      <c r="AQ96" s="230">
        <f>AM96*I96+AL96</f>
        <v>0.28562499999999996</v>
      </c>
      <c r="AR96" s="230">
        <f t="shared" si="104"/>
        <v>2.8562499999999998E-2</v>
      </c>
      <c r="AS96" s="231">
        <f t="shared" si="105"/>
        <v>0.25</v>
      </c>
      <c r="AT96" s="231">
        <f t="shared" si="106"/>
        <v>0.14104687499999999</v>
      </c>
      <c r="AU96" s="230">
        <f>1333*J93*POWER(10,-6)*10</f>
        <v>1.9994999999999999E-2</v>
      </c>
      <c r="AV96" s="231">
        <f t="shared" si="101"/>
        <v>0.72522937499999995</v>
      </c>
      <c r="AW96" s="232">
        <f t="shared" si="107"/>
        <v>0</v>
      </c>
      <c r="AX96" s="232">
        <f t="shared" si="108"/>
        <v>1.6000000000000004E-6</v>
      </c>
      <c r="AY96" s="232">
        <f t="shared" si="102"/>
        <v>1.1603670000000001E-6</v>
      </c>
      <c r="AZ96" s="227">
        <v>1</v>
      </c>
      <c r="BA96" s="227">
        <v>1</v>
      </c>
    </row>
    <row r="97" spans="1:53" s="227" customFormat="1" x14ac:dyDescent="0.3">
      <c r="A97" s="218" t="s">
        <v>23</v>
      </c>
      <c r="B97" s="218" t="str">
        <f>B92</f>
        <v xml:space="preserve">Газосепаратор V-207/1 </v>
      </c>
      <c r="C97" s="53" t="s">
        <v>215</v>
      </c>
      <c r="D97" s="220" t="s">
        <v>214</v>
      </c>
      <c r="E97" s="233">
        <f>E96</f>
        <v>1.0000000000000001E-5</v>
      </c>
      <c r="F97" s="234">
        <f t="shared" si="109"/>
        <v>1</v>
      </c>
      <c r="G97" s="218">
        <v>4.0000000000000008E-2</v>
      </c>
      <c r="H97" s="222">
        <f t="shared" si="103"/>
        <v>4.0000000000000009E-7</v>
      </c>
      <c r="I97" s="235">
        <f>I95*0.15</f>
        <v>3.3749999999999995E-2</v>
      </c>
      <c r="J97" s="224">
        <f>I97</f>
        <v>3.3749999999999995E-2</v>
      </c>
      <c r="K97" s="239" t="s">
        <v>191</v>
      </c>
      <c r="L97" s="240">
        <v>21</v>
      </c>
      <c r="M97" s="227" t="str">
        <f t="shared" si="99"/>
        <v>С6</v>
      </c>
      <c r="N97" s="227" t="str">
        <f t="shared" si="99"/>
        <v xml:space="preserve">Газосепаратор V-207/1 </v>
      </c>
      <c r="O97" s="227" t="str">
        <f t="shared" si="100"/>
        <v>Частичное факел</v>
      </c>
      <c r="P97" s="227" t="s">
        <v>83</v>
      </c>
      <c r="Q97" s="227" t="s">
        <v>83</v>
      </c>
      <c r="R97" s="227" t="s">
        <v>83</v>
      </c>
      <c r="S97" s="227" t="s">
        <v>83</v>
      </c>
      <c r="T97" s="227" t="s">
        <v>83</v>
      </c>
      <c r="U97" s="227" t="s">
        <v>83</v>
      </c>
      <c r="V97" s="227" t="s">
        <v>83</v>
      </c>
      <c r="W97" s="227" t="s">
        <v>83</v>
      </c>
      <c r="X97" s="227" t="s">
        <v>83</v>
      </c>
      <c r="Y97" s="227">
        <v>11</v>
      </c>
      <c r="Z97" s="227">
        <v>2</v>
      </c>
      <c r="AA97" s="227" t="s">
        <v>83</v>
      </c>
      <c r="AB97" s="227" t="s">
        <v>83</v>
      </c>
      <c r="AC97" s="227" t="s">
        <v>83</v>
      </c>
      <c r="AD97" s="227" t="s">
        <v>83</v>
      </c>
      <c r="AE97" s="227" t="s">
        <v>83</v>
      </c>
      <c r="AF97" s="227" t="s">
        <v>83</v>
      </c>
      <c r="AG97" s="227" t="s">
        <v>83</v>
      </c>
      <c r="AH97" s="227" t="s">
        <v>83</v>
      </c>
      <c r="AI97" s="227" t="s">
        <v>83</v>
      </c>
      <c r="AJ97" s="227">
        <v>2</v>
      </c>
      <c r="AK97" s="227">
        <v>1</v>
      </c>
      <c r="AL97" s="227">
        <f>0.1*$AL94</f>
        <v>0.27999999999999997</v>
      </c>
      <c r="AM97" s="227">
        <f>AM92</f>
        <v>2.5000000000000001E-2</v>
      </c>
      <c r="AN97" s="227">
        <f>AN96</f>
        <v>2</v>
      </c>
      <c r="AQ97" s="230">
        <f>AM97*I97+AL97</f>
        <v>0.28084374999999995</v>
      </c>
      <c r="AR97" s="230">
        <f t="shared" si="104"/>
        <v>2.8084374999999995E-2</v>
      </c>
      <c r="AS97" s="231">
        <f t="shared" si="105"/>
        <v>6.25</v>
      </c>
      <c r="AT97" s="231">
        <f t="shared" si="106"/>
        <v>1.6397320312499999</v>
      </c>
      <c r="AU97" s="230">
        <f>10068.2*J97*POWER(10,-6)</f>
        <v>3.3980174999999997E-4</v>
      </c>
      <c r="AV97" s="231">
        <f t="shared" si="101"/>
        <v>8.1989999579999999</v>
      </c>
      <c r="AW97" s="232">
        <f t="shared" si="107"/>
        <v>8.0000000000000018E-7</v>
      </c>
      <c r="AX97" s="232">
        <f t="shared" si="108"/>
        <v>4.0000000000000009E-7</v>
      </c>
      <c r="AY97" s="232">
        <f t="shared" si="102"/>
        <v>3.2795999832000005E-6</v>
      </c>
      <c r="AZ97" s="227">
        <v>1</v>
      </c>
      <c r="BA97" s="227">
        <v>1</v>
      </c>
    </row>
    <row r="98" spans="1:53" s="227" customFormat="1" x14ac:dyDescent="0.3">
      <c r="A98" s="218" t="s">
        <v>210</v>
      </c>
      <c r="B98" s="218" t="str">
        <f>B92</f>
        <v xml:space="preserve">Газосепаратор V-207/1 </v>
      </c>
      <c r="C98" s="53" t="s">
        <v>216</v>
      </c>
      <c r="D98" s="220" t="s">
        <v>165</v>
      </c>
      <c r="E98" s="233">
        <f>E96</f>
        <v>1.0000000000000001E-5</v>
      </c>
      <c r="F98" s="234">
        <f t="shared" si="109"/>
        <v>1</v>
      </c>
      <c r="G98" s="218">
        <v>0.15200000000000002</v>
      </c>
      <c r="H98" s="222">
        <f t="shared" si="103"/>
        <v>1.5200000000000003E-6</v>
      </c>
      <c r="I98" s="235">
        <f>I95*0.15</f>
        <v>3.3749999999999995E-2</v>
      </c>
      <c r="J98" s="224">
        <f>I98</f>
        <v>3.3749999999999995E-2</v>
      </c>
      <c r="K98" s="236"/>
      <c r="L98" s="237"/>
      <c r="M98" s="227" t="str">
        <f t="shared" si="99"/>
        <v>С7</v>
      </c>
      <c r="N98" s="227" t="str">
        <f t="shared" si="99"/>
        <v xml:space="preserve">Газосепаратор V-207/1 </v>
      </c>
      <c r="O98" s="227" t="str">
        <f t="shared" si="100"/>
        <v>Частичное-пожар-вспышка</v>
      </c>
      <c r="P98" s="227" t="s">
        <v>83</v>
      </c>
      <c r="Q98" s="227" t="s">
        <v>83</v>
      </c>
      <c r="R98" s="227" t="s">
        <v>83</v>
      </c>
      <c r="S98" s="227" t="s">
        <v>83</v>
      </c>
      <c r="T98" s="227" t="s">
        <v>83</v>
      </c>
      <c r="U98" s="227" t="s">
        <v>83</v>
      </c>
      <c r="V98" s="227" t="s">
        <v>83</v>
      </c>
      <c r="W98" s="227" t="s">
        <v>83</v>
      </c>
      <c r="X98" s="227" t="s">
        <v>83</v>
      </c>
      <c r="Y98" s="227" t="s">
        <v>83</v>
      </c>
      <c r="Z98" s="227" t="s">
        <v>83</v>
      </c>
      <c r="AA98" s="227">
        <v>10.95</v>
      </c>
      <c r="AB98" s="227">
        <v>13.14</v>
      </c>
      <c r="AC98" s="227" t="s">
        <v>83</v>
      </c>
      <c r="AD98" s="227" t="s">
        <v>83</v>
      </c>
      <c r="AE98" s="227" t="s">
        <v>83</v>
      </c>
      <c r="AF98" s="227" t="s">
        <v>83</v>
      </c>
      <c r="AG98" s="227" t="s">
        <v>83</v>
      </c>
      <c r="AH98" s="227" t="s">
        <v>83</v>
      </c>
      <c r="AI98" s="227" t="s">
        <v>83</v>
      </c>
      <c r="AJ98" s="227">
        <v>1</v>
      </c>
      <c r="AK98" s="227">
        <v>1</v>
      </c>
      <c r="AL98" s="227">
        <f>0.1*$AL95</f>
        <v>2.7999999999999997E-2</v>
      </c>
      <c r="AM98" s="227">
        <f>AM92</f>
        <v>2.5000000000000001E-2</v>
      </c>
      <c r="AN98" s="227">
        <f>ROUNDUP(AN92/3,0)</f>
        <v>2</v>
      </c>
      <c r="AQ98" s="230">
        <f>AM98*I98+AL98</f>
        <v>2.8843749999999998E-2</v>
      </c>
      <c r="AR98" s="230">
        <f t="shared" si="104"/>
        <v>2.8843749999999998E-3</v>
      </c>
      <c r="AS98" s="231">
        <f t="shared" si="105"/>
        <v>3.25</v>
      </c>
      <c r="AT98" s="231">
        <f t="shared" si="106"/>
        <v>0.82043203124999997</v>
      </c>
      <c r="AU98" s="230">
        <f>10068.2*J98*POWER(10,-6)</f>
        <v>3.3980174999999997E-4</v>
      </c>
      <c r="AV98" s="231">
        <f t="shared" si="101"/>
        <v>4.1024999580000001</v>
      </c>
      <c r="AW98" s="232">
        <f t="shared" si="107"/>
        <v>1.5200000000000003E-6</v>
      </c>
      <c r="AX98" s="232">
        <f t="shared" si="108"/>
        <v>1.5200000000000003E-6</v>
      </c>
      <c r="AY98" s="232">
        <f t="shared" si="102"/>
        <v>6.2357999361600014E-6</v>
      </c>
      <c r="AZ98" s="227">
        <v>1</v>
      </c>
      <c r="BA98" s="227">
        <v>1</v>
      </c>
    </row>
    <row r="99" spans="1:53" s="227" customFormat="1" ht="15" thickBot="1" x14ac:dyDescent="0.35">
      <c r="A99" s="218" t="s">
        <v>211</v>
      </c>
      <c r="B99" s="218" t="str">
        <f>B92</f>
        <v xml:space="preserve">Газосепаратор V-207/1 </v>
      </c>
      <c r="C99" s="53" t="s">
        <v>217</v>
      </c>
      <c r="D99" s="220" t="s">
        <v>61</v>
      </c>
      <c r="E99" s="233">
        <f>E96</f>
        <v>1.0000000000000001E-5</v>
      </c>
      <c r="F99" s="234">
        <f t="shared" si="109"/>
        <v>1</v>
      </c>
      <c r="G99" s="218">
        <v>0.6080000000000001</v>
      </c>
      <c r="H99" s="222">
        <f t="shared" si="103"/>
        <v>6.0800000000000011E-6</v>
      </c>
      <c r="I99" s="235">
        <f>I95*0.15</f>
        <v>3.3749999999999995E-2</v>
      </c>
      <c r="J99" s="224">
        <v>0</v>
      </c>
      <c r="K99" s="241"/>
      <c r="L99" s="242"/>
      <c r="M99" s="227" t="str">
        <f t="shared" si="99"/>
        <v>С8</v>
      </c>
      <c r="N99" s="227" t="str">
        <f t="shared" si="99"/>
        <v xml:space="preserve">Газосепаратор V-207/1 </v>
      </c>
      <c r="O99" s="227" t="str">
        <f t="shared" si="100"/>
        <v>Частичное-ликвидация</v>
      </c>
      <c r="P99" s="227" t="s">
        <v>83</v>
      </c>
      <c r="Q99" s="227" t="s">
        <v>83</v>
      </c>
      <c r="R99" s="227" t="s">
        <v>83</v>
      </c>
      <c r="S99" s="227" t="s">
        <v>83</v>
      </c>
      <c r="T99" s="227" t="s">
        <v>83</v>
      </c>
      <c r="U99" s="227" t="s">
        <v>83</v>
      </c>
      <c r="V99" s="227" t="s">
        <v>83</v>
      </c>
      <c r="W99" s="227" t="s">
        <v>83</v>
      </c>
      <c r="X99" s="227" t="s">
        <v>83</v>
      </c>
      <c r="Y99" s="227" t="s">
        <v>83</v>
      </c>
      <c r="Z99" s="227" t="s">
        <v>83</v>
      </c>
      <c r="AA99" s="227" t="s">
        <v>83</v>
      </c>
      <c r="AB99" s="227" t="s">
        <v>83</v>
      </c>
      <c r="AC99" s="227" t="s">
        <v>83</v>
      </c>
      <c r="AD99" s="227" t="s">
        <v>83</v>
      </c>
      <c r="AE99" s="227" t="s">
        <v>83</v>
      </c>
      <c r="AF99" s="227" t="s">
        <v>83</v>
      </c>
      <c r="AG99" s="227" t="s">
        <v>83</v>
      </c>
      <c r="AH99" s="227" t="s">
        <v>83</v>
      </c>
      <c r="AI99" s="227" t="s">
        <v>83</v>
      </c>
      <c r="AJ99" s="227">
        <v>0</v>
      </c>
      <c r="AK99" s="227">
        <v>0</v>
      </c>
      <c r="AL99" s="227">
        <f>0.1*$AL96</f>
        <v>2.7999999999999997E-2</v>
      </c>
      <c r="AM99" s="227">
        <f>AM92</f>
        <v>2.5000000000000001E-2</v>
      </c>
      <c r="AN99" s="227">
        <f>ROUNDUP(AN92/3,0)</f>
        <v>2</v>
      </c>
      <c r="AQ99" s="230">
        <f>AM99*I99*0.1+AL99</f>
        <v>2.8084374999999998E-2</v>
      </c>
      <c r="AR99" s="230">
        <f t="shared" si="104"/>
        <v>2.8084375000000002E-3</v>
      </c>
      <c r="AS99" s="231">
        <f t="shared" si="105"/>
        <v>0</v>
      </c>
      <c r="AT99" s="231">
        <f t="shared" si="106"/>
        <v>7.7232031249999996E-3</v>
      </c>
      <c r="AU99" s="230">
        <f>1333*J97*POWER(10,-6)</f>
        <v>4.4988749999999995E-5</v>
      </c>
      <c r="AV99" s="231">
        <f t="shared" si="101"/>
        <v>3.8661004375000002E-2</v>
      </c>
      <c r="AW99" s="232">
        <f t="shared" si="107"/>
        <v>0</v>
      </c>
      <c r="AX99" s="232">
        <f t="shared" si="108"/>
        <v>0</v>
      </c>
      <c r="AY99" s="232">
        <f t="shared" si="102"/>
        <v>2.3505890660000007E-7</v>
      </c>
      <c r="AZ99" s="227">
        <v>1</v>
      </c>
      <c r="BA99" s="227">
        <v>1</v>
      </c>
    </row>
    <row r="100" spans="1:53" s="227" customFormat="1" x14ac:dyDescent="0.3">
      <c r="A100" s="281" t="s">
        <v>240</v>
      </c>
      <c r="B100" s="281" t="str">
        <f>B92</f>
        <v xml:space="preserve">Газосепаратор V-207/1 </v>
      </c>
      <c r="C100" s="281" t="s">
        <v>302</v>
      </c>
      <c r="D100" s="281" t="s">
        <v>303</v>
      </c>
      <c r="E100" s="282">
        <v>2.5000000000000001E-5</v>
      </c>
      <c r="F100" s="234">
        <f t="shared" si="109"/>
        <v>1</v>
      </c>
      <c r="G100" s="281">
        <v>1</v>
      </c>
      <c r="H100" s="283">
        <f t="shared" si="103"/>
        <v>2.5000000000000001E-5</v>
      </c>
      <c r="I100" s="284">
        <f>I92</f>
        <v>1.5</v>
      </c>
      <c r="J100" s="284">
        <f>I100*0.07</f>
        <v>0.10500000000000001</v>
      </c>
      <c r="K100" s="281"/>
      <c r="L100" s="281"/>
      <c r="M100" s="285" t="str">
        <f t="shared" si="99"/>
        <v>С9</v>
      </c>
      <c r="N100" s="285"/>
      <c r="O100" s="285"/>
      <c r="P100" s="285">
        <v>9.3000000000000007</v>
      </c>
      <c r="Q100" s="285">
        <v>11.4</v>
      </c>
      <c r="R100" s="285">
        <v>14.4</v>
      </c>
      <c r="S100" s="285">
        <v>23.4</v>
      </c>
      <c r="T100" s="285" t="s">
        <v>83</v>
      </c>
      <c r="U100" s="285" t="s">
        <v>83</v>
      </c>
      <c r="V100" s="285" t="s">
        <v>83</v>
      </c>
      <c r="W100" s="285" t="s">
        <v>83</v>
      </c>
      <c r="X100" s="285" t="s">
        <v>83</v>
      </c>
      <c r="Y100" s="285" t="s">
        <v>83</v>
      </c>
      <c r="Z100" s="285" t="s">
        <v>83</v>
      </c>
      <c r="AA100" s="285" t="s">
        <v>83</v>
      </c>
      <c r="AB100" s="285" t="s">
        <v>83</v>
      </c>
      <c r="AC100" s="285" t="s">
        <v>83</v>
      </c>
      <c r="AD100" s="285" t="s">
        <v>83</v>
      </c>
      <c r="AE100" s="285">
        <v>1</v>
      </c>
      <c r="AF100" s="285">
        <v>3.5</v>
      </c>
      <c r="AG100" s="285">
        <v>13.5</v>
      </c>
      <c r="AH100" s="285">
        <v>24</v>
      </c>
      <c r="AI100" s="227" t="s">
        <v>83</v>
      </c>
      <c r="AJ100" s="285">
        <v>1</v>
      </c>
      <c r="AK100" s="285">
        <v>4</v>
      </c>
      <c r="AL100" s="285">
        <f>AL92</f>
        <v>2.8</v>
      </c>
      <c r="AM100" s="285">
        <f>AM92</f>
        <v>2.5000000000000001E-2</v>
      </c>
      <c r="AN100" s="285">
        <v>5</v>
      </c>
      <c r="AO100" s="285"/>
      <c r="AP100" s="285"/>
      <c r="AQ100" s="286">
        <f>AM100*I100+AL100</f>
        <v>2.8374999999999999</v>
      </c>
      <c r="AR100" s="286">
        <f>0.1*AQ100</f>
        <v>0.28375</v>
      </c>
      <c r="AS100" s="287">
        <f>AJ100*3+0.25*AK100</f>
        <v>4</v>
      </c>
      <c r="AT100" s="287">
        <f>SUM(AQ100:AS100)/4</f>
        <v>1.7803125</v>
      </c>
      <c r="AU100" s="286">
        <f>10068.2*J100*POWER(10,-6)</f>
        <v>1.0571610000000003E-3</v>
      </c>
      <c r="AV100" s="287">
        <f t="shared" si="101"/>
        <v>8.902619661000001</v>
      </c>
      <c r="AW100" s="288">
        <f>AJ100*H100</f>
        <v>2.5000000000000001E-5</v>
      </c>
      <c r="AX100" s="288">
        <f>H100*AK100</f>
        <v>1E-4</v>
      </c>
      <c r="AY100" s="288">
        <f t="shared" si="102"/>
        <v>2.2256549152500004E-4</v>
      </c>
      <c r="AZ100" s="227">
        <v>1</v>
      </c>
      <c r="BA100" s="227">
        <v>1</v>
      </c>
    </row>
    <row r="101" spans="1:53" ht="15" thickBot="1" x14ac:dyDescent="0.35"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Z101" s="227">
        <v>1</v>
      </c>
      <c r="BA101" s="227">
        <v>1</v>
      </c>
    </row>
    <row r="102" spans="1:53" s="227" customFormat="1" ht="18" customHeight="1" x14ac:dyDescent="0.3">
      <c r="A102" s="218" t="s">
        <v>18</v>
      </c>
      <c r="B102" s="310" t="s">
        <v>425</v>
      </c>
      <c r="C102" s="53" t="s">
        <v>300</v>
      </c>
      <c r="D102" s="220" t="s">
        <v>301</v>
      </c>
      <c r="E102" s="221">
        <v>9.9999999999999995E-7</v>
      </c>
      <c r="F102" s="219">
        <v>1</v>
      </c>
      <c r="G102" s="218">
        <v>0.05</v>
      </c>
      <c r="H102" s="222">
        <f>E102*F102*G102</f>
        <v>4.9999999999999998E-8</v>
      </c>
      <c r="I102" s="223">
        <v>6.35</v>
      </c>
      <c r="J102" s="224">
        <f>0.03*I102</f>
        <v>0.19049999999999997</v>
      </c>
      <c r="K102" s="225" t="s">
        <v>175</v>
      </c>
      <c r="L102" s="226">
        <v>6</v>
      </c>
      <c r="M102" s="227" t="str">
        <f t="shared" ref="M102:N110" si="110">A102</f>
        <v>С1</v>
      </c>
      <c r="N102" s="227" t="str">
        <f t="shared" si="110"/>
        <v xml:space="preserve">Испаритель И-206/1-А </v>
      </c>
      <c r="O102" s="227" t="str">
        <f t="shared" ref="O102:O109" si="111">D102</f>
        <v>Полное-огенный шар</v>
      </c>
      <c r="P102" s="227" t="s">
        <v>83</v>
      </c>
      <c r="Q102" s="227" t="s">
        <v>83</v>
      </c>
      <c r="R102" s="227" t="s">
        <v>83</v>
      </c>
      <c r="S102" s="227" t="s">
        <v>83</v>
      </c>
      <c r="T102" s="227" t="s">
        <v>83</v>
      </c>
      <c r="U102" s="227" t="s">
        <v>83</v>
      </c>
      <c r="V102" s="227" t="s">
        <v>83</v>
      </c>
      <c r="W102" s="227" t="s">
        <v>83</v>
      </c>
      <c r="X102" s="227" t="s">
        <v>83</v>
      </c>
      <c r="Y102" s="227" t="s">
        <v>83</v>
      </c>
      <c r="Z102" s="227" t="s">
        <v>83</v>
      </c>
      <c r="AA102" s="227" t="s">
        <v>83</v>
      </c>
      <c r="AB102" s="227" t="s">
        <v>83</v>
      </c>
      <c r="AC102" s="227" t="s">
        <v>83</v>
      </c>
      <c r="AD102" s="227" t="s">
        <v>83</v>
      </c>
      <c r="AE102" s="227">
        <v>1</v>
      </c>
      <c r="AF102" s="227">
        <v>11.5</v>
      </c>
      <c r="AG102" s="227">
        <v>20.5</v>
      </c>
      <c r="AH102" s="227">
        <v>32.5</v>
      </c>
      <c r="AI102" s="227" t="s">
        <v>83</v>
      </c>
      <c r="AJ102" s="228">
        <v>2</v>
      </c>
      <c r="AK102" s="228">
        <v>4</v>
      </c>
      <c r="AL102" s="229">
        <v>2.5</v>
      </c>
      <c r="AM102" s="229">
        <v>2.5000000000000001E-2</v>
      </c>
      <c r="AN102" s="229">
        <v>5</v>
      </c>
      <c r="AQ102" s="230">
        <f>AM102*I102+AL102</f>
        <v>2.6587499999999999</v>
      </c>
      <c r="AR102" s="230">
        <f>0.1*AQ102</f>
        <v>0.26587500000000003</v>
      </c>
      <c r="AS102" s="231">
        <f>AJ102*3+0.25*AK102</f>
        <v>7</v>
      </c>
      <c r="AT102" s="231">
        <f>SUM(AQ102:AS102)/4</f>
        <v>2.4811562499999997</v>
      </c>
      <c r="AU102" s="230">
        <f>10068.2*J102*POWER(10,-6)</f>
        <v>1.9179920999999999E-3</v>
      </c>
      <c r="AV102" s="231">
        <f t="shared" ref="AV102:AV110" si="112">AU102+AT102+AS102+AR102+AQ102</f>
        <v>12.407699242099998</v>
      </c>
      <c r="AW102" s="232">
        <f>AJ102*H102</f>
        <v>9.9999999999999995E-8</v>
      </c>
      <c r="AX102" s="232">
        <f>H102*AK102</f>
        <v>1.9999999999999999E-7</v>
      </c>
      <c r="AY102" s="232">
        <f t="shared" ref="AY102:AY110" si="113">H102*AV102</f>
        <v>6.203849621049999E-7</v>
      </c>
      <c r="AZ102" s="227">
        <v>1</v>
      </c>
      <c r="BA102" s="227">
        <v>1</v>
      </c>
    </row>
    <row r="103" spans="1:53" s="305" customFormat="1" x14ac:dyDescent="0.3">
      <c r="A103" s="295" t="s">
        <v>19</v>
      </c>
      <c r="B103" s="295" t="str">
        <f>B102</f>
        <v xml:space="preserve">Испаритель И-206/1-А </v>
      </c>
      <c r="C103" s="296" t="s">
        <v>202</v>
      </c>
      <c r="D103" s="297" t="s">
        <v>62</v>
      </c>
      <c r="E103" s="298">
        <f>E102</f>
        <v>9.9999999999999995E-7</v>
      </c>
      <c r="F103" s="299">
        <f>F102</f>
        <v>1</v>
      </c>
      <c r="G103" s="295">
        <v>0.19</v>
      </c>
      <c r="H103" s="300">
        <f t="shared" ref="H103:H110" si="114">E103*F103*G103</f>
        <v>1.8999999999999998E-7</v>
      </c>
      <c r="I103" s="301">
        <f>I102</f>
        <v>6.35</v>
      </c>
      <c r="J103" s="302">
        <v>1.51</v>
      </c>
      <c r="K103" s="303" t="s">
        <v>176</v>
      </c>
      <c r="L103" s="304">
        <v>1</v>
      </c>
      <c r="M103" s="305" t="str">
        <f t="shared" si="110"/>
        <v>С2</v>
      </c>
      <c r="N103" s="305" t="str">
        <f t="shared" si="110"/>
        <v xml:space="preserve">Испаритель И-206/1-А </v>
      </c>
      <c r="O103" s="305" t="str">
        <f t="shared" si="111"/>
        <v>Полное-взрыв</v>
      </c>
      <c r="P103" s="305" t="s">
        <v>83</v>
      </c>
      <c r="Q103" s="305" t="s">
        <v>83</v>
      </c>
      <c r="R103" s="305" t="s">
        <v>83</v>
      </c>
      <c r="S103" s="305" t="s">
        <v>83</v>
      </c>
      <c r="T103" s="305">
        <v>0</v>
      </c>
      <c r="U103" s="305">
        <v>73.599999999999994</v>
      </c>
      <c r="V103" s="305">
        <v>176.1</v>
      </c>
      <c r="W103" s="305">
        <v>531.6</v>
      </c>
      <c r="X103" s="305">
        <v>1356.1</v>
      </c>
      <c r="Y103" s="305" t="s">
        <v>83</v>
      </c>
      <c r="Z103" s="305" t="s">
        <v>83</v>
      </c>
      <c r="AA103" s="305" t="s">
        <v>83</v>
      </c>
      <c r="AB103" s="305" t="s">
        <v>83</v>
      </c>
      <c r="AC103" s="305" t="s">
        <v>83</v>
      </c>
      <c r="AD103" s="305" t="s">
        <v>83</v>
      </c>
      <c r="AE103" s="305" t="s">
        <v>83</v>
      </c>
      <c r="AF103" s="305" t="s">
        <v>83</v>
      </c>
      <c r="AG103" s="305" t="s">
        <v>83</v>
      </c>
      <c r="AH103" s="305" t="s">
        <v>83</v>
      </c>
      <c r="AI103" s="305" t="s">
        <v>83</v>
      </c>
      <c r="AJ103" s="306">
        <v>4</v>
      </c>
      <c r="AK103" s="306">
        <v>5</v>
      </c>
      <c r="AL103" s="305">
        <f>AL102</f>
        <v>2.5</v>
      </c>
      <c r="AM103" s="305">
        <f>AM102</f>
        <v>2.5000000000000001E-2</v>
      </c>
      <c r="AN103" s="305">
        <f>AN102</f>
        <v>5</v>
      </c>
      <c r="AQ103" s="307">
        <f>AM103*I103+AL103</f>
        <v>2.6587499999999999</v>
      </c>
      <c r="AR103" s="307">
        <f t="shared" ref="AR103:AR109" si="115">0.1*AQ103</f>
        <v>0.26587500000000003</v>
      </c>
      <c r="AS103" s="308">
        <f t="shared" ref="AS103:AS109" si="116">AJ103*3+0.25*AK103</f>
        <v>13.25</v>
      </c>
      <c r="AT103" s="308">
        <f t="shared" ref="AT103:AT109" si="117">SUM(AQ103:AS103)/4</f>
        <v>4.0436562499999997</v>
      </c>
      <c r="AU103" s="307">
        <f>10068.2*J103*POWER(10,-6)*10</f>
        <v>0.15202982000000001</v>
      </c>
      <c r="AV103" s="308">
        <f t="shared" si="112"/>
        <v>20.370311070000003</v>
      </c>
      <c r="AW103" s="309">
        <f t="shared" ref="AW103:AW109" si="118">AJ103*H103</f>
        <v>7.5999999999999992E-7</v>
      </c>
      <c r="AX103" s="309">
        <f t="shared" ref="AX103:AX109" si="119">H103*AK103</f>
        <v>9.499999999999999E-7</v>
      </c>
      <c r="AY103" s="309">
        <f t="shared" si="113"/>
        <v>3.8703591033000002E-6</v>
      </c>
      <c r="AZ103" s="305">
        <v>1</v>
      </c>
      <c r="BA103" s="305">
        <v>1</v>
      </c>
    </row>
    <row r="104" spans="1:53" s="227" customFormat="1" x14ac:dyDescent="0.3">
      <c r="A104" s="218" t="s">
        <v>20</v>
      </c>
      <c r="B104" s="218" t="str">
        <f>B102</f>
        <v xml:space="preserve">Испаритель И-206/1-А </v>
      </c>
      <c r="C104" s="53" t="s">
        <v>241</v>
      </c>
      <c r="D104" s="220" t="s">
        <v>60</v>
      </c>
      <c r="E104" s="233">
        <f>E102</f>
        <v>9.9999999999999995E-7</v>
      </c>
      <c r="F104" s="234">
        <f t="shared" ref="F104:F110" si="120">F103</f>
        <v>1</v>
      </c>
      <c r="G104" s="218">
        <v>0.76</v>
      </c>
      <c r="H104" s="222">
        <f t="shared" si="114"/>
        <v>7.5999999999999992E-7</v>
      </c>
      <c r="I104" s="235">
        <f>I102</f>
        <v>6.35</v>
      </c>
      <c r="J104" s="224">
        <v>0</v>
      </c>
      <c r="K104" s="236" t="s">
        <v>177</v>
      </c>
      <c r="L104" s="237">
        <v>3</v>
      </c>
      <c r="M104" s="227" t="str">
        <f t="shared" si="110"/>
        <v>С3</v>
      </c>
      <c r="N104" s="227" t="str">
        <f t="shared" si="110"/>
        <v xml:space="preserve">Испаритель И-206/1-А </v>
      </c>
      <c r="O104" s="227" t="str">
        <f t="shared" si="111"/>
        <v>Полное-ликвидация</v>
      </c>
      <c r="P104" s="227" t="s">
        <v>83</v>
      </c>
      <c r="Q104" s="227" t="s">
        <v>83</v>
      </c>
      <c r="R104" s="227" t="s">
        <v>83</v>
      </c>
      <c r="S104" s="227" t="s">
        <v>83</v>
      </c>
      <c r="T104" s="227" t="s">
        <v>83</v>
      </c>
      <c r="U104" s="227" t="s">
        <v>83</v>
      </c>
      <c r="V104" s="227" t="s">
        <v>83</v>
      </c>
      <c r="W104" s="227" t="s">
        <v>83</v>
      </c>
      <c r="X104" s="227" t="s">
        <v>83</v>
      </c>
      <c r="Y104" s="227" t="s">
        <v>83</v>
      </c>
      <c r="Z104" s="227" t="s">
        <v>83</v>
      </c>
      <c r="AA104" s="227" t="s">
        <v>83</v>
      </c>
      <c r="AB104" s="227" t="s">
        <v>83</v>
      </c>
      <c r="AC104" s="227" t="s">
        <v>83</v>
      </c>
      <c r="AD104" s="227" t="s">
        <v>83</v>
      </c>
      <c r="AE104" s="227" t="s">
        <v>83</v>
      </c>
      <c r="AF104" s="227" t="s">
        <v>83</v>
      </c>
      <c r="AG104" s="227" t="s">
        <v>83</v>
      </c>
      <c r="AH104" s="227" t="s">
        <v>83</v>
      </c>
      <c r="AI104" s="227" t="s">
        <v>83</v>
      </c>
      <c r="AJ104" s="227">
        <v>0</v>
      </c>
      <c r="AK104" s="227">
        <v>0</v>
      </c>
      <c r="AL104" s="227">
        <f>AL102</f>
        <v>2.5</v>
      </c>
      <c r="AM104" s="227">
        <f>AM102</f>
        <v>2.5000000000000001E-2</v>
      </c>
      <c r="AN104" s="227">
        <f>AN102</f>
        <v>5</v>
      </c>
      <c r="AQ104" s="230">
        <f>AM104*I104*0.1+AL104</f>
        <v>2.5158749999999999</v>
      </c>
      <c r="AR104" s="230">
        <f t="shared" si="115"/>
        <v>0.25158750000000002</v>
      </c>
      <c r="AS104" s="231">
        <f t="shared" si="116"/>
        <v>0</v>
      </c>
      <c r="AT104" s="231">
        <f t="shared" si="117"/>
        <v>0.69186562499999993</v>
      </c>
      <c r="AU104" s="230">
        <f>1333*J102*POWER(10,-6)</f>
        <v>2.5393649999999997E-4</v>
      </c>
      <c r="AV104" s="231">
        <f t="shared" si="112"/>
        <v>3.4595820614999999</v>
      </c>
      <c r="AW104" s="232">
        <f t="shared" si="118"/>
        <v>0</v>
      </c>
      <c r="AX104" s="232">
        <f t="shared" si="119"/>
        <v>0</v>
      </c>
      <c r="AY104" s="232">
        <f t="shared" si="113"/>
        <v>2.6292823667399995E-6</v>
      </c>
      <c r="AZ104" s="227">
        <v>1</v>
      </c>
      <c r="BA104" s="227">
        <v>1</v>
      </c>
    </row>
    <row r="105" spans="1:53" s="227" customFormat="1" x14ac:dyDescent="0.3">
      <c r="A105" s="218" t="s">
        <v>21</v>
      </c>
      <c r="B105" s="218" t="str">
        <f>B102</f>
        <v xml:space="preserve">Испаритель И-206/1-А </v>
      </c>
      <c r="C105" s="53" t="s">
        <v>213</v>
      </c>
      <c r="D105" s="220" t="s">
        <v>214</v>
      </c>
      <c r="E105" s="221">
        <v>1.0000000000000001E-5</v>
      </c>
      <c r="F105" s="234">
        <f t="shared" si="120"/>
        <v>1</v>
      </c>
      <c r="G105" s="218">
        <v>4.0000000000000008E-2</v>
      </c>
      <c r="H105" s="222">
        <f t="shared" si="114"/>
        <v>4.0000000000000009E-7</v>
      </c>
      <c r="I105" s="235">
        <f>0.15*I102</f>
        <v>0.9524999999999999</v>
      </c>
      <c r="J105" s="224">
        <f>I105</f>
        <v>0.9524999999999999</v>
      </c>
      <c r="K105" s="236" t="s">
        <v>179</v>
      </c>
      <c r="L105" s="237">
        <v>45390</v>
      </c>
      <c r="M105" s="227" t="str">
        <f t="shared" si="110"/>
        <v>С4</v>
      </c>
      <c r="N105" s="227" t="str">
        <f t="shared" si="110"/>
        <v xml:space="preserve">Испаритель И-206/1-А </v>
      </c>
      <c r="O105" s="227" t="str">
        <f t="shared" si="111"/>
        <v>Частичное факел</v>
      </c>
      <c r="P105" s="227" t="s">
        <v>83</v>
      </c>
      <c r="Q105" s="227" t="s">
        <v>83</v>
      </c>
      <c r="R105" s="227" t="s">
        <v>83</v>
      </c>
      <c r="S105" s="227" t="s">
        <v>83</v>
      </c>
      <c r="T105" s="227" t="s">
        <v>83</v>
      </c>
      <c r="U105" s="227" t="s">
        <v>83</v>
      </c>
      <c r="V105" s="227" t="s">
        <v>83</v>
      </c>
      <c r="W105" s="227" t="s">
        <v>83</v>
      </c>
      <c r="X105" s="227" t="s">
        <v>83</v>
      </c>
      <c r="Y105" s="227">
        <v>23</v>
      </c>
      <c r="Z105" s="227">
        <v>4</v>
      </c>
      <c r="AA105" s="227" t="s">
        <v>83</v>
      </c>
      <c r="AB105" s="227" t="s">
        <v>83</v>
      </c>
      <c r="AC105" s="227" t="s">
        <v>83</v>
      </c>
      <c r="AD105" s="227" t="s">
        <v>83</v>
      </c>
      <c r="AE105" s="227" t="s">
        <v>83</v>
      </c>
      <c r="AF105" s="227" t="s">
        <v>83</v>
      </c>
      <c r="AG105" s="227" t="s">
        <v>83</v>
      </c>
      <c r="AH105" s="227" t="s">
        <v>83</v>
      </c>
      <c r="AI105" s="227" t="s">
        <v>83</v>
      </c>
      <c r="AJ105" s="227">
        <v>2</v>
      </c>
      <c r="AK105" s="227">
        <v>1</v>
      </c>
      <c r="AL105" s="227">
        <f>0.1*$AL102</f>
        <v>0.25</v>
      </c>
      <c r="AM105" s="227">
        <f>AM103</f>
        <v>2.5000000000000001E-2</v>
      </c>
      <c r="AN105" s="227">
        <f>AN102</f>
        <v>5</v>
      </c>
      <c r="AQ105" s="230">
        <f>AM105*I105*0.1+AL105</f>
        <v>0.25238125</v>
      </c>
      <c r="AR105" s="230">
        <f t="shared" si="115"/>
        <v>2.5238125E-2</v>
      </c>
      <c r="AS105" s="231">
        <f t="shared" si="116"/>
        <v>6.25</v>
      </c>
      <c r="AT105" s="231">
        <f t="shared" si="117"/>
        <v>1.6319048437500001</v>
      </c>
      <c r="AU105" s="230">
        <f>10068.2*J105*POWER(10,-6)</f>
        <v>9.5899604999999995E-3</v>
      </c>
      <c r="AV105" s="231">
        <f t="shared" si="112"/>
        <v>8.1691141792499984</v>
      </c>
      <c r="AW105" s="232">
        <f t="shared" si="118"/>
        <v>8.0000000000000018E-7</v>
      </c>
      <c r="AX105" s="232">
        <f t="shared" si="119"/>
        <v>4.0000000000000009E-7</v>
      </c>
      <c r="AY105" s="232">
        <f t="shared" si="113"/>
        <v>3.2676456716999999E-6</v>
      </c>
      <c r="AZ105" s="227">
        <v>1</v>
      </c>
      <c r="BA105" s="227">
        <v>1</v>
      </c>
    </row>
    <row r="106" spans="1:53" s="227" customFormat="1" x14ac:dyDescent="0.3">
      <c r="A106" s="218" t="s">
        <v>22</v>
      </c>
      <c r="B106" s="218" t="str">
        <f>B102</f>
        <v xml:space="preserve">Испаритель И-206/1-А </v>
      </c>
      <c r="C106" s="53" t="s">
        <v>242</v>
      </c>
      <c r="D106" s="220" t="s">
        <v>61</v>
      </c>
      <c r="E106" s="233">
        <f>E105</f>
        <v>1.0000000000000001E-5</v>
      </c>
      <c r="F106" s="234">
        <f t="shared" si="120"/>
        <v>1</v>
      </c>
      <c r="G106" s="218">
        <v>0.16000000000000003</v>
      </c>
      <c r="H106" s="222">
        <f t="shared" si="114"/>
        <v>1.6000000000000004E-6</v>
      </c>
      <c r="I106" s="235">
        <f>0.15*I102</f>
        <v>0.9524999999999999</v>
      </c>
      <c r="J106" s="224">
        <v>0</v>
      </c>
      <c r="K106" s="236" t="s">
        <v>180</v>
      </c>
      <c r="L106" s="237">
        <v>3</v>
      </c>
      <c r="M106" s="227" t="str">
        <f t="shared" si="110"/>
        <v>С5</v>
      </c>
      <c r="N106" s="227" t="str">
        <f t="shared" si="110"/>
        <v xml:space="preserve">Испаритель И-206/1-А </v>
      </c>
      <c r="O106" s="227" t="str">
        <f t="shared" si="111"/>
        <v>Частичное-ликвидация</v>
      </c>
      <c r="P106" s="227" t="s">
        <v>83</v>
      </c>
      <c r="Q106" s="227" t="s">
        <v>83</v>
      </c>
      <c r="R106" s="227" t="s">
        <v>83</v>
      </c>
      <c r="S106" s="227" t="s">
        <v>83</v>
      </c>
      <c r="T106" s="227" t="s">
        <v>83</v>
      </c>
      <c r="U106" s="227" t="s">
        <v>83</v>
      </c>
      <c r="V106" s="227" t="s">
        <v>83</v>
      </c>
      <c r="W106" s="227" t="s">
        <v>83</v>
      </c>
      <c r="X106" s="227" t="s">
        <v>83</v>
      </c>
      <c r="Y106" s="227" t="s">
        <v>83</v>
      </c>
      <c r="Z106" s="227" t="s">
        <v>83</v>
      </c>
      <c r="AA106" s="227" t="s">
        <v>83</v>
      </c>
      <c r="AB106" s="227" t="s">
        <v>83</v>
      </c>
      <c r="AC106" s="227" t="s">
        <v>83</v>
      </c>
      <c r="AD106" s="227" t="s">
        <v>83</v>
      </c>
      <c r="AE106" s="227" t="s">
        <v>83</v>
      </c>
      <c r="AF106" s="227" t="s">
        <v>83</v>
      </c>
      <c r="AG106" s="227" t="s">
        <v>83</v>
      </c>
      <c r="AH106" s="227" t="s">
        <v>83</v>
      </c>
      <c r="AI106" s="227" t="s">
        <v>83</v>
      </c>
      <c r="AJ106" s="227">
        <v>0</v>
      </c>
      <c r="AK106" s="227">
        <v>1</v>
      </c>
      <c r="AL106" s="227">
        <f>0.1*$AL103</f>
        <v>0.25</v>
      </c>
      <c r="AM106" s="227">
        <f>AM102</f>
        <v>2.5000000000000001E-2</v>
      </c>
      <c r="AN106" s="227">
        <f>ROUNDUP(AN102/3,0)</f>
        <v>2</v>
      </c>
      <c r="AQ106" s="230">
        <f>AM106*I106+AL106</f>
        <v>0.27381250000000001</v>
      </c>
      <c r="AR106" s="230">
        <f t="shared" si="115"/>
        <v>2.7381250000000003E-2</v>
      </c>
      <c r="AS106" s="231">
        <f t="shared" si="116"/>
        <v>0.25</v>
      </c>
      <c r="AT106" s="231">
        <f t="shared" si="117"/>
        <v>0.13779843750000001</v>
      </c>
      <c r="AU106" s="230">
        <f>1333*J103*POWER(10,-6)*10</f>
        <v>2.0128299999999998E-2</v>
      </c>
      <c r="AV106" s="231">
        <f t="shared" si="112"/>
        <v>0.70912048750000001</v>
      </c>
      <c r="AW106" s="232">
        <f t="shared" si="118"/>
        <v>0</v>
      </c>
      <c r="AX106" s="232">
        <f t="shared" si="119"/>
        <v>1.6000000000000004E-6</v>
      </c>
      <c r="AY106" s="232">
        <f t="shared" si="113"/>
        <v>1.1345927800000002E-6</v>
      </c>
      <c r="AZ106" s="227">
        <v>1</v>
      </c>
      <c r="BA106" s="227">
        <v>1</v>
      </c>
    </row>
    <row r="107" spans="1:53" s="227" customFormat="1" x14ac:dyDescent="0.3">
      <c r="A107" s="218" t="s">
        <v>23</v>
      </c>
      <c r="B107" s="218" t="str">
        <f>B102</f>
        <v xml:space="preserve">Испаритель И-206/1-А </v>
      </c>
      <c r="C107" s="53" t="s">
        <v>215</v>
      </c>
      <c r="D107" s="220" t="s">
        <v>214</v>
      </c>
      <c r="E107" s="233">
        <f>E106</f>
        <v>1.0000000000000001E-5</v>
      </c>
      <c r="F107" s="234">
        <f t="shared" si="120"/>
        <v>1</v>
      </c>
      <c r="G107" s="218">
        <v>4.0000000000000008E-2</v>
      </c>
      <c r="H107" s="222">
        <f t="shared" si="114"/>
        <v>4.0000000000000009E-7</v>
      </c>
      <c r="I107" s="235">
        <f>I105*0.15</f>
        <v>0.14287499999999997</v>
      </c>
      <c r="J107" s="224">
        <f>I107</f>
        <v>0.14287499999999997</v>
      </c>
      <c r="K107" s="239" t="s">
        <v>191</v>
      </c>
      <c r="L107" s="240">
        <v>21</v>
      </c>
      <c r="M107" s="227" t="str">
        <f t="shared" si="110"/>
        <v>С6</v>
      </c>
      <c r="N107" s="227" t="str">
        <f t="shared" si="110"/>
        <v xml:space="preserve">Испаритель И-206/1-А </v>
      </c>
      <c r="O107" s="227" t="str">
        <f t="shared" si="111"/>
        <v>Частичное факел</v>
      </c>
      <c r="P107" s="227" t="s">
        <v>83</v>
      </c>
      <c r="Q107" s="227" t="s">
        <v>83</v>
      </c>
      <c r="R107" s="227" t="s">
        <v>83</v>
      </c>
      <c r="S107" s="227" t="s">
        <v>83</v>
      </c>
      <c r="T107" s="227" t="s">
        <v>83</v>
      </c>
      <c r="U107" s="227" t="s">
        <v>83</v>
      </c>
      <c r="V107" s="227" t="s">
        <v>83</v>
      </c>
      <c r="W107" s="227" t="s">
        <v>83</v>
      </c>
      <c r="X107" s="227" t="s">
        <v>83</v>
      </c>
      <c r="Y107" s="227">
        <v>8</v>
      </c>
      <c r="Z107" s="227">
        <v>2</v>
      </c>
      <c r="AA107" s="227" t="s">
        <v>83</v>
      </c>
      <c r="AB107" s="227" t="s">
        <v>83</v>
      </c>
      <c r="AC107" s="227" t="s">
        <v>83</v>
      </c>
      <c r="AD107" s="227" t="s">
        <v>83</v>
      </c>
      <c r="AE107" s="227" t="s">
        <v>83</v>
      </c>
      <c r="AF107" s="227" t="s">
        <v>83</v>
      </c>
      <c r="AG107" s="227" t="s">
        <v>83</v>
      </c>
      <c r="AH107" s="227" t="s">
        <v>83</v>
      </c>
      <c r="AI107" s="227" t="s">
        <v>83</v>
      </c>
      <c r="AJ107" s="227">
        <v>2</v>
      </c>
      <c r="AK107" s="227">
        <v>1</v>
      </c>
      <c r="AL107" s="227">
        <f>0.1*$AL104</f>
        <v>0.25</v>
      </c>
      <c r="AM107" s="227">
        <f>AM102</f>
        <v>2.5000000000000001E-2</v>
      </c>
      <c r="AN107" s="227">
        <f>AN106</f>
        <v>2</v>
      </c>
      <c r="AQ107" s="230">
        <f>AM107*I107+AL107</f>
        <v>0.253571875</v>
      </c>
      <c r="AR107" s="230">
        <f t="shared" si="115"/>
        <v>2.5357187500000003E-2</v>
      </c>
      <c r="AS107" s="231">
        <f t="shared" si="116"/>
        <v>6.25</v>
      </c>
      <c r="AT107" s="231">
        <f t="shared" si="117"/>
        <v>1.6322322656249999</v>
      </c>
      <c r="AU107" s="230">
        <f>10068.2*J107*POWER(10,-6)</f>
        <v>1.4384940749999997E-3</v>
      </c>
      <c r="AV107" s="231">
        <f t="shared" si="112"/>
        <v>8.1625998222000007</v>
      </c>
      <c r="AW107" s="232">
        <f t="shared" si="118"/>
        <v>8.0000000000000018E-7</v>
      </c>
      <c r="AX107" s="232">
        <f t="shared" si="119"/>
        <v>4.0000000000000009E-7</v>
      </c>
      <c r="AY107" s="232">
        <f t="shared" si="113"/>
        <v>3.2650399288800008E-6</v>
      </c>
      <c r="AZ107" s="227">
        <v>1</v>
      </c>
      <c r="BA107" s="227">
        <v>1</v>
      </c>
    </row>
    <row r="108" spans="1:53" s="227" customFormat="1" x14ac:dyDescent="0.3">
      <c r="A108" s="218" t="s">
        <v>210</v>
      </c>
      <c r="B108" s="218" t="str">
        <f>B102</f>
        <v xml:space="preserve">Испаритель И-206/1-А </v>
      </c>
      <c r="C108" s="53" t="s">
        <v>216</v>
      </c>
      <c r="D108" s="220" t="s">
        <v>165</v>
      </c>
      <c r="E108" s="233">
        <f>E106</f>
        <v>1.0000000000000001E-5</v>
      </c>
      <c r="F108" s="234">
        <f t="shared" si="120"/>
        <v>1</v>
      </c>
      <c r="G108" s="218">
        <v>0.15200000000000002</v>
      </c>
      <c r="H108" s="222">
        <f t="shared" si="114"/>
        <v>1.5200000000000003E-6</v>
      </c>
      <c r="I108" s="235">
        <f>I105*0.15</f>
        <v>0.14287499999999997</v>
      </c>
      <c r="J108" s="224">
        <f>I108</f>
        <v>0.14287499999999997</v>
      </c>
      <c r="K108" s="236"/>
      <c r="L108" s="237"/>
      <c r="M108" s="227" t="str">
        <f t="shared" si="110"/>
        <v>С7</v>
      </c>
      <c r="N108" s="227" t="str">
        <f t="shared" si="110"/>
        <v xml:space="preserve">Испаритель И-206/1-А </v>
      </c>
      <c r="O108" s="227" t="str">
        <f t="shared" si="111"/>
        <v>Частичное-пожар-вспышка</v>
      </c>
      <c r="P108" s="227" t="s">
        <v>83</v>
      </c>
      <c r="Q108" s="227" t="s">
        <v>83</v>
      </c>
      <c r="R108" s="227" t="s">
        <v>83</v>
      </c>
      <c r="S108" s="227" t="s">
        <v>83</v>
      </c>
      <c r="T108" s="227" t="s">
        <v>83</v>
      </c>
      <c r="U108" s="227" t="s">
        <v>83</v>
      </c>
      <c r="V108" s="227" t="s">
        <v>83</v>
      </c>
      <c r="W108" s="227" t="s">
        <v>83</v>
      </c>
      <c r="X108" s="227" t="s">
        <v>83</v>
      </c>
      <c r="Y108" s="227" t="s">
        <v>83</v>
      </c>
      <c r="Z108" s="227" t="s">
        <v>83</v>
      </c>
      <c r="AA108" s="227">
        <v>17.64</v>
      </c>
      <c r="AB108" s="227">
        <v>21.17</v>
      </c>
      <c r="AC108" s="227" t="s">
        <v>83</v>
      </c>
      <c r="AD108" s="227" t="s">
        <v>83</v>
      </c>
      <c r="AE108" s="227" t="s">
        <v>83</v>
      </c>
      <c r="AF108" s="227" t="s">
        <v>83</v>
      </c>
      <c r="AG108" s="227" t="s">
        <v>83</v>
      </c>
      <c r="AH108" s="227" t="s">
        <v>83</v>
      </c>
      <c r="AI108" s="227" t="s">
        <v>83</v>
      </c>
      <c r="AJ108" s="227">
        <v>1</v>
      </c>
      <c r="AK108" s="227">
        <v>1</v>
      </c>
      <c r="AL108" s="227">
        <f>0.1*$AL105</f>
        <v>2.5000000000000001E-2</v>
      </c>
      <c r="AM108" s="227">
        <f>AM102</f>
        <v>2.5000000000000001E-2</v>
      </c>
      <c r="AN108" s="227">
        <f>ROUNDUP(AN102/3,0)</f>
        <v>2</v>
      </c>
      <c r="AQ108" s="230">
        <f>AM108*I108+AL108</f>
        <v>2.8571875E-2</v>
      </c>
      <c r="AR108" s="230">
        <f t="shared" si="115"/>
        <v>2.8571875000000004E-3</v>
      </c>
      <c r="AS108" s="231">
        <f t="shared" si="116"/>
        <v>3.25</v>
      </c>
      <c r="AT108" s="231">
        <f t="shared" si="117"/>
        <v>0.820357265625</v>
      </c>
      <c r="AU108" s="230">
        <f>10068.2*J108*POWER(10,-6)</f>
        <v>1.4384940749999997E-3</v>
      </c>
      <c r="AV108" s="231">
        <f t="shared" si="112"/>
        <v>4.1032248221999996</v>
      </c>
      <c r="AW108" s="232">
        <f t="shared" si="118"/>
        <v>1.5200000000000003E-6</v>
      </c>
      <c r="AX108" s="232">
        <f t="shared" si="119"/>
        <v>1.5200000000000003E-6</v>
      </c>
      <c r="AY108" s="232">
        <f t="shared" si="113"/>
        <v>6.2369017297440009E-6</v>
      </c>
      <c r="AZ108" s="227">
        <v>1</v>
      </c>
      <c r="BA108" s="227">
        <v>1</v>
      </c>
    </row>
    <row r="109" spans="1:53" s="227" customFormat="1" ht="15" thickBot="1" x14ac:dyDescent="0.35">
      <c r="A109" s="218" t="s">
        <v>211</v>
      </c>
      <c r="B109" s="218" t="str">
        <f>B102</f>
        <v xml:space="preserve">Испаритель И-206/1-А </v>
      </c>
      <c r="C109" s="53" t="s">
        <v>217</v>
      </c>
      <c r="D109" s="220" t="s">
        <v>61</v>
      </c>
      <c r="E109" s="233">
        <f>E106</f>
        <v>1.0000000000000001E-5</v>
      </c>
      <c r="F109" s="234">
        <f t="shared" si="120"/>
        <v>1</v>
      </c>
      <c r="G109" s="218">
        <v>0.6080000000000001</v>
      </c>
      <c r="H109" s="222">
        <f t="shared" si="114"/>
        <v>6.0800000000000011E-6</v>
      </c>
      <c r="I109" s="235">
        <f>I105*0.15</f>
        <v>0.14287499999999997</v>
      </c>
      <c r="J109" s="224">
        <v>0</v>
      </c>
      <c r="K109" s="241"/>
      <c r="L109" s="242"/>
      <c r="M109" s="227" t="str">
        <f t="shared" si="110"/>
        <v>С8</v>
      </c>
      <c r="N109" s="227" t="str">
        <f t="shared" si="110"/>
        <v xml:space="preserve">Испаритель И-206/1-А </v>
      </c>
      <c r="O109" s="227" t="str">
        <f t="shared" si="111"/>
        <v>Частичное-ликвидация</v>
      </c>
      <c r="P109" s="227" t="s">
        <v>83</v>
      </c>
      <c r="Q109" s="227" t="s">
        <v>83</v>
      </c>
      <c r="R109" s="227" t="s">
        <v>83</v>
      </c>
      <c r="S109" s="227" t="s">
        <v>83</v>
      </c>
      <c r="T109" s="227" t="s">
        <v>83</v>
      </c>
      <c r="U109" s="227" t="s">
        <v>83</v>
      </c>
      <c r="V109" s="227" t="s">
        <v>83</v>
      </c>
      <c r="W109" s="227" t="s">
        <v>83</v>
      </c>
      <c r="X109" s="227" t="s">
        <v>83</v>
      </c>
      <c r="Y109" s="227" t="s">
        <v>83</v>
      </c>
      <c r="Z109" s="227" t="s">
        <v>83</v>
      </c>
      <c r="AA109" s="227" t="s">
        <v>83</v>
      </c>
      <c r="AB109" s="227" t="s">
        <v>83</v>
      </c>
      <c r="AC109" s="227" t="s">
        <v>83</v>
      </c>
      <c r="AD109" s="227" t="s">
        <v>83</v>
      </c>
      <c r="AE109" s="227" t="s">
        <v>83</v>
      </c>
      <c r="AF109" s="227" t="s">
        <v>83</v>
      </c>
      <c r="AG109" s="227" t="s">
        <v>83</v>
      </c>
      <c r="AH109" s="227" t="s">
        <v>83</v>
      </c>
      <c r="AI109" s="227" t="s">
        <v>83</v>
      </c>
      <c r="AJ109" s="227">
        <v>0</v>
      </c>
      <c r="AK109" s="227">
        <v>0</v>
      </c>
      <c r="AL109" s="227">
        <f>0.1*$AL106</f>
        <v>2.5000000000000001E-2</v>
      </c>
      <c r="AM109" s="227">
        <f>AM102</f>
        <v>2.5000000000000001E-2</v>
      </c>
      <c r="AN109" s="227">
        <f>ROUNDUP(AN102/3,0)</f>
        <v>2</v>
      </c>
      <c r="AQ109" s="230">
        <f>AM109*I109*0.1+AL109</f>
        <v>2.5357187500000003E-2</v>
      </c>
      <c r="AR109" s="230">
        <f t="shared" si="115"/>
        <v>2.5357187500000006E-3</v>
      </c>
      <c r="AS109" s="231">
        <f t="shared" si="116"/>
        <v>0</v>
      </c>
      <c r="AT109" s="231">
        <f t="shared" si="117"/>
        <v>6.9732265625000005E-3</v>
      </c>
      <c r="AU109" s="230">
        <f>1333*J107*POWER(10,-6)</f>
        <v>1.9045237499999996E-4</v>
      </c>
      <c r="AV109" s="231">
        <f t="shared" si="112"/>
        <v>3.5056585187500003E-2</v>
      </c>
      <c r="AW109" s="232">
        <f t="shared" si="118"/>
        <v>0</v>
      </c>
      <c r="AX109" s="232">
        <f t="shared" si="119"/>
        <v>0</v>
      </c>
      <c r="AY109" s="232">
        <f t="shared" si="113"/>
        <v>2.1314403794000005E-7</v>
      </c>
      <c r="AZ109" s="227">
        <v>1</v>
      </c>
      <c r="BA109" s="227">
        <v>1</v>
      </c>
    </row>
    <row r="110" spans="1:53" s="227" customFormat="1" x14ac:dyDescent="0.3">
      <c r="A110" s="281" t="s">
        <v>240</v>
      </c>
      <c r="B110" s="281" t="str">
        <f>B102</f>
        <v xml:space="preserve">Испаритель И-206/1-А </v>
      </c>
      <c r="C110" s="281" t="s">
        <v>302</v>
      </c>
      <c r="D110" s="281" t="s">
        <v>303</v>
      </c>
      <c r="E110" s="282">
        <v>2.5000000000000001E-5</v>
      </c>
      <c r="F110" s="234">
        <f t="shared" si="120"/>
        <v>1</v>
      </c>
      <c r="G110" s="281">
        <v>1</v>
      </c>
      <c r="H110" s="283">
        <f t="shared" si="114"/>
        <v>2.5000000000000001E-5</v>
      </c>
      <c r="I110" s="284">
        <f>I102</f>
        <v>6.35</v>
      </c>
      <c r="J110" s="284">
        <f>I110*0.07</f>
        <v>0.44450000000000001</v>
      </c>
      <c r="K110" s="281"/>
      <c r="L110" s="281"/>
      <c r="M110" s="285" t="str">
        <f t="shared" si="110"/>
        <v>С9</v>
      </c>
      <c r="N110" s="285"/>
      <c r="O110" s="285"/>
      <c r="P110" s="285">
        <v>9.3000000000000007</v>
      </c>
      <c r="Q110" s="285">
        <v>11.4</v>
      </c>
      <c r="R110" s="285">
        <v>14.4</v>
      </c>
      <c r="S110" s="285">
        <v>23.4</v>
      </c>
      <c r="T110" s="285" t="s">
        <v>83</v>
      </c>
      <c r="U110" s="285" t="s">
        <v>83</v>
      </c>
      <c r="V110" s="285" t="s">
        <v>83</v>
      </c>
      <c r="W110" s="285" t="s">
        <v>83</v>
      </c>
      <c r="X110" s="285" t="s">
        <v>83</v>
      </c>
      <c r="Y110" s="285" t="s">
        <v>83</v>
      </c>
      <c r="Z110" s="285" t="s">
        <v>83</v>
      </c>
      <c r="AA110" s="285" t="s">
        <v>83</v>
      </c>
      <c r="AB110" s="285" t="s">
        <v>83</v>
      </c>
      <c r="AC110" s="285" t="s">
        <v>83</v>
      </c>
      <c r="AD110" s="285" t="s">
        <v>83</v>
      </c>
      <c r="AE110" s="285">
        <v>1</v>
      </c>
      <c r="AF110" s="285">
        <v>23.5</v>
      </c>
      <c r="AG110" s="285">
        <v>33.5</v>
      </c>
      <c r="AH110" s="285">
        <v>49.5</v>
      </c>
      <c r="AI110" s="227" t="s">
        <v>83</v>
      </c>
      <c r="AJ110" s="285">
        <v>1</v>
      </c>
      <c r="AK110" s="285">
        <v>4</v>
      </c>
      <c r="AL110" s="285">
        <f>AL102</f>
        <v>2.5</v>
      </c>
      <c r="AM110" s="285">
        <f>AM102</f>
        <v>2.5000000000000001E-2</v>
      </c>
      <c r="AN110" s="285">
        <v>5</v>
      </c>
      <c r="AO110" s="285"/>
      <c r="AP110" s="285"/>
      <c r="AQ110" s="286">
        <f>AM110*I110+AL110</f>
        <v>2.6587499999999999</v>
      </c>
      <c r="AR110" s="286">
        <f>0.1*AQ110</f>
        <v>0.26587500000000003</v>
      </c>
      <c r="AS110" s="287">
        <f>AJ110*3+0.25*AK110</f>
        <v>4</v>
      </c>
      <c r="AT110" s="287">
        <f>SUM(AQ110:AS110)/4</f>
        <v>1.73115625</v>
      </c>
      <c r="AU110" s="286">
        <f>10068.2*J110*POWER(10,-6)</f>
        <v>4.4753149000000001E-3</v>
      </c>
      <c r="AV110" s="287">
        <f t="shared" si="112"/>
        <v>8.660256564900001</v>
      </c>
      <c r="AW110" s="288">
        <f>AJ110*H110</f>
        <v>2.5000000000000001E-5</v>
      </c>
      <c r="AX110" s="288">
        <f>H110*AK110</f>
        <v>1E-4</v>
      </c>
      <c r="AY110" s="288">
        <f t="shared" si="113"/>
        <v>2.1650641412250004E-4</v>
      </c>
      <c r="AZ110" s="227">
        <v>1</v>
      </c>
      <c r="BA110" s="227">
        <v>1</v>
      </c>
    </row>
    <row r="111" spans="1:53" ht="15" thickBot="1" x14ac:dyDescent="0.35"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Z111" s="227">
        <v>1</v>
      </c>
      <c r="BA111" s="227">
        <v>1</v>
      </c>
    </row>
    <row r="112" spans="1:53" s="227" customFormat="1" ht="18" customHeight="1" x14ac:dyDescent="0.3">
      <c r="A112" s="218" t="s">
        <v>18</v>
      </c>
      <c r="B112" s="310" t="s">
        <v>426</v>
      </c>
      <c r="C112" s="53" t="s">
        <v>300</v>
      </c>
      <c r="D112" s="220" t="s">
        <v>301</v>
      </c>
      <c r="E112" s="221">
        <v>9.9999999999999995E-7</v>
      </c>
      <c r="F112" s="219">
        <v>1</v>
      </c>
      <c r="G112" s="218">
        <v>0.05</v>
      </c>
      <c r="H112" s="222">
        <f>E112*F112*G112</f>
        <v>4.9999999999999998E-8</v>
      </c>
      <c r="I112" s="223">
        <v>6.35</v>
      </c>
      <c r="J112" s="224">
        <f>0.03*I112</f>
        <v>0.19049999999999997</v>
      </c>
      <c r="K112" s="225" t="s">
        <v>175</v>
      </c>
      <c r="L112" s="226">
        <v>6</v>
      </c>
      <c r="M112" s="227" t="str">
        <f t="shared" ref="M112:N120" si="121">A112</f>
        <v>С1</v>
      </c>
      <c r="N112" s="227" t="str">
        <f t="shared" si="121"/>
        <v>Испаритель И-206/1-В</v>
      </c>
      <c r="O112" s="227" t="str">
        <f t="shared" ref="O112:O119" si="122">D112</f>
        <v>Полное-огенный шар</v>
      </c>
      <c r="P112" s="227" t="s">
        <v>83</v>
      </c>
      <c r="Q112" s="227" t="s">
        <v>83</v>
      </c>
      <c r="R112" s="227" t="s">
        <v>83</v>
      </c>
      <c r="S112" s="227" t="s">
        <v>83</v>
      </c>
      <c r="T112" s="227" t="s">
        <v>83</v>
      </c>
      <c r="U112" s="227" t="s">
        <v>83</v>
      </c>
      <c r="V112" s="227" t="s">
        <v>83</v>
      </c>
      <c r="W112" s="227" t="s">
        <v>83</v>
      </c>
      <c r="X112" s="227" t="s">
        <v>83</v>
      </c>
      <c r="Y112" s="227" t="s">
        <v>83</v>
      </c>
      <c r="Z112" s="227" t="s">
        <v>83</v>
      </c>
      <c r="AA112" s="227" t="s">
        <v>83</v>
      </c>
      <c r="AB112" s="227" t="s">
        <v>83</v>
      </c>
      <c r="AC112" s="227" t="s">
        <v>83</v>
      </c>
      <c r="AD112" s="227" t="s">
        <v>83</v>
      </c>
      <c r="AE112" s="227">
        <v>1</v>
      </c>
      <c r="AF112" s="227">
        <v>11.5</v>
      </c>
      <c r="AG112" s="227">
        <v>20.5</v>
      </c>
      <c r="AH112" s="227">
        <v>32.5</v>
      </c>
      <c r="AI112" s="227" t="s">
        <v>83</v>
      </c>
      <c r="AJ112" s="228">
        <v>2</v>
      </c>
      <c r="AK112" s="228">
        <v>4</v>
      </c>
      <c r="AL112" s="229">
        <v>1.9</v>
      </c>
      <c r="AM112" s="229">
        <v>2.5000000000000001E-2</v>
      </c>
      <c r="AN112" s="229">
        <v>5</v>
      </c>
      <c r="AQ112" s="230">
        <f>AM112*I112+AL112</f>
        <v>2.0587499999999999</v>
      </c>
      <c r="AR112" s="230">
        <f>0.1*AQ112</f>
        <v>0.205875</v>
      </c>
      <c r="AS112" s="231">
        <f>AJ112*3+0.25*AK112</f>
        <v>7</v>
      </c>
      <c r="AT112" s="231">
        <f>SUM(AQ112:AS112)/4</f>
        <v>2.3161562499999997</v>
      </c>
      <c r="AU112" s="230">
        <f>10068.2*J112*POWER(10,-6)</f>
        <v>1.9179920999999999E-3</v>
      </c>
      <c r="AV112" s="231">
        <f t="shared" ref="AV112:AV120" si="123">AU112+AT112+AS112+AR112+AQ112</f>
        <v>11.5826992421</v>
      </c>
      <c r="AW112" s="232">
        <f>AJ112*H112</f>
        <v>9.9999999999999995E-8</v>
      </c>
      <c r="AX112" s="232">
        <f>H112*AK112</f>
        <v>1.9999999999999999E-7</v>
      </c>
      <c r="AY112" s="232">
        <f t="shared" ref="AY112:AY120" si="124">H112*AV112</f>
        <v>5.7913496210499998E-7</v>
      </c>
      <c r="AZ112" s="227">
        <v>1</v>
      </c>
      <c r="BA112" s="227">
        <v>1</v>
      </c>
    </row>
    <row r="113" spans="1:53" s="227" customFormat="1" x14ac:dyDescent="0.3">
      <c r="A113" s="218" t="s">
        <v>19</v>
      </c>
      <c r="B113" s="218" t="str">
        <f>B112</f>
        <v>Испаритель И-206/1-В</v>
      </c>
      <c r="C113" s="53" t="s">
        <v>202</v>
      </c>
      <c r="D113" s="220" t="s">
        <v>62</v>
      </c>
      <c r="E113" s="233">
        <f>E112</f>
        <v>9.9999999999999995E-7</v>
      </c>
      <c r="F113" s="234">
        <f>F112</f>
        <v>1</v>
      </c>
      <c r="G113" s="218">
        <v>0.19</v>
      </c>
      <c r="H113" s="222">
        <f t="shared" ref="H113:H120" si="125">E113*F113*G113</f>
        <v>1.8999999999999998E-7</v>
      </c>
      <c r="I113" s="235">
        <f>I112</f>
        <v>6.35</v>
      </c>
      <c r="J113" s="243">
        <v>1.51</v>
      </c>
      <c r="K113" s="236" t="s">
        <v>176</v>
      </c>
      <c r="L113" s="237">
        <v>1</v>
      </c>
      <c r="M113" s="227" t="str">
        <f t="shared" si="121"/>
        <v>С2</v>
      </c>
      <c r="N113" s="227" t="str">
        <f t="shared" si="121"/>
        <v>Испаритель И-206/1-В</v>
      </c>
      <c r="O113" s="227" t="str">
        <f t="shared" si="122"/>
        <v>Полное-взрыв</v>
      </c>
      <c r="P113" s="227" t="s">
        <v>83</v>
      </c>
      <c r="Q113" s="227" t="s">
        <v>83</v>
      </c>
      <c r="R113" s="227" t="s">
        <v>83</v>
      </c>
      <c r="S113" s="227" t="s">
        <v>83</v>
      </c>
      <c r="T113" s="227">
        <v>0</v>
      </c>
      <c r="U113" s="227">
        <v>73.599999999999994</v>
      </c>
      <c r="V113" s="227">
        <v>176.1</v>
      </c>
      <c r="W113" s="227">
        <v>531.6</v>
      </c>
      <c r="X113" s="227">
        <v>1356.1</v>
      </c>
      <c r="Y113" s="227" t="s">
        <v>83</v>
      </c>
      <c r="Z113" s="227" t="s">
        <v>83</v>
      </c>
      <c r="AA113" s="227" t="s">
        <v>83</v>
      </c>
      <c r="AB113" s="227" t="s">
        <v>83</v>
      </c>
      <c r="AC113" s="227" t="s">
        <v>83</v>
      </c>
      <c r="AD113" s="227" t="s">
        <v>83</v>
      </c>
      <c r="AE113" s="227" t="s">
        <v>83</v>
      </c>
      <c r="AF113" s="227" t="s">
        <v>83</v>
      </c>
      <c r="AG113" s="227" t="s">
        <v>83</v>
      </c>
      <c r="AH113" s="227" t="s">
        <v>83</v>
      </c>
      <c r="AI113" s="227" t="s">
        <v>83</v>
      </c>
      <c r="AJ113" s="228">
        <v>3</v>
      </c>
      <c r="AK113" s="228">
        <v>5</v>
      </c>
      <c r="AL113" s="227">
        <f>AL112</f>
        <v>1.9</v>
      </c>
      <c r="AM113" s="227">
        <f>AM112</f>
        <v>2.5000000000000001E-2</v>
      </c>
      <c r="AN113" s="227">
        <f>AN112</f>
        <v>5</v>
      </c>
      <c r="AQ113" s="230">
        <f>AM113*I113+AL113</f>
        <v>2.0587499999999999</v>
      </c>
      <c r="AR113" s="230">
        <f t="shared" ref="AR113:AR119" si="126">0.1*AQ113</f>
        <v>0.205875</v>
      </c>
      <c r="AS113" s="231">
        <f t="shared" ref="AS113:AS119" si="127">AJ113*3+0.25*AK113</f>
        <v>10.25</v>
      </c>
      <c r="AT113" s="231">
        <f t="shared" ref="AT113:AT119" si="128">SUM(AQ113:AS113)/4</f>
        <v>3.1286562499999997</v>
      </c>
      <c r="AU113" s="230">
        <f>10068.2*J113*POWER(10,-6)*10</f>
        <v>0.15202982000000001</v>
      </c>
      <c r="AV113" s="231">
        <f t="shared" si="123"/>
        <v>15.79531107</v>
      </c>
      <c r="AW113" s="232">
        <f t="shared" ref="AW113:AW119" si="129">AJ113*H113</f>
        <v>5.6999999999999994E-7</v>
      </c>
      <c r="AX113" s="232">
        <f t="shared" ref="AX113:AX119" si="130">H113*AK113</f>
        <v>9.499999999999999E-7</v>
      </c>
      <c r="AY113" s="232">
        <f t="shared" si="124"/>
        <v>3.0011091032999996E-6</v>
      </c>
      <c r="AZ113" s="227">
        <v>1</v>
      </c>
      <c r="BA113" s="227">
        <v>1</v>
      </c>
    </row>
    <row r="114" spans="1:53" s="227" customFormat="1" x14ac:dyDescent="0.3">
      <c r="A114" s="218" t="s">
        <v>20</v>
      </c>
      <c r="B114" s="218" t="str">
        <f>B112</f>
        <v>Испаритель И-206/1-В</v>
      </c>
      <c r="C114" s="53" t="s">
        <v>241</v>
      </c>
      <c r="D114" s="220" t="s">
        <v>60</v>
      </c>
      <c r="E114" s="233">
        <f>E112</f>
        <v>9.9999999999999995E-7</v>
      </c>
      <c r="F114" s="234">
        <f t="shared" ref="F114:F120" si="131">F113</f>
        <v>1</v>
      </c>
      <c r="G114" s="218">
        <v>0.76</v>
      </c>
      <c r="H114" s="222">
        <f t="shared" si="125"/>
        <v>7.5999999999999992E-7</v>
      </c>
      <c r="I114" s="235">
        <f>I112</f>
        <v>6.35</v>
      </c>
      <c r="J114" s="224">
        <v>0</v>
      </c>
      <c r="K114" s="236" t="s">
        <v>177</v>
      </c>
      <c r="L114" s="237">
        <v>3</v>
      </c>
      <c r="M114" s="227" t="str">
        <f t="shared" si="121"/>
        <v>С3</v>
      </c>
      <c r="N114" s="227" t="str">
        <f t="shared" si="121"/>
        <v>Испаритель И-206/1-В</v>
      </c>
      <c r="O114" s="227" t="str">
        <f t="shared" si="122"/>
        <v>Полное-ликвидация</v>
      </c>
      <c r="P114" s="227" t="s">
        <v>83</v>
      </c>
      <c r="Q114" s="227" t="s">
        <v>83</v>
      </c>
      <c r="R114" s="227" t="s">
        <v>83</v>
      </c>
      <c r="S114" s="227" t="s">
        <v>83</v>
      </c>
      <c r="T114" s="227" t="s">
        <v>83</v>
      </c>
      <c r="U114" s="227" t="s">
        <v>83</v>
      </c>
      <c r="V114" s="227" t="s">
        <v>83</v>
      </c>
      <c r="W114" s="227" t="s">
        <v>83</v>
      </c>
      <c r="X114" s="227" t="s">
        <v>83</v>
      </c>
      <c r="Y114" s="227" t="s">
        <v>83</v>
      </c>
      <c r="Z114" s="227" t="s">
        <v>83</v>
      </c>
      <c r="AA114" s="227" t="s">
        <v>83</v>
      </c>
      <c r="AB114" s="227" t="s">
        <v>83</v>
      </c>
      <c r="AC114" s="227" t="s">
        <v>83</v>
      </c>
      <c r="AD114" s="227" t="s">
        <v>83</v>
      </c>
      <c r="AE114" s="227" t="s">
        <v>83</v>
      </c>
      <c r="AF114" s="227" t="s">
        <v>83</v>
      </c>
      <c r="AG114" s="227" t="s">
        <v>83</v>
      </c>
      <c r="AH114" s="227" t="s">
        <v>83</v>
      </c>
      <c r="AI114" s="227" t="s">
        <v>83</v>
      </c>
      <c r="AJ114" s="227">
        <v>0</v>
      </c>
      <c r="AK114" s="227">
        <v>0</v>
      </c>
      <c r="AL114" s="227">
        <f>AL112</f>
        <v>1.9</v>
      </c>
      <c r="AM114" s="227">
        <f>AM112</f>
        <v>2.5000000000000001E-2</v>
      </c>
      <c r="AN114" s="227">
        <f>AN112</f>
        <v>5</v>
      </c>
      <c r="AQ114" s="230">
        <f>AM114*I114*0.1+AL114</f>
        <v>1.915875</v>
      </c>
      <c r="AR114" s="230">
        <f t="shared" si="126"/>
        <v>0.19158750000000002</v>
      </c>
      <c r="AS114" s="231">
        <f t="shared" si="127"/>
        <v>0</v>
      </c>
      <c r="AT114" s="231">
        <f t="shared" si="128"/>
        <v>0.526865625</v>
      </c>
      <c r="AU114" s="230">
        <f>1333*J112*POWER(10,-6)</f>
        <v>2.5393649999999997E-4</v>
      </c>
      <c r="AV114" s="231">
        <f t="shared" si="123"/>
        <v>2.6345820615000002</v>
      </c>
      <c r="AW114" s="232">
        <f t="shared" si="129"/>
        <v>0</v>
      </c>
      <c r="AX114" s="232">
        <f t="shared" si="130"/>
        <v>0</v>
      </c>
      <c r="AY114" s="232">
        <f t="shared" si="124"/>
        <v>2.0022823667399998E-6</v>
      </c>
      <c r="AZ114" s="227">
        <v>1</v>
      </c>
      <c r="BA114" s="227">
        <v>1</v>
      </c>
    </row>
    <row r="115" spans="1:53" s="227" customFormat="1" x14ac:dyDescent="0.3">
      <c r="A115" s="218" t="s">
        <v>21</v>
      </c>
      <c r="B115" s="218" t="str">
        <f>B112</f>
        <v>Испаритель И-206/1-В</v>
      </c>
      <c r="C115" s="53" t="s">
        <v>213</v>
      </c>
      <c r="D115" s="220" t="s">
        <v>214</v>
      </c>
      <c r="E115" s="221">
        <v>1.0000000000000001E-5</v>
      </c>
      <c r="F115" s="234">
        <f t="shared" si="131"/>
        <v>1</v>
      </c>
      <c r="G115" s="218">
        <v>4.0000000000000008E-2</v>
      </c>
      <c r="H115" s="222">
        <f t="shared" si="125"/>
        <v>4.0000000000000009E-7</v>
      </c>
      <c r="I115" s="235">
        <f>0.15*I112</f>
        <v>0.9524999999999999</v>
      </c>
      <c r="J115" s="224">
        <f>I115</f>
        <v>0.9524999999999999</v>
      </c>
      <c r="K115" s="236" t="s">
        <v>179</v>
      </c>
      <c r="L115" s="237">
        <v>45390</v>
      </c>
      <c r="M115" s="227" t="str">
        <f t="shared" si="121"/>
        <v>С4</v>
      </c>
      <c r="N115" s="227" t="str">
        <f t="shared" si="121"/>
        <v>Испаритель И-206/1-В</v>
      </c>
      <c r="O115" s="227" t="str">
        <f t="shared" si="122"/>
        <v>Частичное факел</v>
      </c>
      <c r="P115" s="227" t="s">
        <v>83</v>
      </c>
      <c r="Q115" s="227" t="s">
        <v>83</v>
      </c>
      <c r="R115" s="227" t="s">
        <v>83</v>
      </c>
      <c r="S115" s="227" t="s">
        <v>83</v>
      </c>
      <c r="T115" s="227" t="s">
        <v>83</v>
      </c>
      <c r="U115" s="227" t="s">
        <v>83</v>
      </c>
      <c r="V115" s="227" t="s">
        <v>83</v>
      </c>
      <c r="W115" s="227" t="s">
        <v>83</v>
      </c>
      <c r="X115" s="227" t="s">
        <v>83</v>
      </c>
      <c r="Y115" s="227">
        <v>23</v>
      </c>
      <c r="Z115" s="227">
        <v>4</v>
      </c>
      <c r="AA115" s="227" t="s">
        <v>83</v>
      </c>
      <c r="AB115" s="227" t="s">
        <v>83</v>
      </c>
      <c r="AC115" s="227" t="s">
        <v>83</v>
      </c>
      <c r="AD115" s="227" t="s">
        <v>83</v>
      </c>
      <c r="AE115" s="227" t="s">
        <v>83</v>
      </c>
      <c r="AF115" s="227" t="s">
        <v>83</v>
      </c>
      <c r="AG115" s="227" t="s">
        <v>83</v>
      </c>
      <c r="AH115" s="227" t="s">
        <v>83</v>
      </c>
      <c r="AI115" s="227" t="s">
        <v>83</v>
      </c>
      <c r="AJ115" s="227">
        <v>2</v>
      </c>
      <c r="AK115" s="227">
        <v>1</v>
      </c>
      <c r="AL115" s="227">
        <f>0.1*$AL112</f>
        <v>0.19</v>
      </c>
      <c r="AM115" s="227">
        <f>AM113</f>
        <v>2.5000000000000001E-2</v>
      </c>
      <c r="AN115" s="227">
        <f>AN112</f>
        <v>5</v>
      </c>
      <c r="AQ115" s="230">
        <f>AM115*I115*0.1+AL115</f>
        <v>0.19238125</v>
      </c>
      <c r="AR115" s="230">
        <f t="shared" si="126"/>
        <v>1.9238125000000002E-2</v>
      </c>
      <c r="AS115" s="231">
        <f t="shared" si="127"/>
        <v>6.25</v>
      </c>
      <c r="AT115" s="231">
        <f t="shared" si="128"/>
        <v>1.6154048437499999</v>
      </c>
      <c r="AU115" s="230">
        <f>10068.2*J115*POWER(10,-6)</f>
        <v>9.5899604999999995E-3</v>
      </c>
      <c r="AV115" s="231">
        <f t="shared" si="123"/>
        <v>8.0866141792500006</v>
      </c>
      <c r="AW115" s="232">
        <f t="shared" si="129"/>
        <v>8.0000000000000018E-7</v>
      </c>
      <c r="AX115" s="232">
        <f t="shared" si="130"/>
        <v>4.0000000000000009E-7</v>
      </c>
      <c r="AY115" s="232">
        <f t="shared" si="124"/>
        <v>3.2346456717000008E-6</v>
      </c>
      <c r="AZ115" s="227">
        <v>1</v>
      </c>
      <c r="BA115" s="227">
        <v>1</v>
      </c>
    </row>
    <row r="116" spans="1:53" s="227" customFormat="1" x14ac:dyDescent="0.3">
      <c r="A116" s="218" t="s">
        <v>22</v>
      </c>
      <c r="B116" s="218" t="str">
        <f>B112</f>
        <v>Испаритель И-206/1-В</v>
      </c>
      <c r="C116" s="53" t="s">
        <v>242</v>
      </c>
      <c r="D116" s="220" t="s">
        <v>61</v>
      </c>
      <c r="E116" s="233">
        <f>E115</f>
        <v>1.0000000000000001E-5</v>
      </c>
      <c r="F116" s="234">
        <f t="shared" si="131"/>
        <v>1</v>
      </c>
      <c r="G116" s="218">
        <v>0.16000000000000003</v>
      </c>
      <c r="H116" s="222">
        <f t="shared" si="125"/>
        <v>1.6000000000000004E-6</v>
      </c>
      <c r="I116" s="235">
        <f>0.15*I112</f>
        <v>0.9524999999999999</v>
      </c>
      <c r="J116" s="224">
        <v>0</v>
      </c>
      <c r="K116" s="236" t="s">
        <v>180</v>
      </c>
      <c r="L116" s="237">
        <v>3</v>
      </c>
      <c r="M116" s="227" t="str">
        <f t="shared" si="121"/>
        <v>С5</v>
      </c>
      <c r="N116" s="227" t="str">
        <f t="shared" si="121"/>
        <v>Испаритель И-206/1-В</v>
      </c>
      <c r="O116" s="227" t="str">
        <f t="shared" si="122"/>
        <v>Частичное-ликвидация</v>
      </c>
      <c r="P116" s="227" t="s">
        <v>83</v>
      </c>
      <c r="Q116" s="227" t="s">
        <v>83</v>
      </c>
      <c r="R116" s="227" t="s">
        <v>83</v>
      </c>
      <c r="S116" s="227" t="s">
        <v>83</v>
      </c>
      <c r="T116" s="227" t="s">
        <v>83</v>
      </c>
      <c r="U116" s="227" t="s">
        <v>83</v>
      </c>
      <c r="V116" s="227" t="s">
        <v>83</v>
      </c>
      <c r="W116" s="227" t="s">
        <v>83</v>
      </c>
      <c r="X116" s="227" t="s">
        <v>83</v>
      </c>
      <c r="Y116" s="227" t="s">
        <v>83</v>
      </c>
      <c r="Z116" s="227" t="s">
        <v>83</v>
      </c>
      <c r="AA116" s="227" t="s">
        <v>83</v>
      </c>
      <c r="AB116" s="227" t="s">
        <v>83</v>
      </c>
      <c r="AC116" s="227" t="s">
        <v>83</v>
      </c>
      <c r="AD116" s="227" t="s">
        <v>83</v>
      </c>
      <c r="AE116" s="227" t="s">
        <v>83</v>
      </c>
      <c r="AF116" s="227" t="s">
        <v>83</v>
      </c>
      <c r="AG116" s="227" t="s">
        <v>83</v>
      </c>
      <c r="AH116" s="227" t="s">
        <v>83</v>
      </c>
      <c r="AI116" s="227" t="s">
        <v>83</v>
      </c>
      <c r="AJ116" s="227">
        <v>0</v>
      </c>
      <c r="AK116" s="227">
        <v>1</v>
      </c>
      <c r="AL116" s="227">
        <f>0.1*$AL113</f>
        <v>0.19</v>
      </c>
      <c r="AM116" s="227">
        <f>AM112</f>
        <v>2.5000000000000001E-2</v>
      </c>
      <c r="AN116" s="227">
        <f>ROUNDUP(AN112/3,0)</f>
        <v>2</v>
      </c>
      <c r="AQ116" s="230">
        <f>AM116*I116+AL116</f>
        <v>0.21381250000000002</v>
      </c>
      <c r="AR116" s="230">
        <f t="shared" si="126"/>
        <v>2.1381250000000004E-2</v>
      </c>
      <c r="AS116" s="231">
        <f t="shared" si="127"/>
        <v>0.25</v>
      </c>
      <c r="AT116" s="231">
        <f t="shared" si="128"/>
        <v>0.12129843750000001</v>
      </c>
      <c r="AU116" s="230">
        <f>1333*J113*POWER(10,-6)*10</f>
        <v>2.0128299999999998E-2</v>
      </c>
      <c r="AV116" s="231">
        <f t="shared" si="123"/>
        <v>0.6266204875000001</v>
      </c>
      <c r="AW116" s="232">
        <f t="shared" si="129"/>
        <v>0</v>
      </c>
      <c r="AX116" s="232">
        <f t="shared" si="130"/>
        <v>1.6000000000000004E-6</v>
      </c>
      <c r="AY116" s="232">
        <f t="shared" si="124"/>
        <v>1.0025927800000004E-6</v>
      </c>
      <c r="AZ116" s="227">
        <v>1</v>
      </c>
      <c r="BA116" s="227">
        <v>1</v>
      </c>
    </row>
    <row r="117" spans="1:53" s="227" customFormat="1" x14ac:dyDescent="0.3">
      <c r="A117" s="218" t="s">
        <v>23</v>
      </c>
      <c r="B117" s="218" t="str">
        <f>B112</f>
        <v>Испаритель И-206/1-В</v>
      </c>
      <c r="C117" s="53" t="s">
        <v>215</v>
      </c>
      <c r="D117" s="220" t="s">
        <v>214</v>
      </c>
      <c r="E117" s="233">
        <f>E116</f>
        <v>1.0000000000000001E-5</v>
      </c>
      <c r="F117" s="234">
        <f t="shared" si="131"/>
        <v>1</v>
      </c>
      <c r="G117" s="218">
        <v>4.0000000000000008E-2</v>
      </c>
      <c r="H117" s="222">
        <f t="shared" si="125"/>
        <v>4.0000000000000009E-7</v>
      </c>
      <c r="I117" s="235">
        <f>I115*0.15</f>
        <v>0.14287499999999997</v>
      </c>
      <c r="J117" s="224">
        <f>I117</f>
        <v>0.14287499999999997</v>
      </c>
      <c r="K117" s="239" t="s">
        <v>191</v>
      </c>
      <c r="L117" s="240">
        <v>21</v>
      </c>
      <c r="M117" s="227" t="str">
        <f t="shared" si="121"/>
        <v>С6</v>
      </c>
      <c r="N117" s="227" t="str">
        <f t="shared" si="121"/>
        <v>Испаритель И-206/1-В</v>
      </c>
      <c r="O117" s="227" t="str">
        <f t="shared" si="122"/>
        <v>Частичное факел</v>
      </c>
      <c r="P117" s="227" t="s">
        <v>83</v>
      </c>
      <c r="Q117" s="227" t="s">
        <v>83</v>
      </c>
      <c r="R117" s="227" t="s">
        <v>83</v>
      </c>
      <c r="S117" s="227" t="s">
        <v>83</v>
      </c>
      <c r="T117" s="227" t="s">
        <v>83</v>
      </c>
      <c r="U117" s="227" t="s">
        <v>83</v>
      </c>
      <c r="V117" s="227" t="s">
        <v>83</v>
      </c>
      <c r="W117" s="227" t="s">
        <v>83</v>
      </c>
      <c r="X117" s="227" t="s">
        <v>83</v>
      </c>
      <c r="Y117" s="227">
        <v>8</v>
      </c>
      <c r="Z117" s="227">
        <v>2</v>
      </c>
      <c r="AA117" s="227" t="s">
        <v>83</v>
      </c>
      <c r="AB117" s="227" t="s">
        <v>83</v>
      </c>
      <c r="AC117" s="227" t="s">
        <v>83</v>
      </c>
      <c r="AD117" s="227" t="s">
        <v>83</v>
      </c>
      <c r="AE117" s="227" t="s">
        <v>83</v>
      </c>
      <c r="AF117" s="227" t="s">
        <v>83</v>
      </c>
      <c r="AG117" s="227" t="s">
        <v>83</v>
      </c>
      <c r="AH117" s="227" t="s">
        <v>83</v>
      </c>
      <c r="AI117" s="227" t="s">
        <v>83</v>
      </c>
      <c r="AJ117" s="227">
        <v>2</v>
      </c>
      <c r="AK117" s="227">
        <v>1</v>
      </c>
      <c r="AL117" s="227">
        <f>0.1*$AL114</f>
        <v>0.19</v>
      </c>
      <c r="AM117" s="227">
        <f>AM112</f>
        <v>2.5000000000000001E-2</v>
      </c>
      <c r="AN117" s="227">
        <f>AN116</f>
        <v>2</v>
      </c>
      <c r="AQ117" s="230">
        <f>AM117*I117+AL117</f>
        <v>0.193571875</v>
      </c>
      <c r="AR117" s="230">
        <f t="shared" si="126"/>
        <v>1.9357187500000001E-2</v>
      </c>
      <c r="AS117" s="231">
        <f t="shared" si="127"/>
        <v>6.25</v>
      </c>
      <c r="AT117" s="231">
        <f t="shared" si="128"/>
        <v>1.6157322656249999</v>
      </c>
      <c r="AU117" s="230">
        <f>10068.2*J117*POWER(10,-6)</f>
        <v>1.4384940749999997E-3</v>
      </c>
      <c r="AV117" s="231">
        <f t="shared" si="123"/>
        <v>8.0800998222000011</v>
      </c>
      <c r="AW117" s="232">
        <f t="shared" si="129"/>
        <v>8.0000000000000018E-7</v>
      </c>
      <c r="AX117" s="232">
        <f t="shared" si="130"/>
        <v>4.0000000000000009E-7</v>
      </c>
      <c r="AY117" s="232">
        <f t="shared" si="124"/>
        <v>3.2320399288800013E-6</v>
      </c>
      <c r="AZ117" s="227">
        <v>1</v>
      </c>
      <c r="BA117" s="227">
        <v>1</v>
      </c>
    </row>
    <row r="118" spans="1:53" s="227" customFormat="1" x14ac:dyDescent="0.3">
      <c r="A118" s="218" t="s">
        <v>210</v>
      </c>
      <c r="B118" s="218" t="str">
        <f>B112</f>
        <v>Испаритель И-206/1-В</v>
      </c>
      <c r="C118" s="53" t="s">
        <v>216</v>
      </c>
      <c r="D118" s="220" t="s">
        <v>165</v>
      </c>
      <c r="E118" s="233">
        <f>E116</f>
        <v>1.0000000000000001E-5</v>
      </c>
      <c r="F118" s="234">
        <f t="shared" si="131"/>
        <v>1</v>
      </c>
      <c r="G118" s="218">
        <v>0.15200000000000002</v>
      </c>
      <c r="H118" s="222">
        <f t="shared" si="125"/>
        <v>1.5200000000000003E-6</v>
      </c>
      <c r="I118" s="235">
        <f>I115*0.15</f>
        <v>0.14287499999999997</v>
      </c>
      <c r="J118" s="224">
        <f>I118</f>
        <v>0.14287499999999997</v>
      </c>
      <c r="K118" s="236"/>
      <c r="L118" s="237"/>
      <c r="M118" s="227" t="str">
        <f t="shared" si="121"/>
        <v>С7</v>
      </c>
      <c r="N118" s="227" t="str">
        <f t="shared" si="121"/>
        <v>Испаритель И-206/1-В</v>
      </c>
      <c r="O118" s="227" t="str">
        <f t="shared" si="122"/>
        <v>Частичное-пожар-вспышка</v>
      </c>
      <c r="P118" s="227" t="s">
        <v>83</v>
      </c>
      <c r="Q118" s="227" t="s">
        <v>83</v>
      </c>
      <c r="R118" s="227" t="s">
        <v>83</v>
      </c>
      <c r="S118" s="227" t="s">
        <v>83</v>
      </c>
      <c r="T118" s="227" t="s">
        <v>83</v>
      </c>
      <c r="U118" s="227" t="s">
        <v>83</v>
      </c>
      <c r="V118" s="227" t="s">
        <v>83</v>
      </c>
      <c r="W118" s="227" t="s">
        <v>83</v>
      </c>
      <c r="X118" s="227" t="s">
        <v>83</v>
      </c>
      <c r="Y118" s="227" t="s">
        <v>83</v>
      </c>
      <c r="Z118" s="227" t="s">
        <v>83</v>
      </c>
      <c r="AA118" s="227">
        <v>17.64</v>
      </c>
      <c r="AB118" s="227">
        <v>21.17</v>
      </c>
      <c r="AC118" s="227" t="s">
        <v>83</v>
      </c>
      <c r="AD118" s="227" t="s">
        <v>83</v>
      </c>
      <c r="AE118" s="227" t="s">
        <v>83</v>
      </c>
      <c r="AF118" s="227" t="s">
        <v>83</v>
      </c>
      <c r="AG118" s="227" t="s">
        <v>83</v>
      </c>
      <c r="AH118" s="227" t="s">
        <v>83</v>
      </c>
      <c r="AI118" s="227" t="s">
        <v>83</v>
      </c>
      <c r="AJ118" s="227">
        <v>1</v>
      </c>
      <c r="AK118" s="227">
        <v>1</v>
      </c>
      <c r="AL118" s="227">
        <f>0.1*$AL115</f>
        <v>1.9000000000000003E-2</v>
      </c>
      <c r="AM118" s="227">
        <f>AM112</f>
        <v>2.5000000000000001E-2</v>
      </c>
      <c r="AN118" s="227">
        <f>ROUNDUP(AN112/3,0)</f>
        <v>2</v>
      </c>
      <c r="AQ118" s="230">
        <f>AM118*I118+AL118</f>
        <v>2.2571875000000002E-2</v>
      </c>
      <c r="AR118" s="230">
        <f t="shared" si="126"/>
        <v>2.2571875000000001E-3</v>
      </c>
      <c r="AS118" s="231">
        <f t="shared" si="127"/>
        <v>3.25</v>
      </c>
      <c r="AT118" s="231">
        <f t="shared" si="128"/>
        <v>0.81870726562499996</v>
      </c>
      <c r="AU118" s="230">
        <f>10068.2*J118*POWER(10,-6)</f>
        <v>1.4384940749999997E-3</v>
      </c>
      <c r="AV118" s="231">
        <f t="shared" si="123"/>
        <v>4.0949748221999993</v>
      </c>
      <c r="AW118" s="232">
        <f t="shared" si="129"/>
        <v>1.5200000000000003E-6</v>
      </c>
      <c r="AX118" s="232">
        <f t="shared" si="130"/>
        <v>1.5200000000000003E-6</v>
      </c>
      <c r="AY118" s="232">
        <f t="shared" si="124"/>
        <v>6.2243617297440003E-6</v>
      </c>
      <c r="AZ118" s="227">
        <v>1</v>
      </c>
      <c r="BA118" s="227">
        <v>1</v>
      </c>
    </row>
    <row r="119" spans="1:53" s="227" customFormat="1" ht="15" thickBot="1" x14ac:dyDescent="0.35">
      <c r="A119" s="218" t="s">
        <v>211</v>
      </c>
      <c r="B119" s="218" t="str">
        <f>B112</f>
        <v>Испаритель И-206/1-В</v>
      </c>
      <c r="C119" s="53" t="s">
        <v>217</v>
      </c>
      <c r="D119" s="220" t="s">
        <v>61</v>
      </c>
      <c r="E119" s="233">
        <f>E116</f>
        <v>1.0000000000000001E-5</v>
      </c>
      <c r="F119" s="234">
        <f t="shared" si="131"/>
        <v>1</v>
      </c>
      <c r="G119" s="218">
        <v>0.6080000000000001</v>
      </c>
      <c r="H119" s="222">
        <f t="shared" si="125"/>
        <v>6.0800000000000011E-6</v>
      </c>
      <c r="I119" s="235">
        <f>I115*0.15</f>
        <v>0.14287499999999997</v>
      </c>
      <c r="J119" s="224">
        <v>0</v>
      </c>
      <c r="K119" s="241"/>
      <c r="L119" s="242"/>
      <c r="M119" s="227" t="str">
        <f t="shared" si="121"/>
        <v>С8</v>
      </c>
      <c r="N119" s="227" t="str">
        <f t="shared" si="121"/>
        <v>Испаритель И-206/1-В</v>
      </c>
      <c r="O119" s="227" t="str">
        <f t="shared" si="122"/>
        <v>Частичное-ликвидация</v>
      </c>
      <c r="P119" s="227" t="s">
        <v>83</v>
      </c>
      <c r="Q119" s="227" t="s">
        <v>83</v>
      </c>
      <c r="R119" s="227" t="s">
        <v>83</v>
      </c>
      <c r="S119" s="227" t="s">
        <v>83</v>
      </c>
      <c r="T119" s="227" t="s">
        <v>83</v>
      </c>
      <c r="U119" s="227" t="s">
        <v>83</v>
      </c>
      <c r="V119" s="227" t="s">
        <v>83</v>
      </c>
      <c r="W119" s="227" t="s">
        <v>83</v>
      </c>
      <c r="X119" s="227" t="s">
        <v>83</v>
      </c>
      <c r="Y119" s="227" t="s">
        <v>83</v>
      </c>
      <c r="Z119" s="227" t="s">
        <v>83</v>
      </c>
      <c r="AA119" s="227" t="s">
        <v>83</v>
      </c>
      <c r="AB119" s="227" t="s">
        <v>83</v>
      </c>
      <c r="AC119" s="227" t="s">
        <v>83</v>
      </c>
      <c r="AD119" s="227" t="s">
        <v>83</v>
      </c>
      <c r="AE119" s="227" t="s">
        <v>83</v>
      </c>
      <c r="AF119" s="227" t="s">
        <v>83</v>
      </c>
      <c r="AG119" s="227" t="s">
        <v>83</v>
      </c>
      <c r="AH119" s="227" t="s">
        <v>83</v>
      </c>
      <c r="AI119" s="227" t="s">
        <v>83</v>
      </c>
      <c r="AJ119" s="227">
        <v>0</v>
      </c>
      <c r="AK119" s="227">
        <v>0</v>
      </c>
      <c r="AL119" s="227">
        <f>0.1*$AL116</f>
        <v>1.9000000000000003E-2</v>
      </c>
      <c r="AM119" s="227">
        <f>AM112</f>
        <v>2.5000000000000001E-2</v>
      </c>
      <c r="AN119" s="227">
        <f>ROUNDUP(AN112/3,0)</f>
        <v>2</v>
      </c>
      <c r="AQ119" s="230">
        <f>AM119*I119*0.1+AL119</f>
        <v>1.9357187500000005E-2</v>
      </c>
      <c r="AR119" s="230">
        <f t="shared" si="126"/>
        <v>1.9357187500000006E-3</v>
      </c>
      <c r="AS119" s="231">
        <f t="shared" si="127"/>
        <v>0</v>
      </c>
      <c r="AT119" s="231">
        <f t="shared" si="128"/>
        <v>5.3232265625000009E-3</v>
      </c>
      <c r="AU119" s="230">
        <f>1333*J117*POWER(10,-6)</f>
        <v>1.9045237499999996E-4</v>
      </c>
      <c r="AV119" s="231">
        <f t="shared" si="123"/>
        <v>2.6806585187500006E-2</v>
      </c>
      <c r="AW119" s="232">
        <f t="shared" si="129"/>
        <v>0</v>
      </c>
      <c r="AX119" s="232">
        <f t="shared" si="130"/>
        <v>0</v>
      </c>
      <c r="AY119" s="232">
        <f t="shared" si="124"/>
        <v>1.6298403794000005E-7</v>
      </c>
      <c r="AZ119" s="227">
        <v>1</v>
      </c>
      <c r="BA119" s="227">
        <v>1</v>
      </c>
    </row>
    <row r="120" spans="1:53" s="227" customFormat="1" x14ac:dyDescent="0.3">
      <c r="A120" s="281" t="s">
        <v>240</v>
      </c>
      <c r="B120" s="281" t="str">
        <f>B112</f>
        <v>Испаритель И-206/1-В</v>
      </c>
      <c r="C120" s="281" t="s">
        <v>302</v>
      </c>
      <c r="D120" s="281" t="s">
        <v>303</v>
      </c>
      <c r="E120" s="282">
        <v>2.5000000000000001E-5</v>
      </c>
      <c r="F120" s="234">
        <f t="shared" si="131"/>
        <v>1</v>
      </c>
      <c r="G120" s="281">
        <v>1</v>
      </c>
      <c r="H120" s="283">
        <f t="shared" si="125"/>
        <v>2.5000000000000001E-5</v>
      </c>
      <c r="I120" s="284">
        <f>I112</f>
        <v>6.35</v>
      </c>
      <c r="J120" s="284">
        <f>I120*0.07</f>
        <v>0.44450000000000001</v>
      </c>
      <c r="K120" s="281"/>
      <c r="L120" s="281"/>
      <c r="M120" s="285" t="str">
        <f t="shared" si="121"/>
        <v>С9</v>
      </c>
      <c r="N120" s="285"/>
      <c r="O120" s="285"/>
      <c r="P120" s="285">
        <v>9.3000000000000007</v>
      </c>
      <c r="Q120" s="285">
        <v>11.4</v>
      </c>
      <c r="R120" s="285">
        <v>14.4</v>
      </c>
      <c r="S120" s="285">
        <v>23.4</v>
      </c>
      <c r="T120" s="285" t="s">
        <v>83</v>
      </c>
      <c r="U120" s="285" t="s">
        <v>83</v>
      </c>
      <c r="V120" s="285" t="s">
        <v>83</v>
      </c>
      <c r="W120" s="285" t="s">
        <v>83</v>
      </c>
      <c r="X120" s="285" t="s">
        <v>83</v>
      </c>
      <c r="Y120" s="285" t="s">
        <v>83</v>
      </c>
      <c r="Z120" s="285" t="s">
        <v>83</v>
      </c>
      <c r="AA120" s="285" t="s">
        <v>83</v>
      </c>
      <c r="AB120" s="285" t="s">
        <v>83</v>
      </c>
      <c r="AC120" s="285" t="s">
        <v>83</v>
      </c>
      <c r="AD120" s="285" t="s">
        <v>83</v>
      </c>
      <c r="AE120" s="285">
        <v>1</v>
      </c>
      <c r="AF120" s="285">
        <v>23.5</v>
      </c>
      <c r="AG120" s="285">
        <v>33.5</v>
      </c>
      <c r="AH120" s="285">
        <v>49.5</v>
      </c>
      <c r="AI120" s="227" t="s">
        <v>83</v>
      </c>
      <c r="AJ120" s="285">
        <v>1</v>
      </c>
      <c r="AK120" s="285">
        <v>4</v>
      </c>
      <c r="AL120" s="285">
        <f>AL112</f>
        <v>1.9</v>
      </c>
      <c r="AM120" s="285">
        <f>AM112</f>
        <v>2.5000000000000001E-2</v>
      </c>
      <c r="AN120" s="285">
        <v>5</v>
      </c>
      <c r="AO120" s="285"/>
      <c r="AP120" s="285"/>
      <c r="AQ120" s="286">
        <f>AM120*I120+AL120</f>
        <v>2.0587499999999999</v>
      </c>
      <c r="AR120" s="286">
        <f>0.1*AQ120</f>
        <v>0.205875</v>
      </c>
      <c r="AS120" s="287">
        <f>AJ120*3+0.25*AK120</f>
        <v>4</v>
      </c>
      <c r="AT120" s="287">
        <f>SUM(AQ120:AS120)/4</f>
        <v>1.5661562499999999</v>
      </c>
      <c r="AU120" s="286">
        <f>10068.2*J120*POWER(10,-6)</f>
        <v>4.4753149000000001E-3</v>
      </c>
      <c r="AV120" s="287">
        <f t="shared" si="123"/>
        <v>7.8352565648999999</v>
      </c>
      <c r="AW120" s="288">
        <f>AJ120*H120</f>
        <v>2.5000000000000001E-5</v>
      </c>
      <c r="AX120" s="288">
        <f>H120*AK120</f>
        <v>1E-4</v>
      </c>
      <c r="AY120" s="288">
        <f t="shared" si="124"/>
        <v>1.9588141412250001E-4</v>
      </c>
      <c r="AZ120" s="227">
        <v>1</v>
      </c>
      <c r="BA120" s="227">
        <v>1</v>
      </c>
    </row>
    <row r="121" spans="1:53" ht="15" thickBot="1" x14ac:dyDescent="0.35">
      <c r="P121" t="s">
        <v>83</v>
      </c>
      <c r="Q121" t="s">
        <v>83</v>
      </c>
      <c r="R121" t="s">
        <v>83</v>
      </c>
      <c r="S121" t="s">
        <v>83</v>
      </c>
      <c r="T121" t="s">
        <v>83</v>
      </c>
      <c r="U121" t="s">
        <v>83</v>
      </c>
      <c r="V121" t="s">
        <v>83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Z121" s="227">
        <v>1</v>
      </c>
      <c r="BA121" s="227">
        <v>1</v>
      </c>
    </row>
    <row r="122" spans="1:53" s="179" customFormat="1" ht="15" thickBot="1" x14ac:dyDescent="0.35">
      <c r="A122" s="169" t="s">
        <v>18</v>
      </c>
      <c r="B122" s="312" t="s">
        <v>427</v>
      </c>
      <c r="C122" s="171" t="s">
        <v>196</v>
      </c>
      <c r="D122" s="172" t="s">
        <v>59</v>
      </c>
      <c r="E122" s="173">
        <v>9.9999999999999995E-7</v>
      </c>
      <c r="F122" s="170">
        <v>1</v>
      </c>
      <c r="G122" s="169">
        <v>0.1</v>
      </c>
      <c r="H122" s="174">
        <f t="shared" ref="H122:H127" si="132">E122*F122*G122</f>
        <v>9.9999999999999995E-8</v>
      </c>
      <c r="I122" s="175">
        <v>9.34</v>
      </c>
      <c r="J122" s="176">
        <f>I122</f>
        <v>9.34</v>
      </c>
      <c r="K122" s="177" t="s">
        <v>175</v>
      </c>
      <c r="L122" s="178">
        <v>120</v>
      </c>
      <c r="M122" s="179" t="str">
        <f t="shared" ref="M122:N127" si="133">A122</f>
        <v>С1</v>
      </c>
      <c r="N122" s="179" t="str">
        <f t="shared" si="133"/>
        <v xml:space="preserve">Емкость V-210/1 </v>
      </c>
      <c r="O122" s="179" t="str">
        <f t="shared" ref="O122:O127" si="134">D122</f>
        <v>Полное-пожар</v>
      </c>
      <c r="P122" s="179">
        <v>15.2</v>
      </c>
      <c r="Q122" s="179">
        <v>20.3</v>
      </c>
      <c r="R122" s="179">
        <v>28.1</v>
      </c>
      <c r="S122" s="179">
        <v>50.9</v>
      </c>
      <c r="T122" s="179" t="s">
        <v>83</v>
      </c>
      <c r="U122" s="179" t="s">
        <v>83</v>
      </c>
      <c r="V122" s="179" t="s">
        <v>83</v>
      </c>
      <c r="W122" s="179" t="s">
        <v>83</v>
      </c>
      <c r="X122" s="179" t="s">
        <v>83</v>
      </c>
      <c r="Y122" s="179" t="s">
        <v>83</v>
      </c>
      <c r="Z122" s="179" t="s">
        <v>83</v>
      </c>
      <c r="AA122" s="179" t="s">
        <v>83</v>
      </c>
      <c r="AB122" s="179" t="s">
        <v>83</v>
      </c>
      <c r="AC122" s="179" t="s">
        <v>83</v>
      </c>
      <c r="AD122" s="179" t="s">
        <v>83</v>
      </c>
      <c r="AE122" s="179" t="s">
        <v>83</v>
      </c>
      <c r="AF122" s="179" t="s">
        <v>83</v>
      </c>
      <c r="AG122" s="179" t="s">
        <v>83</v>
      </c>
      <c r="AH122" s="179" t="s">
        <v>83</v>
      </c>
      <c r="AI122" s="179" t="s">
        <v>83</v>
      </c>
      <c r="AJ122" s="180">
        <v>1</v>
      </c>
      <c r="AK122" s="180">
        <v>2</v>
      </c>
      <c r="AL122" s="181">
        <v>3.36</v>
      </c>
      <c r="AM122" s="181">
        <v>2.7E-2</v>
      </c>
      <c r="AN122" s="181">
        <v>3</v>
      </c>
      <c r="AQ122" s="182">
        <f>AM122*I122+AL122</f>
        <v>3.6121799999999999</v>
      </c>
      <c r="AR122" s="182">
        <f t="shared" ref="AR122:AR127" si="135">0.1*AQ122</f>
        <v>0.36121800000000004</v>
      </c>
      <c r="AS122" s="183">
        <f t="shared" ref="AS122:AS127" si="136">AJ122*3+0.25*AK122</f>
        <v>3.5</v>
      </c>
      <c r="AT122" s="183">
        <f t="shared" ref="AT122:AT127" si="137">SUM(AQ122:AS122)/4</f>
        <v>1.8683494999999999</v>
      </c>
      <c r="AU122" s="182">
        <f>10068.2*J122*POWER(10,-6)</f>
        <v>9.4036988000000002E-2</v>
      </c>
      <c r="AV122" s="183">
        <f t="shared" ref="AV122:AV127" si="138">AU122+AT122+AS122+AR122+AQ122</f>
        <v>9.4357844879999995</v>
      </c>
      <c r="AW122" s="184">
        <f t="shared" ref="AW122:AW127" si="139">AJ122*H122</f>
        <v>9.9999999999999995E-8</v>
      </c>
      <c r="AX122" s="184">
        <f t="shared" ref="AX122:AX127" si="140">H122*AK122</f>
        <v>1.9999999999999999E-7</v>
      </c>
      <c r="AY122" s="184">
        <f t="shared" ref="AY122:AY127" si="141">H122*AV122</f>
        <v>9.4357844879999987E-7</v>
      </c>
      <c r="AZ122" s="227">
        <v>1</v>
      </c>
      <c r="BA122" s="227">
        <v>1</v>
      </c>
    </row>
    <row r="123" spans="1:53" s="179" customFormat="1" ht="15" thickBot="1" x14ac:dyDescent="0.35">
      <c r="A123" s="169" t="s">
        <v>19</v>
      </c>
      <c r="B123" s="169" t="str">
        <f>B122</f>
        <v xml:space="preserve">Емкость V-210/1 </v>
      </c>
      <c r="C123" s="171" t="s">
        <v>197</v>
      </c>
      <c r="D123" s="172" t="s">
        <v>62</v>
      </c>
      <c r="E123" s="185">
        <f>E122</f>
        <v>9.9999999999999995E-7</v>
      </c>
      <c r="F123" s="186">
        <f>F122</f>
        <v>1</v>
      </c>
      <c r="G123" s="169">
        <v>0.18000000000000002</v>
      </c>
      <c r="H123" s="174">
        <f t="shared" si="132"/>
        <v>1.8000000000000002E-7</v>
      </c>
      <c r="I123" s="187">
        <f>I122</f>
        <v>9.34</v>
      </c>
      <c r="J123" s="188">
        <v>0.04</v>
      </c>
      <c r="K123" s="177" t="s">
        <v>176</v>
      </c>
      <c r="L123" s="178">
        <v>0</v>
      </c>
      <c r="M123" s="179" t="str">
        <f t="shared" si="133"/>
        <v>С2</v>
      </c>
      <c r="N123" s="179" t="str">
        <f t="shared" si="133"/>
        <v xml:space="preserve">Емкость V-210/1 </v>
      </c>
      <c r="O123" s="179" t="str">
        <f t="shared" si="134"/>
        <v>Полное-взрыв</v>
      </c>
      <c r="P123" s="179" t="s">
        <v>83</v>
      </c>
      <c r="Q123" s="179" t="s">
        <v>83</v>
      </c>
      <c r="R123" s="179" t="s">
        <v>83</v>
      </c>
      <c r="S123" s="179" t="s">
        <v>83</v>
      </c>
      <c r="T123" s="179">
        <v>0</v>
      </c>
      <c r="U123" s="179">
        <v>0</v>
      </c>
      <c r="V123" s="179">
        <v>26.1</v>
      </c>
      <c r="W123" s="179">
        <v>86.6</v>
      </c>
      <c r="X123" s="179">
        <v>225.1</v>
      </c>
      <c r="Y123" s="179" t="s">
        <v>83</v>
      </c>
      <c r="Z123" s="179" t="s">
        <v>83</v>
      </c>
      <c r="AA123" s="179" t="s">
        <v>83</v>
      </c>
      <c r="AB123" s="179" t="s">
        <v>83</v>
      </c>
      <c r="AC123" s="179" t="s">
        <v>83</v>
      </c>
      <c r="AD123" s="179" t="s">
        <v>83</v>
      </c>
      <c r="AE123" s="179" t="s">
        <v>83</v>
      </c>
      <c r="AF123" s="179" t="s">
        <v>83</v>
      </c>
      <c r="AG123" s="179" t="s">
        <v>83</v>
      </c>
      <c r="AH123" s="179" t="s">
        <v>83</v>
      </c>
      <c r="AI123" s="179" t="s">
        <v>83</v>
      </c>
      <c r="AJ123" s="180">
        <v>2</v>
      </c>
      <c r="AK123" s="180">
        <v>2</v>
      </c>
      <c r="AL123" s="179">
        <f>AL122</f>
        <v>3.36</v>
      </c>
      <c r="AM123" s="179">
        <f>AM122</f>
        <v>2.7E-2</v>
      </c>
      <c r="AN123" s="179">
        <f>AN122</f>
        <v>3</v>
      </c>
      <c r="AQ123" s="182">
        <f>AM123*I123+AL123</f>
        <v>3.6121799999999999</v>
      </c>
      <c r="AR123" s="182">
        <f t="shared" si="135"/>
        <v>0.36121800000000004</v>
      </c>
      <c r="AS123" s="183">
        <f t="shared" si="136"/>
        <v>6.5</v>
      </c>
      <c r="AT123" s="183">
        <f t="shared" si="137"/>
        <v>2.6183494999999999</v>
      </c>
      <c r="AU123" s="182">
        <f>10068.2*J123*POWER(10,-6)*10</f>
        <v>4.0272800000000003E-3</v>
      </c>
      <c r="AV123" s="183">
        <f t="shared" si="138"/>
        <v>13.095774780000001</v>
      </c>
      <c r="AW123" s="184">
        <f t="shared" si="139"/>
        <v>3.6000000000000005E-7</v>
      </c>
      <c r="AX123" s="184">
        <f t="shared" si="140"/>
        <v>3.6000000000000005E-7</v>
      </c>
      <c r="AY123" s="184">
        <f t="shared" si="141"/>
        <v>2.3572394604000004E-6</v>
      </c>
      <c r="AZ123" s="227">
        <v>1</v>
      </c>
      <c r="BA123" s="227">
        <v>1</v>
      </c>
    </row>
    <row r="124" spans="1:53" s="179" customFormat="1" x14ac:dyDescent="0.3">
      <c r="A124" s="169" t="s">
        <v>20</v>
      </c>
      <c r="B124" s="169" t="str">
        <f>B122</f>
        <v xml:space="preserve">Емкость V-210/1 </v>
      </c>
      <c r="C124" s="171" t="s">
        <v>198</v>
      </c>
      <c r="D124" s="172" t="s">
        <v>60</v>
      </c>
      <c r="E124" s="185">
        <f>E122</f>
        <v>9.9999999999999995E-7</v>
      </c>
      <c r="F124" s="186">
        <f>F122</f>
        <v>1</v>
      </c>
      <c r="G124" s="169">
        <v>0.72000000000000008</v>
      </c>
      <c r="H124" s="174">
        <f t="shared" si="132"/>
        <v>7.2000000000000009E-7</v>
      </c>
      <c r="I124" s="187">
        <f>I122</f>
        <v>9.34</v>
      </c>
      <c r="J124" s="189">
        <v>0</v>
      </c>
      <c r="K124" s="177" t="s">
        <v>177</v>
      </c>
      <c r="L124" s="178">
        <v>0</v>
      </c>
      <c r="M124" s="179" t="str">
        <f t="shared" si="133"/>
        <v>С3</v>
      </c>
      <c r="N124" s="179" t="str">
        <f t="shared" si="133"/>
        <v xml:space="preserve">Емкость V-210/1 </v>
      </c>
      <c r="O124" s="179" t="str">
        <f t="shared" si="134"/>
        <v>Полное-ликвидация</v>
      </c>
      <c r="P124" s="179" t="s">
        <v>83</v>
      </c>
      <c r="Q124" s="179" t="s">
        <v>83</v>
      </c>
      <c r="R124" s="179" t="s">
        <v>83</v>
      </c>
      <c r="S124" s="179" t="s">
        <v>83</v>
      </c>
      <c r="T124" s="179" t="s">
        <v>83</v>
      </c>
      <c r="U124" s="179" t="s">
        <v>83</v>
      </c>
      <c r="V124" s="179" t="s">
        <v>83</v>
      </c>
      <c r="W124" s="179" t="s">
        <v>83</v>
      </c>
      <c r="X124" s="179" t="s">
        <v>83</v>
      </c>
      <c r="Y124" s="179" t="s">
        <v>83</v>
      </c>
      <c r="Z124" s="179" t="s">
        <v>83</v>
      </c>
      <c r="AA124" s="179" t="s">
        <v>83</v>
      </c>
      <c r="AB124" s="179" t="s">
        <v>83</v>
      </c>
      <c r="AC124" s="179" t="s">
        <v>83</v>
      </c>
      <c r="AD124" s="179" t="s">
        <v>83</v>
      </c>
      <c r="AE124" s="179" t="s">
        <v>83</v>
      </c>
      <c r="AF124" s="179" t="s">
        <v>83</v>
      </c>
      <c r="AG124" s="179" t="s">
        <v>83</v>
      </c>
      <c r="AH124" s="179" t="s">
        <v>83</v>
      </c>
      <c r="AI124" s="179" t="s">
        <v>83</v>
      </c>
      <c r="AJ124" s="179">
        <v>0</v>
      </c>
      <c r="AK124" s="179">
        <v>0</v>
      </c>
      <c r="AL124" s="179">
        <f>AL122</f>
        <v>3.36</v>
      </c>
      <c r="AM124" s="179">
        <f>AM122</f>
        <v>2.7E-2</v>
      </c>
      <c r="AN124" s="179">
        <f>AN122</f>
        <v>3</v>
      </c>
      <c r="AQ124" s="182">
        <f>AM124*I124*0.1+AL124</f>
        <v>3.3852180000000001</v>
      </c>
      <c r="AR124" s="182">
        <f t="shared" si="135"/>
        <v>0.33852180000000004</v>
      </c>
      <c r="AS124" s="183">
        <f t="shared" si="136"/>
        <v>0</v>
      </c>
      <c r="AT124" s="183">
        <f t="shared" si="137"/>
        <v>0.93093495000000004</v>
      </c>
      <c r="AU124" s="182">
        <f>1333*J123*POWER(10,-6)</f>
        <v>5.3319999999999998E-5</v>
      </c>
      <c r="AV124" s="183">
        <f t="shared" si="138"/>
        <v>4.65472807</v>
      </c>
      <c r="AW124" s="184">
        <f t="shared" si="139"/>
        <v>0</v>
      </c>
      <c r="AX124" s="184">
        <f t="shared" si="140"/>
        <v>0</v>
      </c>
      <c r="AY124" s="184">
        <f t="shared" si="141"/>
        <v>3.3514042104000003E-6</v>
      </c>
      <c r="AZ124" s="227">
        <v>1</v>
      </c>
      <c r="BA124" s="227">
        <v>1</v>
      </c>
    </row>
    <row r="125" spans="1:53" s="179" customFormat="1" x14ac:dyDescent="0.3">
      <c r="A125" s="169" t="s">
        <v>21</v>
      </c>
      <c r="B125" s="169" t="str">
        <f>B122</f>
        <v xml:space="preserve">Емкость V-210/1 </v>
      </c>
      <c r="C125" s="171" t="s">
        <v>199</v>
      </c>
      <c r="D125" s="172" t="s">
        <v>84</v>
      </c>
      <c r="E125" s="173">
        <v>1.0000000000000001E-5</v>
      </c>
      <c r="F125" s="186">
        <f>F122</f>
        <v>1</v>
      </c>
      <c r="G125" s="169">
        <v>0.1</v>
      </c>
      <c r="H125" s="174">
        <f t="shared" si="132"/>
        <v>1.0000000000000002E-6</v>
      </c>
      <c r="I125" s="187">
        <f>0.15*I122</f>
        <v>1.401</v>
      </c>
      <c r="J125" s="176">
        <f>I125</f>
        <v>1.401</v>
      </c>
      <c r="K125" s="190" t="s">
        <v>179</v>
      </c>
      <c r="L125" s="191">
        <v>45390</v>
      </c>
      <c r="M125" s="179" t="str">
        <f t="shared" si="133"/>
        <v>С4</v>
      </c>
      <c r="N125" s="179" t="str">
        <f t="shared" si="133"/>
        <v xml:space="preserve">Емкость V-210/1 </v>
      </c>
      <c r="O125" s="179" t="str">
        <f t="shared" si="134"/>
        <v>Частичное-пожар</v>
      </c>
      <c r="P125" s="179">
        <v>11.1</v>
      </c>
      <c r="Q125" s="179">
        <v>13.8</v>
      </c>
      <c r="R125" s="179">
        <v>17.600000000000001</v>
      </c>
      <c r="S125" s="179">
        <v>29.3</v>
      </c>
      <c r="T125" s="179" t="s">
        <v>83</v>
      </c>
      <c r="U125" s="179" t="s">
        <v>83</v>
      </c>
      <c r="V125" s="179" t="s">
        <v>83</v>
      </c>
      <c r="W125" s="179" t="s">
        <v>83</v>
      </c>
      <c r="X125" s="179" t="s">
        <v>83</v>
      </c>
      <c r="Y125" s="179" t="s">
        <v>83</v>
      </c>
      <c r="Z125" s="179" t="s">
        <v>83</v>
      </c>
      <c r="AA125" s="179" t="s">
        <v>83</v>
      </c>
      <c r="AB125" s="179" t="s">
        <v>83</v>
      </c>
      <c r="AC125" s="179" t="s">
        <v>83</v>
      </c>
      <c r="AD125" s="179" t="s">
        <v>83</v>
      </c>
      <c r="AE125" s="179" t="s">
        <v>83</v>
      </c>
      <c r="AF125" s="179" t="s">
        <v>83</v>
      </c>
      <c r="AG125" s="179" t="s">
        <v>83</v>
      </c>
      <c r="AH125" s="179" t="s">
        <v>83</v>
      </c>
      <c r="AI125" s="179" t="s">
        <v>83</v>
      </c>
      <c r="AJ125" s="179">
        <v>0</v>
      </c>
      <c r="AK125" s="179">
        <v>2</v>
      </c>
      <c r="AL125" s="179">
        <f>0.1*AL122</f>
        <v>0.33600000000000002</v>
      </c>
      <c r="AM125" s="179">
        <f>AM122</f>
        <v>2.7E-2</v>
      </c>
      <c r="AN125" s="179">
        <f>ROUNDUP(AN122/3,0)</f>
        <v>1</v>
      </c>
      <c r="AQ125" s="182">
        <f>AM125*I125+AL125</f>
        <v>0.37382700000000002</v>
      </c>
      <c r="AR125" s="182">
        <f t="shared" si="135"/>
        <v>3.7382700000000005E-2</v>
      </c>
      <c r="AS125" s="183">
        <f t="shared" si="136"/>
        <v>0.5</v>
      </c>
      <c r="AT125" s="183">
        <f t="shared" si="137"/>
        <v>0.227802425</v>
      </c>
      <c r="AU125" s="182">
        <f>10068.2*J125*POWER(10,-6)</f>
        <v>1.41055482E-2</v>
      </c>
      <c r="AV125" s="183">
        <f t="shared" si="138"/>
        <v>1.1531176732000001</v>
      </c>
      <c r="AW125" s="184">
        <f t="shared" si="139"/>
        <v>0</v>
      </c>
      <c r="AX125" s="184">
        <f t="shared" si="140"/>
        <v>2.0000000000000003E-6</v>
      </c>
      <c r="AY125" s="184">
        <f t="shared" si="141"/>
        <v>1.1531176732000004E-6</v>
      </c>
      <c r="AZ125" s="227">
        <v>1</v>
      </c>
      <c r="BA125" s="227">
        <v>1</v>
      </c>
    </row>
    <row r="126" spans="1:53" s="179" customFormat="1" x14ac:dyDescent="0.3">
      <c r="A126" s="169" t="s">
        <v>22</v>
      </c>
      <c r="B126" s="169" t="str">
        <f>B122</f>
        <v xml:space="preserve">Емкость V-210/1 </v>
      </c>
      <c r="C126" s="171" t="s">
        <v>200</v>
      </c>
      <c r="D126" s="172" t="s">
        <v>165</v>
      </c>
      <c r="E126" s="185">
        <f>E125</f>
        <v>1.0000000000000001E-5</v>
      </c>
      <c r="F126" s="186">
        <f>F122</f>
        <v>1</v>
      </c>
      <c r="G126" s="169">
        <v>4.5000000000000005E-2</v>
      </c>
      <c r="H126" s="174">
        <f t="shared" si="132"/>
        <v>4.5000000000000009E-7</v>
      </c>
      <c r="I126" s="187">
        <f>0.15*I122</f>
        <v>1.401</v>
      </c>
      <c r="J126" s="176">
        <f>0.15*J123</f>
        <v>6.0000000000000001E-3</v>
      </c>
      <c r="K126" s="190" t="s">
        <v>180</v>
      </c>
      <c r="L126" s="191">
        <v>3</v>
      </c>
      <c r="M126" s="179" t="str">
        <f t="shared" si="133"/>
        <v>С5</v>
      </c>
      <c r="N126" s="179" t="str">
        <f t="shared" si="133"/>
        <v xml:space="preserve">Емкость V-210/1 </v>
      </c>
      <c r="O126" s="179" t="str">
        <f t="shared" si="134"/>
        <v>Частичное-пожар-вспышка</v>
      </c>
      <c r="P126" s="179" t="s">
        <v>83</v>
      </c>
      <c r="Q126" s="179" t="s">
        <v>83</v>
      </c>
      <c r="R126" s="179" t="s">
        <v>83</v>
      </c>
      <c r="S126" s="179" t="s">
        <v>83</v>
      </c>
      <c r="T126" s="179" t="s">
        <v>83</v>
      </c>
      <c r="U126" s="179" t="s">
        <v>83</v>
      </c>
      <c r="V126" s="179" t="s">
        <v>83</v>
      </c>
      <c r="W126" s="179" t="s">
        <v>83</v>
      </c>
      <c r="X126" s="179" t="s">
        <v>83</v>
      </c>
      <c r="Y126" s="179" t="s">
        <v>83</v>
      </c>
      <c r="Z126" s="179" t="s">
        <v>83</v>
      </c>
      <c r="AA126" s="179">
        <v>6.2</v>
      </c>
      <c r="AB126" s="179">
        <v>7.44</v>
      </c>
      <c r="AC126" s="179" t="s">
        <v>83</v>
      </c>
      <c r="AD126" s="179" t="s">
        <v>83</v>
      </c>
      <c r="AE126" s="179" t="s">
        <v>83</v>
      </c>
      <c r="AF126" s="179" t="s">
        <v>83</v>
      </c>
      <c r="AG126" s="179" t="s">
        <v>83</v>
      </c>
      <c r="AH126" s="179" t="s">
        <v>83</v>
      </c>
      <c r="AI126" s="179" t="s">
        <v>83</v>
      </c>
      <c r="AJ126" s="179">
        <v>0</v>
      </c>
      <c r="AK126" s="179">
        <v>1</v>
      </c>
      <c r="AL126" s="179">
        <f t="shared" ref="AL126:AL127" si="142">0.1*AL123</f>
        <v>0.33600000000000002</v>
      </c>
      <c r="AM126" s="179">
        <f>AM122</f>
        <v>2.7E-2</v>
      </c>
      <c r="AN126" s="179">
        <f>ROUNDUP(AN122/3,0)</f>
        <v>1</v>
      </c>
      <c r="AQ126" s="182">
        <f>AM126*I126+AL126</f>
        <v>0.37382700000000002</v>
      </c>
      <c r="AR126" s="182">
        <f t="shared" si="135"/>
        <v>3.7382700000000005E-2</v>
      </c>
      <c r="AS126" s="183">
        <f t="shared" si="136"/>
        <v>0.25</v>
      </c>
      <c r="AT126" s="183">
        <f t="shared" si="137"/>
        <v>0.165302425</v>
      </c>
      <c r="AU126" s="182">
        <f>10068.2*J126*POWER(10,-6)*10</f>
        <v>6.0409200000000008E-4</v>
      </c>
      <c r="AV126" s="183">
        <f t="shared" si="138"/>
        <v>0.82711621700000004</v>
      </c>
      <c r="AW126" s="184">
        <f t="shared" si="139"/>
        <v>0</v>
      </c>
      <c r="AX126" s="184">
        <f t="shared" si="140"/>
        <v>4.5000000000000009E-7</v>
      </c>
      <c r="AY126" s="184">
        <f t="shared" si="141"/>
        <v>3.7220229765000009E-7</v>
      </c>
      <c r="AZ126" s="227">
        <v>1</v>
      </c>
      <c r="BA126" s="227">
        <v>1</v>
      </c>
    </row>
    <row r="127" spans="1:53" s="179" customFormat="1" ht="15" thickBot="1" x14ac:dyDescent="0.35">
      <c r="A127" s="169" t="s">
        <v>23</v>
      </c>
      <c r="B127" s="169" t="str">
        <f>B122</f>
        <v xml:space="preserve">Емкость V-210/1 </v>
      </c>
      <c r="C127" s="171" t="s">
        <v>201</v>
      </c>
      <c r="D127" s="172" t="s">
        <v>61</v>
      </c>
      <c r="E127" s="185">
        <f>E125</f>
        <v>1.0000000000000001E-5</v>
      </c>
      <c r="F127" s="186">
        <f>F122</f>
        <v>1</v>
      </c>
      <c r="G127" s="169">
        <v>0.85499999999999998</v>
      </c>
      <c r="H127" s="174">
        <f t="shared" si="132"/>
        <v>8.5500000000000011E-6</v>
      </c>
      <c r="I127" s="187">
        <f>0.15*I122</f>
        <v>1.401</v>
      </c>
      <c r="J127" s="189">
        <v>0</v>
      </c>
      <c r="K127" s="192" t="s">
        <v>191</v>
      </c>
      <c r="L127" s="192">
        <v>9</v>
      </c>
      <c r="M127" s="179" t="str">
        <f t="shared" si="133"/>
        <v>С6</v>
      </c>
      <c r="N127" s="179" t="str">
        <f t="shared" si="133"/>
        <v xml:space="preserve">Емкость V-210/1 </v>
      </c>
      <c r="O127" s="179" t="str">
        <f t="shared" si="134"/>
        <v>Частичное-ликвидация</v>
      </c>
      <c r="P127" s="179" t="s">
        <v>83</v>
      </c>
      <c r="Q127" s="179" t="s">
        <v>83</v>
      </c>
      <c r="R127" s="179" t="s">
        <v>83</v>
      </c>
      <c r="S127" s="179" t="s">
        <v>83</v>
      </c>
      <c r="T127" s="179" t="s">
        <v>83</v>
      </c>
      <c r="U127" s="179" t="s">
        <v>83</v>
      </c>
      <c r="V127" s="179" t="s">
        <v>83</v>
      </c>
      <c r="W127" s="179" t="s">
        <v>83</v>
      </c>
      <c r="X127" s="179" t="s">
        <v>83</v>
      </c>
      <c r="Y127" s="179" t="s">
        <v>83</v>
      </c>
      <c r="Z127" s="179" t="s">
        <v>83</v>
      </c>
      <c r="AA127" s="179" t="s">
        <v>83</v>
      </c>
      <c r="AB127" s="179" t="s">
        <v>83</v>
      </c>
      <c r="AC127" s="179" t="s">
        <v>83</v>
      </c>
      <c r="AD127" s="179" t="s">
        <v>83</v>
      </c>
      <c r="AE127" s="179" t="s">
        <v>83</v>
      </c>
      <c r="AF127" s="179" t="s">
        <v>83</v>
      </c>
      <c r="AG127" s="179" t="s">
        <v>83</v>
      </c>
      <c r="AH127" s="179" t="s">
        <v>83</v>
      </c>
      <c r="AI127" s="179" t="s">
        <v>83</v>
      </c>
      <c r="AJ127" s="179">
        <v>0</v>
      </c>
      <c r="AK127" s="179">
        <v>0</v>
      </c>
      <c r="AL127" s="179">
        <f t="shared" si="142"/>
        <v>0.33600000000000002</v>
      </c>
      <c r="AM127" s="179">
        <f>AM122</f>
        <v>2.7E-2</v>
      </c>
      <c r="AN127" s="179">
        <f>ROUNDUP(AN122/3,0)</f>
        <v>1</v>
      </c>
      <c r="AQ127" s="182">
        <f>AM127*I127*0.1+AL127</f>
        <v>0.33978269999999999</v>
      </c>
      <c r="AR127" s="182">
        <f t="shared" si="135"/>
        <v>3.3978269999999998E-2</v>
      </c>
      <c r="AS127" s="183">
        <f t="shared" si="136"/>
        <v>0</v>
      </c>
      <c r="AT127" s="183">
        <f t="shared" si="137"/>
        <v>9.3440242499999993E-2</v>
      </c>
      <c r="AU127" s="182">
        <f>1333*J126*POWER(10,-6)</f>
        <v>7.9980000000000003E-6</v>
      </c>
      <c r="AV127" s="183">
        <f t="shared" si="138"/>
        <v>0.46720921049999997</v>
      </c>
      <c r="AW127" s="184">
        <f t="shared" si="139"/>
        <v>0</v>
      </c>
      <c r="AX127" s="184">
        <f t="shared" si="140"/>
        <v>0</v>
      </c>
      <c r="AY127" s="184">
        <f t="shared" si="141"/>
        <v>3.9946387497750001E-6</v>
      </c>
      <c r="AZ127" s="227">
        <v>1</v>
      </c>
      <c r="BA127" s="227">
        <v>1</v>
      </c>
    </row>
    <row r="128" spans="1:53" s="179" customFormat="1" x14ac:dyDescent="0.3">
      <c r="A128" s="180"/>
      <c r="B128" s="180"/>
      <c r="D128" s="271"/>
      <c r="E128" s="272"/>
      <c r="F128" s="273"/>
      <c r="G128" s="180"/>
      <c r="H128" s="184"/>
      <c r="I128" s="183"/>
      <c r="J128" s="180"/>
      <c r="K128" s="180"/>
      <c r="L128" s="180"/>
      <c r="P128" s="179" t="s">
        <v>83</v>
      </c>
      <c r="Q128" s="179" t="s">
        <v>83</v>
      </c>
      <c r="R128" s="179" t="s">
        <v>83</v>
      </c>
      <c r="S128" s="179" t="s">
        <v>83</v>
      </c>
      <c r="T128" s="179" t="s">
        <v>83</v>
      </c>
      <c r="U128" s="179" t="s">
        <v>83</v>
      </c>
      <c r="V128" s="179" t="s">
        <v>83</v>
      </c>
      <c r="W128" s="179" t="s">
        <v>83</v>
      </c>
      <c r="X128" s="179" t="s">
        <v>83</v>
      </c>
      <c r="Y128" s="179" t="s">
        <v>83</v>
      </c>
      <c r="Z128" s="179" t="s">
        <v>83</v>
      </c>
      <c r="AA128" s="179" t="s">
        <v>83</v>
      </c>
      <c r="AB128" s="179" t="s">
        <v>83</v>
      </c>
      <c r="AC128" s="179" t="s">
        <v>83</v>
      </c>
      <c r="AD128" s="179" t="s">
        <v>83</v>
      </c>
      <c r="AE128" s="179" t="s">
        <v>83</v>
      </c>
      <c r="AF128" s="179" t="s">
        <v>83</v>
      </c>
      <c r="AG128" s="179" t="s">
        <v>83</v>
      </c>
      <c r="AH128" s="179" t="s">
        <v>83</v>
      </c>
      <c r="AI128" s="179" t="s">
        <v>83</v>
      </c>
      <c r="AQ128" s="182"/>
      <c r="AR128" s="182"/>
      <c r="AS128" s="183"/>
      <c r="AT128" s="183"/>
      <c r="AU128" s="182"/>
      <c r="AV128" s="183"/>
      <c r="AW128" s="184"/>
      <c r="AX128" s="184"/>
      <c r="AY128" s="184"/>
      <c r="AZ128" s="227">
        <v>1</v>
      </c>
      <c r="BA128" s="227">
        <v>1</v>
      </c>
    </row>
    <row r="129" spans="1:53" s="179" customFormat="1" x14ac:dyDescent="0.3">
      <c r="A129" s="180"/>
      <c r="B129" s="180"/>
      <c r="D129" s="271"/>
      <c r="E129" s="272"/>
      <c r="F129" s="273"/>
      <c r="G129" s="180"/>
      <c r="H129" s="184"/>
      <c r="I129" s="183"/>
      <c r="J129" s="180"/>
      <c r="K129" s="180"/>
      <c r="L129" s="180"/>
      <c r="P129" s="179" t="s">
        <v>83</v>
      </c>
      <c r="Q129" s="179" t="s">
        <v>83</v>
      </c>
      <c r="R129" s="179" t="s">
        <v>83</v>
      </c>
      <c r="S129" s="179" t="s">
        <v>83</v>
      </c>
      <c r="T129" s="179" t="s">
        <v>83</v>
      </c>
      <c r="U129" s="179" t="s">
        <v>83</v>
      </c>
      <c r="V129" s="179" t="s">
        <v>83</v>
      </c>
      <c r="W129" s="179" t="s">
        <v>83</v>
      </c>
      <c r="X129" s="179" t="s">
        <v>83</v>
      </c>
      <c r="Y129" s="179" t="s">
        <v>83</v>
      </c>
      <c r="Z129" s="179" t="s">
        <v>83</v>
      </c>
      <c r="AA129" s="179" t="s">
        <v>83</v>
      </c>
      <c r="AB129" s="179" t="s">
        <v>83</v>
      </c>
      <c r="AC129" s="179" t="s">
        <v>83</v>
      </c>
      <c r="AD129" s="179" t="s">
        <v>83</v>
      </c>
      <c r="AE129" s="179" t="s">
        <v>83</v>
      </c>
      <c r="AF129" s="179" t="s">
        <v>83</v>
      </c>
      <c r="AG129" s="179" t="s">
        <v>83</v>
      </c>
      <c r="AH129" s="179" t="s">
        <v>83</v>
      </c>
      <c r="AI129" s="179" t="s">
        <v>83</v>
      </c>
      <c r="AQ129" s="182"/>
      <c r="AR129" s="182"/>
      <c r="AS129" s="183"/>
      <c r="AT129" s="183"/>
      <c r="AU129" s="182"/>
      <c r="AV129" s="183"/>
      <c r="AW129" s="184"/>
      <c r="AX129" s="184"/>
      <c r="AY129" s="184"/>
      <c r="AZ129" s="227">
        <v>1</v>
      </c>
      <c r="BA129" s="227">
        <v>1</v>
      </c>
    </row>
    <row r="130" spans="1:53" s="179" customFormat="1" x14ac:dyDescent="0.3">
      <c r="A130" s="180"/>
      <c r="B130" s="180"/>
      <c r="D130" s="271"/>
      <c r="E130" s="272"/>
      <c r="F130" s="273"/>
      <c r="G130" s="180"/>
      <c r="H130" s="184"/>
      <c r="I130" s="183"/>
      <c r="J130" s="180"/>
      <c r="K130" s="180"/>
      <c r="L130" s="180"/>
      <c r="P130" s="179" t="s">
        <v>83</v>
      </c>
      <c r="Q130" s="179" t="s">
        <v>83</v>
      </c>
      <c r="R130" s="179" t="s">
        <v>83</v>
      </c>
      <c r="S130" s="179" t="s">
        <v>83</v>
      </c>
      <c r="T130" s="179" t="s">
        <v>83</v>
      </c>
      <c r="U130" s="179" t="s">
        <v>83</v>
      </c>
      <c r="V130" s="179" t="s">
        <v>83</v>
      </c>
      <c r="W130" s="179" t="s">
        <v>83</v>
      </c>
      <c r="X130" s="179" t="s">
        <v>83</v>
      </c>
      <c r="Y130" s="179" t="s">
        <v>83</v>
      </c>
      <c r="Z130" s="179" t="s">
        <v>83</v>
      </c>
      <c r="AA130" s="179" t="s">
        <v>83</v>
      </c>
      <c r="AB130" s="179" t="s">
        <v>83</v>
      </c>
      <c r="AC130" s="179" t="s">
        <v>83</v>
      </c>
      <c r="AD130" s="179" t="s">
        <v>83</v>
      </c>
      <c r="AE130" s="179" t="s">
        <v>83</v>
      </c>
      <c r="AF130" s="179" t="s">
        <v>83</v>
      </c>
      <c r="AG130" s="179" t="s">
        <v>83</v>
      </c>
      <c r="AH130" s="179" t="s">
        <v>83</v>
      </c>
      <c r="AI130" s="179" t="s">
        <v>83</v>
      </c>
      <c r="AQ130" s="182"/>
      <c r="AR130" s="182"/>
      <c r="AS130" s="183"/>
      <c r="AT130" s="183"/>
      <c r="AU130" s="182"/>
      <c r="AV130" s="183"/>
      <c r="AW130" s="184"/>
      <c r="AX130" s="184"/>
      <c r="AY130" s="184"/>
      <c r="AZ130" s="227">
        <v>1</v>
      </c>
      <c r="BA130" s="227">
        <v>1</v>
      </c>
    </row>
    <row r="131" spans="1:53" ht="15" thickBot="1" x14ac:dyDescent="0.35"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Z131" s="227">
        <v>1</v>
      </c>
      <c r="BA131" s="227">
        <v>1</v>
      </c>
    </row>
    <row r="132" spans="1:53" s="179" customFormat="1" ht="15" thickBot="1" x14ac:dyDescent="0.35">
      <c r="A132" s="169" t="s">
        <v>18</v>
      </c>
      <c r="B132" s="312" t="s">
        <v>428</v>
      </c>
      <c r="C132" s="171" t="s">
        <v>196</v>
      </c>
      <c r="D132" s="172" t="s">
        <v>59</v>
      </c>
      <c r="E132" s="173">
        <v>9.9999999999999995E-7</v>
      </c>
      <c r="F132" s="170">
        <v>1</v>
      </c>
      <c r="G132" s="169">
        <v>0.1</v>
      </c>
      <c r="H132" s="174">
        <f t="shared" ref="H132:H137" si="143">E132*F132*G132</f>
        <v>9.9999999999999995E-8</v>
      </c>
      <c r="I132" s="175">
        <v>5.69</v>
      </c>
      <c r="J132" s="176">
        <f>I132</f>
        <v>5.69</v>
      </c>
      <c r="K132" s="177" t="s">
        <v>175</v>
      </c>
      <c r="L132" s="178">
        <v>120</v>
      </c>
      <c r="M132" s="179" t="str">
        <f t="shared" ref="M132:N137" si="144">A132</f>
        <v>С1</v>
      </c>
      <c r="N132" s="179" t="str">
        <f t="shared" si="144"/>
        <v xml:space="preserve">Емкость V-216/1 </v>
      </c>
      <c r="O132" s="179" t="str">
        <f t="shared" ref="O132:O137" si="145">D132</f>
        <v>Полное-пожар</v>
      </c>
      <c r="P132" s="179">
        <v>15.2</v>
      </c>
      <c r="Q132" s="179">
        <v>20.3</v>
      </c>
      <c r="R132" s="179">
        <v>28.1</v>
      </c>
      <c r="S132" s="179">
        <v>50.9</v>
      </c>
      <c r="T132" s="179" t="s">
        <v>83</v>
      </c>
      <c r="U132" s="179" t="s">
        <v>83</v>
      </c>
      <c r="V132" s="179" t="s">
        <v>83</v>
      </c>
      <c r="W132" s="179" t="s">
        <v>83</v>
      </c>
      <c r="X132" s="179" t="s">
        <v>83</v>
      </c>
      <c r="Y132" s="179" t="s">
        <v>83</v>
      </c>
      <c r="Z132" s="179" t="s">
        <v>83</v>
      </c>
      <c r="AA132" s="179" t="s">
        <v>83</v>
      </c>
      <c r="AB132" s="179" t="s">
        <v>83</v>
      </c>
      <c r="AC132" s="179" t="s">
        <v>83</v>
      </c>
      <c r="AD132" s="179" t="s">
        <v>83</v>
      </c>
      <c r="AE132" s="179" t="s">
        <v>83</v>
      </c>
      <c r="AF132" s="179" t="s">
        <v>83</v>
      </c>
      <c r="AG132" s="179" t="s">
        <v>83</v>
      </c>
      <c r="AH132" s="179" t="s">
        <v>83</v>
      </c>
      <c r="AI132" s="179" t="s">
        <v>83</v>
      </c>
      <c r="AJ132" s="180">
        <v>1</v>
      </c>
      <c r="AK132" s="180">
        <v>2</v>
      </c>
      <c r="AL132" s="181">
        <v>2.6</v>
      </c>
      <c r="AM132" s="181">
        <v>2.7E-2</v>
      </c>
      <c r="AN132" s="181">
        <v>3</v>
      </c>
      <c r="AQ132" s="182">
        <f>AM132*I132+AL132</f>
        <v>2.7536300000000002</v>
      </c>
      <c r="AR132" s="182">
        <f t="shared" ref="AR132:AR137" si="146">0.1*AQ132</f>
        <v>0.27536300000000002</v>
      </c>
      <c r="AS132" s="183">
        <f t="shared" ref="AS132:AS137" si="147">AJ132*3+0.25*AK132</f>
        <v>3.5</v>
      </c>
      <c r="AT132" s="183">
        <f t="shared" ref="AT132:AT137" si="148">SUM(AQ132:AS132)/4</f>
        <v>1.63224825</v>
      </c>
      <c r="AU132" s="182">
        <f>10068.2*J132*POWER(10,-6)</f>
        <v>5.7288058000000003E-2</v>
      </c>
      <c r="AV132" s="183">
        <f t="shared" ref="AV132:AV137" si="149">AU132+AT132+AS132+AR132+AQ132</f>
        <v>8.2185293080000008</v>
      </c>
      <c r="AW132" s="184">
        <f t="shared" ref="AW132:AW137" si="150">AJ132*H132</f>
        <v>9.9999999999999995E-8</v>
      </c>
      <c r="AX132" s="184">
        <f t="shared" ref="AX132:AX137" si="151">H132*AK132</f>
        <v>1.9999999999999999E-7</v>
      </c>
      <c r="AY132" s="184">
        <f t="shared" ref="AY132:AY137" si="152">H132*AV132</f>
        <v>8.2185293080000002E-7</v>
      </c>
      <c r="AZ132" s="227">
        <v>1</v>
      </c>
      <c r="BA132" s="227">
        <v>1</v>
      </c>
    </row>
    <row r="133" spans="1:53" s="179" customFormat="1" ht="15" thickBot="1" x14ac:dyDescent="0.35">
      <c r="A133" s="169" t="s">
        <v>19</v>
      </c>
      <c r="B133" s="169" t="str">
        <f>B132</f>
        <v xml:space="preserve">Емкость V-216/1 </v>
      </c>
      <c r="C133" s="171" t="s">
        <v>197</v>
      </c>
      <c r="D133" s="172" t="s">
        <v>62</v>
      </c>
      <c r="E133" s="185">
        <f>E132</f>
        <v>9.9999999999999995E-7</v>
      </c>
      <c r="F133" s="186">
        <f>F132</f>
        <v>1</v>
      </c>
      <c r="G133" s="169">
        <v>0.18000000000000002</v>
      </c>
      <c r="H133" s="174">
        <f t="shared" si="143"/>
        <v>1.8000000000000002E-7</v>
      </c>
      <c r="I133" s="187">
        <f>I132</f>
        <v>5.69</v>
      </c>
      <c r="J133" s="188">
        <v>0.5</v>
      </c>
      <c r="K133" s="177" t="s">
        <v>176</v>
      </c>
      <c r="L133" s="178">
        <v>0</v>
      </c>
      <c r="M133" s="179" t="str">
        <f t="shared" si="144"/>
        <v>С2</v>
      </c>
      <c r="N133" s="179" t="str">
        <f t="shared" si="144"/>
        <v xml:space="preserve">Емкость V-216/1 </v>
      </c>
      <c r="O133" s="179" t="str">
        <f t="shared" si="145"/>
        <v>Полное-взрыв</v>
      </c>
      <c r="P133" s="179" t="s">
        <v>83</v>
      </c>
      <c r="Q133" s="179" t="s">
        <v>83</v>
      </c>
      <c r="R133" s="179" t="s">
        <v>83</v>
      </c>
      <c r="S133" s="179" t="s">
        <v>83</v>
      </c>
      <c r="T133" s="179">
        <v>0</v>
      </c>
      <c r="U133" s="179">
        <v>0</v>
      </c>
      <c r="V133" s="179">
        <v>60.1</v>
      </c>
      <c r="W133" s="179">
        <v>200.6</v>
      </c>
      <c r="X133" s="179">
        <v>522.1</v>
      </c>
      <c r="Y133" s="179" t="s">
        <v>83</v>
      </c>
      <c r="Z133" s="179" t="s">
        <v>83</v>
      </c>
      <c r="AA133" s="179" t="s">
        <v>83</v>
      </c>
      <c r="AB133" s="179" t="s">
        <v>83</v>
      </c>
      <c r="AC133" s="179" t="s">
        <v>83</v>
      </c>
      <c r="AD133" s="179" t="s">
        <v>83</v>
      </c>
      <c r="AE133" s="179" t="s">
        <v>83</v>
      </c>
      <c r="AF133" s="179" t="s">
        <v>83</v>
      </c>
      <c r="AG133" s="179" t="s">
        <v>83</v>
      </c>
      <c r="AH133" s="179" t="s">
        <v>83</v>
      </c>
      <c r="AI133" s="179" t="s">
        <v>83</v>
      </c>
      <c r="AJ133" s="180">
        <v>2</v>
      </c>
      <c r="AK133" s="180">
        <v>2</v>
      </c>
      <c r="AL133" s="179">
        <f>AL132</f>
        <v>2.6</v>
      </c>
      <c r="AM133" s="179">
        <f>AM132</f>
        <v>2.7E-2</v>
      </c>
      <c r="AN133" s="179">
        <f>AN132</f>
        <v>3</v>
      </c>
      <c r="AQ133" s="182">
        <f>AM133*I133+AL133</f>
        <v>2.7536300000000002</v>
      </c>
      <c r="AR133" s="182">
        <f t="shared" si="146"/>
        <v>0.27536300000000002</v>
      </c>
      <c r="AS133" s="183">
        <f t="shared" si="147"/>
        <v>6.5</v>
      </c>
      <c r="AT133" s="183">
        <f t="shared" si="148"/>
        <v>2.38224825</v>
      </c>
      <c r="AU133" s="182">
        <f>10068.2*J133*POWER(10,-6)*10</f>
        <v>5.0341000000000004E-2</v>
      </c>
      <c r="AV133" s="183">
        <f t="shared" si="149"/>
        <v>11.961582249999999</v>
      </c>
      <c r="AW133" s="184">
        <f t="shared" si="150"/>
        <v>3.6000000000000005E-7</v>
      </c>
      <c r="AX133" s="184">
        <f t="shared" si="151"/>
        <v>3.6000000000000005E-7</v>
      </c>
      <c r="AY133" s="184">
        <f t="shared" si="152"/>
        <v>2.153084805E-6</v>
      </c>
      <c r="AZ133" s="227">
        <v>1</v>
      </c>
      <c r="BA133" s="227">
        <v>1</v>
      </c>
    </row>
    <row r="134" spans="1:53" s="179" customFormat="1" x14ac:dyDescent="0.3">
      <c r="A134" s="169" t="s">
        <v>20</v>
      </c>
      <c r="B134" s="169" t="str">
        <f>B132</f>
        <v xml:space="preserve">Емкость V-216/1 </v>
      </c>
      <c r="C134" s="171" t="s">
        <v>198</v>
      </c>
      <c r="D134" s="172" t="s">
        <v>60</v>
      </c>
      <c r="E134" s="185">
        <f>E132</f>
        <v>9.9999999999999995E-7</v>
      </c>
      <c r="F134" s="186">
        <f>F132</f>
        <v>1</v>
      </c>
      <c r="G134" s="169">
        <v>0.72000000000000008</v>
      </c>
      <c r="H134" s="174">
        <f t="shared" si="143"/>
        <v>7.2000000000000009E-7</v>
      </c>
      <c r="I134" s="187">
        <f>I132</f>
        <v>5.69</v>
      </c>
      <c r="J134" s="189">
        <v>0</v>
      </c>
      <c r="K134" s="177" t="s">
        <v>177</v>
      </c>
      <c r="L134" s="178">
        <v>0</v>
      </c>
      <c r="M134" s="179" t="str">
        <f t="shared" si="144"/>
        <v>С3</v>
      </c>
      <c r="N134" s="179" t="str">
        <f t="shared" si="144"/>
        <v xml:space="preserve">Емкость V-216/1 </v>
      </c>
      <c r="O134" s="179" t="str">
        <f t="shared" si="145"/>
        <v>Полное-ликвидация</v>
      </c>
      <c r="P134" s="179" t="s">
        <v>83</v>
      </c>
      <c r="Q134" s="179" t="s">
        <v>83</v>
      </c>
      <c r="R134" s="179" t="s">
        <v>83</v>
      </c>
      <c r="S134" s="179" t="s">
        <v>83</v>
      </c>
      <c r="T134" s="179" t="s">
        <v>83</v>
      </c>
      <c r="U134" s="179" t="s">
        <v>83</v>
      </c>
      <c r="V134" s="179" t="s">
        <v>83</v>
      </c>
      <c r="W134" s="179" t="s">
        <v>83</v>
      </c>
      <c r="X134" s="179" t="s">
        <v>83</v>
      </c>
      <c r="Y134" s="179" t="s">
        <v>83</v>
      </c>
      <c r="Z134" s="179" t="s">
        <v>83</v>
      </c>
      <c r="AA134" s="179" t="s">
        <v>83</v>
      </c>
      <c r="AB134" s="179" t="s">
        <v>83</v>
      </c>
      <c r="AC134" s="179" t="s">
        <v>83</v>
      </c>
      <c r="AD134" s="179" t="s">
        <v>83</v>
      </c>
      <c r="AE134" s="179" t="s">
        <v>83</v>
      </c>
      <c r="AF134" s="179" t="s">
        <v>83</v>
      </c>
      <c r="AG134" s="179" t="s">
        <v>83</v>
      </c>
      <c r="AH134" s="179" t="s">
        <v>83</v>
      </c>
      <c r="AI134" s="179" t="s">
        <v>83</v>
      </c>
      <c r="AJ134" s="179">
        <v>0</v>
      </c>
      <c r="AK134" s="179">
        <v>0</v>
      </c>
      <c r="AL134" s="179">
        <f>AL132</f>
        <v>2.6</v>
      </c>
      <c r="AM134" s="179">
        <f>AM132</f>
        <v>2.7E-2</v>
      </c>
      <c r="AN134" s="179">
        <f>AN132</f>
        <v>3</v>
      </c>
      <c r="AQ134" s="182">
        <f>AM134*I134*0.1+AL134</f>
        <v>2.6153629999999999</v>
      </c>
      <c r="AR134" s="182">
        <f t="shared" si="146"/>
        <v>0.2615363</v>
      </c>
      <c r="AS134" s="183">
        <f t="shared" si="147"/>
        <v>0</v>
      </c>
      <c r="AT134" s="183">
        <f t="shared" si="148"/>
        <v>0.71922482499999996</v>
      </c>
      <c r="AU134" s="182">
        <f>1333*J133*POWER(10,-6)</f>
        <v>6.6649999999999999E-4</v>
      </c>
      <c r="AV134" s="183">
        <f t="shared" si="149"/>
        <v>3.5967906249999997</v>
      </c>
      <c r="AW134" s="184">
        <f t="shared" si="150"/>
        <v>0</v>
      </c>
      <c r="AX134" s="184">
        <f t="shared" si="151"/>
        <v>0</v>
      </c>
      <c r="AY134" s="184">
        <f t="shared" si="152"/>
        <v>2.5896892500000001E-6</v>
      </c>
      <c r="AZ134" s="227">
        <v>1</v>
      </c>
      <c r="BA134" s="227">
        <v>1</v>
      </c>
    </row>
    <row r="135" spans="1:53" s="179" customFormat="1" x14ac:dyDescent="0.3">
      <c r="A135" s="169" t="s">
        <v>21</v>
      </c>
      <c r="B135" s="169" t="str">
        <f>B132</f>
        <v xml:space="preserve">Емкость V-216/1 </v>
      </c>
      <c r="C135" s="171" t="s">
        <v>199</v>
      </c>
      <c r="D135" s="172" t="s">
        <v>84</v>
      </c>
      <c r="E135" s="173">
        <v>1.0000000000000001E-5</v>
      </c>
      <c r="F135" s="186">
        <f>F132</f>
        <v>1</v>
      </c>
      <c r="G135" s="169">
        <v>0.1</v>
      </c>
      <c r="H135" s="174">
        <f t="shared" si="143"/>
        <v>1.0000000000000002E-6</v>
      </c>
      <c r="I135" s="187">
        <f>0.15*I132</f>
        <v>0.85350000000000004</v>
      </c>
      <c r="J135" s="176">
        <f>I135</f>
        <v>0.85350000000000004</v>
      </c>
      <c r="K135" s="190" t="s">
        <v>179</v>
      </c>
      <c r="L135" s="191">
        <v>45390</v>
      </c>
      <c r="M135" s="179" t="str">
        <f t="shared" si="144"/>
        <v>С4</v>
      </c>
      <c r="N135" s="179" t="str">
        <f t="shared" si="144"/>
        <v xml:space="preserve">Емкость V-216/1 </v>
      </c>
      <c r="O135" s="179" t="str">
        <f t="shared" si="145"/>
        <v>Частичное-пожар</v>
      </c>
      <c r="P135" s="179">
        <v>11.1</v>
      </c>
      <c r="Q135" s="179">
        <v>13.8</v>
      </c>
      <c r="R135" s="179">
        <v>17.600000000000001</v>
      </c>
      <c r="S135" s="179">
        <v>29.3</v>
      </c>
      <c r="T135" s="179" t="s">
        <v>83</v>
      </c>
      <c r="U135" s="179" t="s">
        <v>83</v>
      </c>
      <c r="V135" s="179" t="s">
        <v>83</v>
      </c>
      <c r="W135" s="179" t="s">
        <v>83</v>
      </c>
      <c r="X135" s="179" t="s">
        <v>83</v>
      </c>
      <c r="Y135" s="179" t="s">
        <v>83</v>
      </c>
      <c r="Z135" s="179" t="s">
        <v>83</v>
      </c>
      <c r="AA135" s="179" t="s">
        <v>83</v>
      </c>
      <c r="AB135" s="179" t="s">
        <v>83</v>
      </c>
      <c r="AC135" s="179" t="s">
        <v>83</v>
      </c>
      <c r="AD135" s="179" t="s">
        <v>83</v>
      </c>
      <c r="AE135" s="179" t="s">
        <v>83</v>
      </c>
      <c r="AF135" s="179" t="s">
        <v>83</v>
      </c>
      <c r="AG135" s="179" t="s">
        <v>83</v>
      </c>
      <c r="AH135" s="179" t="s">
        <v>83</v>
      </c>
      <c r="AI135" s="179" t="s">
        <v>83</v>
      </c>
      <c r="AJ135" s="179">
        <v>0</v>
      </c>
      <c r="AK135" s="179">
        <v>2</v>
      </c>
      <c r="AL135" s="179">
        <f>0.1*AL132</f>
        <v>0.26</v>
      </c>
      <c r="AM135" s="179">
        <f>AM132</f>
        <v>2.7E-2</v>
      </c>
      <c r="AN135" s="179">
        <f>ROUNDUP(AN132/3,0)</f>
        <v>1</v>
      </c>
      <c r="AQ135" s="182">
        <f>AM135*I135+AL135</f>
        <v>0.28304450000000003</v>
      </c>
      <c r="AR135" s="182">
        <f t="shared" si="146"/>
        <v>2.8304450000000005E-2</v>
      </c>
      <c r="AS135" s="183">
        <f t="shared" si="147"/>
        <v>0.5</v>
      </c>
      <c r="AT135" s="183">
        <f t="shared" si="148"/>
        <v>0.20283723749999999</v>
      </c>
      <c r="AU135" s="182">
        <f>10068.2*J135*POWER(10,-6)</f>
        <v>8.5932087000000004E-3</v>
      </c>
      <c r="AV135" s="183">
        <f t="shared" si="149"/>
        <v>1.0227793962</v>
      </c>
      <c r="AW135" s="184">
        <f t="shared" si="150"/>
        <v>0</v>
      </c>
      <c r="AX135" s="184">
        <f t="shared" si="151"/>
        <v>2.0000000000000003E-6</v>
      </c>
      <c r="AY135" s="184">
        <f t="shared" si="152"/>
        <v>1.0227793962000001E-6</v>
      </c>
      <c r="AZ135" s="227">
        <v>1</v>
      </c>
      <c r="BA135" s="227">
        <v>1</v>
      </c>
    </row>
    <row r="136" spans="1:53" s="179" customFormat="1" x14ac:dyDescent="0.3">
      <c r="A136" s="169" t="s">
        <v>22</v>
      </c>
      <c r="B136" s="169" t="str">
        <f>B132</f>
        <v xml:space="preserve">Емкость V-216/1 </v>
      </c>
      <c r="C136" s="171" t="s">
        <v>200</v>
      </c>
      <c r="D136" s="172" t="s">
        <v>165</v>
      </c>
      <c r="E136" s="185">
        <f>E135</f>
        <v>1.0000000000000001E-5</v>
      </c>
      <c r="F136" s="186">
        <f>F132</f>
        <v>1</v>
      </c>
      <c r="G136" s="169">
        <v>4.5000000000000005E-2</v>
      </c>
      <c r="H136" s="174">
        <f t="shared" si="143"/>
        <v>4.5000000000000009E-7</v>
      </c>
      <c r="I136" s="187">
        <f>0.15*I132</f>
        <v>0.85350000000000004</v>
      </c>
      <c r="J136" s="176">
        <f>0.15*J133</f>
        <v>7.4999999999999997E-2</v>
      </c>
      <c r="K136" s="190" t="s">
        <v>180</v>
      </c>
      <c r="L136" s="191">
        <v>3</v>
      </c>
      <c r="M136" s="179" t="str">
        <f t="shared" si="144"/>
        <v>С5</v>
      </c>
      <c r="N136" s="179" t="str">
        <f t="shared" si="144"/>
        <v xml:space="preserve">Емкость V-216/1 </v>
      </c>
      <c r="O136" s="179" t="str">
        <f t="shared" si="145"/>
        <v>Частичное-пожар-вспышка</v>
      </c>
      <c r="P136" s="179" t="s">
        <v>83</v>
      </c>
      <c r="Q136" s="179" t="s">
        <v>83</v>
      </c>
      <c r="R136" s="179" t="s">
        <v>83</v>
      </c>
      <c r="S136" s="179" t="s">
        <v>83</v>
      </c>
      <c r="T136" s="179" t="s">
        <v>83</v>
      </c>
      <c r="U136" s="179" t="s">
        <v>83</v>
      </c>
      <c r="V136" s="179" t="s">
        <v>83</v>
      </c>
      <c r="W136" s="179" t="s">
        <v>83</v>
      </c>
      <c r="X136" s="179" t="s">
        <v>83</v>
      </c>
      <c r="Y136" s="179" t="s">
        <v>83</v>
      </c>
      <c r="Z136" s="179" t="s">
        <v>83</v>
      </c>
      <c r="AA136" s="179">
        <v>14.26</v>
      </c>
      <c r="AB136" s="179">
        <v>17.11</v>
      </c>
      <c r="AC136" s="179" t="s">
        <v>83</v>
      </c>
      <c r="AD136" s="179" t="s">
        <v>83</v>
      </c>
      <c r="AE136" s="179" t="s">
        <v>83</v>
      </c>
      <c r="AF136" s="179" t="s">
        <v>83</v>
      </c>
      <c r="AG136" s="179" t="s">
        <v>83</v>
      </c>
      <c r="AH136" s="179" t="s">
        <v>83</v>
      </c>
      <c r="AI136" s="179" t="s">
        <v>83</v>
      </c>
      <c r="AJ136" s="179">
        <v>0</v>
      </c>
      <c r="AK136" s="179">
        <v>1</v>
      </c>
      <c r="AL136" s="179">
        <f t="shared" ref="AL136:AL137" si="153">0.1*AL133</f>
        <v>0.26</v>
      </c>
      <c r="AM136" s="179">
        <f>AM132</f>
        <v>2.7E-2</v>
      </c>
      <c r="AN136" s="179">
        <f>ROUNDUP(AN132/3,0)</f>
        <v>1</v>
      </c>
      <c r="AQ136" s="182">
        <f>AM136*I136+AL136</f>
        <v>0.28304450000000003</v>
      </c>
      <c r="AR136" s="182">
        <f t="shared" si="146"/>
        <v>2.8304450000000005E-2</v>
      </c>
      <c r="AS136" s="183">
        <f t="shared" si="147"/>
        <v>0.25</v>
      </c>
      <c r="AT136" s="183">
        <f t="shared" si="148"/>
        <v>0.14033723749999999</v>
      </c>
      <c r="AU136" s="182">
        <f>10068.2*J136*POWER(10,-6)*10</f>
        <v>7.5511499999999995E-3</v>
      </c>
      <c r="AV136" s="183">
        <f t="shared" si="149"/>
        <v>0.70923733750000006</v>
      </c>
      <c r="AW136" s="184">
        <f t="shared" si="150"/>
        <v>0</v>
      </c>
      <c r="AX136" s="184">
        <f t="shared" si="151"/>
        <v>4.5000000000000009E-7</v>
      </c>
      <c r="AY136" s="184">
        <f t="shared" si="152"/>
        <v>3.1915680187500007E-7</v>
      </c>
      <c r="AZ136" s="227">
        <v>1</v>
      </c>
      <c r="BA136" s="227">
        <v>1</v>
      </c>
    </row>
    <row r="137" spans="1:53" s="179" customFormat="1" ht="15" thickBot="1" x14ac:dyDescent="0.35">
      <c r="A137" s="169" t="s">
        <v>23</v>
      </c>
      <c r="B137" s="169" t="str">
        <f>B132</f>
        <v xml:space="preserve">Емкость V-216/1 </v>
      </c>
      <c r="C137" s="171" t="s">
        <v>201</v>
      </c>
      <c r="D137" s="172" t="s">
        <v>61</v>
      </c>
      <c r="E137" s="185">
        <f>E135</f>
        <v>1.0000000000000001E-5</v>
      </c>
      <c r="F137" s="186">
        <f>F132</f>
        <v>1</v>
      </c>
      <c r="G137" s="169">
        <v>0.85499999999999998</v>
      </c>
      <c r="H137" s="174">
        <f t="shared" si="143"/>
        <v>8.5500000000000011E-6</v>
      </c>
      <c r="I137" s="187">
        <f>0.15*I132</f>
        <v>0.85350000000000004</v>
      </c>
      <c r="J137" s="189">
        <v>0</v>
      </c>
      <c r="K137" s="192" t="s">
        <v>191</v>
      </c>
      <c r="L137" s="192">
        <v>9</v>
      </c>
      <c r="M137" s="179" t="str">
        <f t="shared" si="144"/>
        <v>С6</v>
      </c>
      <c r="N137" s="179" t="str">
        <f t="shared" si="144"/>
        <v xml:space="preserve">Емкость V-216/1 </v>
      </c>
      <c r="O137" s="179" t="str">
        <f t="shared" si="145"/>
        <v>Частичное-ликвидация</v>
      </c>
      <c r="P137" s="179" t="s">
        <v>83</v>
      </c>
      <c r="Q137" s="179" t="s">
        <v>83</v>
      </c>
      <c r="R137" s="179" t="s">
        <v>83</v>
      </c>
      <c r="S137" s="179" t="s">
        <v>83</v>
      </c>
      <c r="T137" s="179" t="s">
        <v>83</v>
      </c>
      <c r="U137" s="179" t="s">
        <v>83</v>
      </c>
      <c r="V137" s="179" t="s">
        <v>83</v>
      </c>
      <c r="W137" s="179" t="s">
        <v>83</v>
      </c>
      <c r="X137" s="179" t="s">
        <v>83</v>
      </c>
      <c r="Y137" s="179" t="s">
        <v>83</v>
      </c>
      <c r="Z137" s="179" t="s">
        <v>83</v>
      </c>
      <c r="AA137" s="179" t="s">
        <v>83</v>
      </c>
      <c r="AB137" s="179" t="s">
        <v>83</v>
      </c>
      <c r="AC137" s="179" t="s">
        <v>83</v>
      </c>
      <c r="AD137" s="179" t="s">
        <v>83</v>
      </c>
      <c r="AE137" s="179" t="s">
        <v>83</v>
      </c>
      <c r="AF137" s="179" t="s">
        <v>83</v>
      </c>
      <c r="AG137" s="179" t="s">
        <v>83</v>
      </c>
      <c r="AH137" s="179" t="s">
        <v>83</v>
      </c>
      <c r="AI137" s="179" t="s">
        <v>83</v>
      </c>
      <c r="AJ137" s="179">
        <v>0</v>
      </c>
      <c r="AK137" s="179">
        <v>0</v>
      </c>
      <c r="AL137" s="179">
        <f t="shared" si="153"/>
        <v>0.26</v>
      </c>
      <c r="AM137" s="179">
        <f>AM132</f>
        <v>2.7E-2</v>
      </c>
      <c r="AN137" s="179">
        <f>ROUNDUP(AN132/3,0)</f>
        <v>1</v>
      </c>
      <c r="AQ137" s="182">
        <f>AM137*I137*0.1+AL137</f>
        <v>0.26230445000000002</v>
      </c>
      <c r="AR137" s="182">
        <f t="shared" si="146"/>
        <v>2.6230445000000005E-2</v>
      </c>
      <c r="AS137" s="183">
        <f t="shared" si="147"/>
        <v>0</v>
      </c>
      <c r="AT137" s="183">
        <f t="shared" si="148"/>
        <v>7.2133723750000003E-2</v>
      </c>
      <c r="AU137" s="182">
        <f>1333*J136*POWER(10,-6)</f>
        <v>9.9974999999999991E-5</v>
      </c>
      <c r="AV137" s="183">
        <f t="shared" si="149"/>
        <v>0.36076859375000003</v>
      </c>
      <c r="AW137" s="184">
        <f t="shared" si="150"/>
        <v>0</v>
      </c>
      <c r="AX137" s="184">
        <f t="shared" si="151"/>
        <v>0</v>
      </c>
      <c r="AY137" s="184">
        <f t="shared" si="152"/>
        <v>3.0845714765625006E-6</v>
      </c>
      <c r="AZ137" s="227">
        <v>1</v>
      </c>
      <c r="BA137" s="227">
        <v>1</v>
      </c>
    </row>
    <row r="138" spans="1:53" s="179" customFormat="1" x14ac:dyDescent="0.3">
      <c r="A138" s="180"/>
      <c r="B138" s="180"/>
      <c r="D138" s="271"/>
      <c r="E138" s="272"/>
      <c r="F138" s="273"/>
      <c r="G138" s="180"/>
      <c r="H138" s="184"/>
      <c r="I138" s="183"/>
      <c r="J138" s="180"/>
      <c r="K138" s="180"/>
      <c r="L138" s="180"/>
      <c r="P138" s="179" t="s">
        <v>83</v>
      </c>
      <c r="Q138" s="179" t="s">
        <v>83</v>
      </c>
      <c r="R138" s="179" t="s">
        <v>83</v>
      </c>
      <c r="S138" s="179" t="s">
        <v>83</v>
      </c>
      <c r="T138" s="179" t="s">
        <v>83</v>
      </c>
      <c r="U138" s="179" t="s">
        <v>83</v>
      </c>
      <c r="V138" s="179" t="s">
        <v>83</v>
      </c>
      <c r="W138" s="179" t="s">
        <v>83</v>
      </c>
      <c r="X138" s="179" t="s">
        <v>83</v>
      </c>
      <c r="Y138" s="179" t="s">
        <v>83</v>
      </c>
      <c r="Z138" s="179" t="s">
        <v>83</v>
      </c>
      <c r="AA138" s="179" t="s">
        <v>83</v>
      </c>
      <c r="AB138" s="179" t="s">
        <v>83</v>
      </c>
      <c r="AC138" s="179" t="s">
        <v>83</v>
      </c>
      <c r="AD138" s="179" t="s">
        <v>83</v>
      </c>
      <c r="AE138" s="179" t="s">
        <v>83</v>
      </c>
      <c r="AF138" s="179" t="s">
        <v>83</v>
      </c>
      <c r="AG138" s="179" t="s">
        <v>83</v>
      </c>
      <c r="AH138" s="179" t="s">
        <v>83</v>
      </c>
      <c r="AI138" s="179" t="s">
        <v>83</v>
      </c>
      <c r="AQ138" s="182"/>
      <c r="AR138" s="182"/>
      <c r="AS138" s="183"/>
      <c r="AT138" s="183"/>
      <c r="AU138" s="182"/>
      <c r="AV138" s="183"/>
      <c r="AW138" s="184"/>
      <c r="AX138" s="184"/>
      <c r="AY138" s="184"/>
      <c r="AZ138" s="227">
        <v>1</v>
      </c>
      <c r="BA138" s="227">
        <v>1</v>
      </c>
    </row>
    <row r="139" spans="1:53" s="179" customFormat="1" x14ac:dyDescent="0.3">
      <c r="A139" s="180"/>
      <c r="B139" s="180"/>
      <c r="D139" s="271"/>
      <c r="E139" s="272"/>
      <c r="F139" s="273"/>
      <c r="G139" s="180"/>
      <c r="H139" s="184"/>
      <c r="I139" s="183"/>
      <c r="J139" s="180"/>
      <c r="K139" s="180"/>
      <c r="L139" s="180"/>
      <c r="P139" s="179" t="s">
        <v>83</v>
      </c>
      <c r="Q139" s="179" t="s">
        <v>83</v>
      </c>
      <c r="R139" s="179" t="s">
        <v>83</v>
      </c>
      <c r="S139" s="179" t="s">
        <v>83</v>
      </c>
      <c r="T139" s="179" t="s">
        <v>83</v>
      </c>
      <c r="U139" s="179" t="s">
        <v>83</v>
      </c>
      <c r="V139" s="179" t="s">
        <v>83</v>
      </c>
      <c r="W139" s="179" t="s">
        <v>83</v>
      </c>
      <c r="X139" s="179" t="s">
        <v>83</v>
      </c>
      <c r="Y139" s="179" t="s">
        <v>83</v>
      </c>
      <c r="Z139" s="179" t="s">
        <v>83</v>
      </c>
      <c r="AA139" s="179" t="s">
        <v>83</v>
      </c>
      <c r="AB139" s="179" t="s">
        <v>83</v>
      </c>
      <c r="AC139" s="179" t="s">
        <v>83</v>
      </c>
      <c r="AD139" s="179" t="s">
        <v>83</v>
      </c>
      <c r="AE139" s="179" t="s">
        <v>83</v>
      </c>
      <c r="AF139" s="179" t="s">
        <v>83</v>
      </c>
      <c r="AG139" s="179" t="s">
        <v>83</v>
      </c>
      <c r="AH139" s="179" t="s">
        <v>83</v>
      </c>
      <c r="AI139" s="179" t="s">
        <v>83</v>
      </c>
      <c r="AQ139" s="182"/>
      <c r="AR139" s="182"/>
      <c r="AS139" s="183"/>
      <c r="AT139" s="183"/>
      <c r="AU139" s="182"/>
      <c r="AV139" s="183"/>
      <c r="AW139" s="184"/>
      <c r="AX139" s="184"/>
      <c r="AY139" s="184"/>
      <c r="AZ139" s="227">
        <v>1</v>
      </c>
      <c r="BA139" s="227">
        <v>1</v>
      </c>
    </row>
    <row r="140" spans="1:53" s="179" customFormat="1" x14ac:dyDescent="0.3">
      <c r="A140" s="180"/>
      <c r="B140" s="180"/>
      <c r="D140" s="271"/>
      <c r="E140" s="272"/>
      <c r="F140" s="273"/>
      <c r="G140" s="180"/>
      <c r="H140" s="184"/>
      <c r="I140" s="183"/>
      <c r="J140" s="180"/>
      <c r="K140" s="180"/>
      <c r="L140" s="180"/>
      <c r="P140" s="179" t="s">
        <v>83</v>
      </c>
      <c r="Q140" s="179" t="s">
        <v>83</v>
      </c>
      <c r="R140" s="179" t="s">
        <v>83</v>
      </c>
      <c r="S140" s="179" t="s">
        <v>83</v>
      </c>
      <c r="T140" s="179" t="s">
        <v>83</v>
      </c>
      <c r="U140" s="179" t="s">
        <v>83</v>
      </c>
      <c r="V140" s="179" t="s">
        <v>83</v>
      </c>
      <c r="W140" s="179" t="s">
        <v>83</v>
      </c>
      <c r="X140" s="179" t="s">
        <v>83</v>
      </c>
      <c r="Y140" s="179" t="s">
        <v>83</v>
      </c>
      <c r="Z140" s="179" t="s">
        <v>83</v>
      </c>
      <c r="AA140" s="179" t="s">
        <v>83</v>
      </c>
      <c r="AB140" s="179" t="s">
        <v>83</v>
      </c>
      <c r="AC140" s="179" t="s">
        <v>83</v>
      </c>
      <c r="AD140" s="179" t="s">
        <v>83</v>
      </c>
      <c r="AE140" s="179" t="s">
        <v>83</v>
      </c>
      <c r="AF140" s="179" t="s">
        <v>83</v>
      </c>
      <c r="AG140" s="179" t="s">
        <v>83</v>
      </c>
      <c r="AH140" s="179" t="s">
        <v>83</v>
      </c>
      <c r="AI140" s="179" t="s">
        <v>83</v>
      </c>
      <c r="AQ140" s="182"/>
      <c r="AR140" s="182"/>
      <c r="AS140" s="183"/>
      <c r="AT140" s="183"/>
      <c r="AU140" s="182"/>
      <c r="AV140" s="183"/>
      <c r="AW140" s="184"/>
      <c r="AX140" s="184"/>
      <c r="AY140" s="184"/>
      <c r="AZ140" s="227">
        <v>1</v>
      </c>
      <c r="BA140" s="227">
        <v>1</v>
      </c>
    </row>
    <row r="141" spans="1:53" s="402" customFormat="1" ht="15" thickBot="1" x14ac:dyDescent="0.35">
      <c r="A141" s="401"/>
      <c r="B141" s="401"/>
      <c r="D141" s="403"/>
      <c r="E141" s="401"/>
      <c r="F141" s="401"/>
      <c r="G141" s="401"/>
      <c r="H141" s="401"/>
      <c r="I141" s="401"/>
      <c r="J141" s="401"/>
      <c r="K141" s="401"/>
      <c r="P141" s="402" t="s">
        <v>83</v>
      </c>
      <c r="Q141" s="402" t="s">
        <v>83</v>
      </c>
      <c r="R141" s="402" t="s">
        <v>83</v>
      </c>
      <c r="S141" s="402" t="s">
        <v>83</v>
      </c>
      <c r="T141" s="402" t="s">
        <v>83</v>
      </c>
      <c r="U141" s="402" t="s">
        <v>83</v>
      </c>
      <c r="V141" s="402" t="s">
        <v>83</v>
      </c>
      <c r="W141" s="402" t="s">
        <v>83</v>
      </c>
      <c r="X141" s="402" t="s">
        <v>83</v>
      </c>
      <c r="Y141" s="402" t="s">
        <v>83</v>
      </c>
      <c r="Z141" s="402" t="s">
        <v>83</v>
      </c>
      <c r="AA141" s="402" t="s">
        <v>83</v>
      </c>
      <c r="AB141" s="402" t="s">
        <v>83</v>
      </c>
      <c r="AC141" s="402" t="s">
        <v>83</v>
      </c>
      <c r="AD141" s="402" t="s">
        <v>83</v>
      </c>
      <c r="AE141" s="402" t="s">
        <v>83</v>
      </c>
      <c r="AF141" s="402" t="s">
        <v>83</v>
      </c>
      <c r="AG141" s="402" t="s">
        <v>83</v>
      </c>
      <c r="AH141" s="402" t="s">
        <v>83</v>
      </c>
      <c r="AI141" s="402" t="s">
        <v>83</v>
      </c>
      <c r="AZ141" s="227">
        <v>1</v>
      </c>
      <c r="BA141" s="227">
        <v>1</v>
      </c>
    </row>
    <row r="142" spans="1:53" s="202" customFormat="1" ht="15" thickBot="1" x14ac:dyDescent="0.35">
      <c r="A142" s="193" t="s">
        <v>18</v>
      </c>
      <c r="B142" s="311" t="s">
        <v>429</v>
      </c>
      <c r="C142" s="51" t="s">
        <v>196</v>
      </c>
      <c r="D142" s="195" t="s">
        <v>59</v>
      </c>
      <c r="E142" s="196">
        <v>1.0000000000000001E-5</v>
      </c>
      <c r="F142" s="194">
        <v>1</v>
      </c>
      <c r="G142" s="193">
        <v>0.05</v>
      </c>
      <c r="H142" s="197">
        <f t="shared" ref="H142:H147" si="154">E142*F142*G142</f>
        <v>5.0000000000000008E-7</v>
      </c>
      <c r="I142" s="198">
        <v>3.98</v>
      </c>
      <c r="J142" s="210">
        <f>I142</f>
        <v>3.98</v>
      </c>
      <c r="K142" s="200" t="s">
        <v>175</v>
      </c>
      <c r="L142" s="201">
        <v>150</v>
      </c>
      <c r="M142" s="202" t="str">
        <f t="shared" ref="M142:N147" si="155">A142</f>
        <v>С1</v>
      </c>
      <c r="N142" s="202" t="str">
        <f t="shared" si="155"/>
        <v xml:space="preserve">Емкость Е-1 </v>
      </c>
      <c r="O142" s="202" t="str">
        <f t="shared" ref="O142:O147" si="156">D142</f>
        <v>Полное-пожар</v>
      </c>
      <c r="P142" s="202">
        <v>15.7</v>
      </c>
      <c r="Q142" s="202">
        <v>21.1</v>
      </c>
      <c r="R142" s="202">
        <v>29.3</v>
      </c>
      <c r="S142" s="202">
        <v>53.3</v>
      </c>
      <c r="T142" s="202" t="s">
        <v>83</v>
      </c>
      <c r="U142" s="202" t="s">
        <v>83</v>
      </c>
      <c r="V142" s="202" t="s">
        <v>83</v>
      </c>
      <c r="W142" s="202" t="s">
        <v>83</v>
      </c>
      <c r="X142" s="202" t="s">
        <v>83</v>
      </c>
      <c r="Y142" s="202" t="s">
        <v>83</v>
      </c>
      <c r="Z142" s="202" t="s">
        <v>83</v>
      </c>
      <c r="AA142" s="202" t="s">
        <v>83</v>
      </c>
      <c r="AB142" s="202" t="s">
        <v>83</v>
      </c>
      <c r="AC142" s="202" t="s">
        <v>83</v>
      </c>
      <c r="AD142" s="202" t="s">
        <v>83</v>
      </c>
      <c r="AE142" s="202" t="s">
        <v>83</v>
      </c>
      <c r="AF142" s="202" t="s">
        <v>83</v>
      </c>
      <c r="AG142" s="202" t="s">
        <v>83</v>
      </c>
      <c r="AH142" s="202" t="s">
        <v>83</v>
      </c>
      <c r="AI142" s="202" t="s">
        <v>83</v>
      </c>
      <c r="AJ142" s="203">
        <v>1</v>
      </c>
      <c r="AK142" s="203">
        <v>2</v>
      </c>
      <c r="AL142" s="204">
        <v>1.96</v>
      </c>
      <c r="AM142" s="204">
        <v>2.7E-2</v>
      </c>
      <c r="AN142" s="204">
        <v>5</v>
      </c>
      <c r="AQ142" s="205">
        <f>AM142*I142+AL142</f>
        <v>2.0674600000000001</v>
      </c>
      <c r="AR142" s="205">
        <f t="shared" ref="AR142:AR147" si="157">0.1*AQ142</f>
        <v>0.20674600000000001</v>
      </c>
      <c r="AS142" s="206">
        <f t="shared" ref="AS142:AS147" si="158">AJ142*3+0.25*AK142</f>
        <v>3.5</v>
      </c>
      <c r="AT142" s="206">
        <f t="shared" ref="AT142:AT147" si="159">SUM(AQ142:AS142)/4</f>
        <v>1.4435514999999999</v>
      </c>
      <c r="AU142" s="205">
        <f>10068.2*J142*POWER(10,-6)</f>
        <v>4.0071436000000002E-2</v>
      </c>
      <c r="AV142" s="206">
        <f t="shared" ref="AV142:AV147" si="160">AU142+AT142+AS142+AR142+AQ142</f>
        <v>7.2578289359999992</v>
      </c>
      <c r="AW142" s="207">
        <f t="shared" ref="AW142:AW147" si="161">AJ142*H142</f>
        <v>5.0000000000000008E-7</v>
      </c>
      <c r="AX142" s="207">
        <f t="shared" ref="AX142:AX147" si="162">H142*AK142</f>
        <v>1.0000000000000002E-6</v>
      </c>
      <c r="AY142" s="207">
        <f t="shared" ref="AY142:AY147" si="163">H142*AV142</f>
        <v>3.6289144680000001E-6</v>
      </c>
      <c r="AZ142" s="227">
        <v>1</v>
      </c>
      <c r="BA142" s="227">
        <v>1</v>
      </c>
    </row>
    <row r="143" spans="1:53" s="202" customFormat="1" ht="15" thickBot="1" x14ac:dyDescent="0.35">
      <c r="A143" s="193" t="s">
        <v>19</v>
      </c>
      <c r="B143" s="193" t="str">
        <f>B142</f>
        <v xml:space="preserve">Емкость Е-1 </v>
      </c>
      <c r="C143" s="51" t="s">
        <v>205</v>
      </c>
      <c r="D143" s="195" t="s">
        <v>59</v>
      </c>
      <c r="E143" s="208">
        <f>E142</f>
        <v>1.0000000000000001E-5</v>
      </c>
      <c r="F143" s="209">
        <f>F142</f>
        <v>1</v>
      </c>
      <c r="G143" s="193">
        <v>4.7500000000000001E-2</v>
      </c>
      <c r="H143" s="197">
        <f t="shared" si="154"/>
        <v>4.7500000000000006E-7</v>
      </c>
      <c r="I143" s="210">
        <f>I142</f>
        <v>3.98</v>
      </c>
      <c r="J143" s="210">
        <f>I142</f>
        <v>3.98</v>
      </c>
      <c r="K143" s="200" t="s">
        <v>176</v>
      </c>
      <c r="L143" s="201">
        <v>0</v>
      </c>
      <c r="M143" s="202" t="str">
        <f t="shared" si="155"/>
        <v>С2</v>
      </c>
      <c r="N143" s="202" t="str">
        <f t="shared" si="155"/>
        <v xml:space="preserve">Емкость Е-1 </v>
      </c>
      <c r="O143" s="202" t="str">
        <f t="shared" si="156"/>
        <v>Полное-пожар</v>
      </c>
      <c r="P143" s="202">
        <v>15.7</v>
      </c>
      <c r="Q143" s="202">
        <v>21.1</v>
      </c>
      <c r="R143" s="202">
        <v>29.3</v>
      </c>
      <c r="S143" s="202">
        <v>53.3</v>
      </c>
      <c r="T143" s="202" t="s">
        <v>83</v>
      </c>
      <c r="U143" s="202" t="s">
        <v>83</v>
      </c>
      <c r="V143" s="202" t="s">
        <v>83</v>
      </c>
      <c r="W143" s="202" t="s">
        <v>83</v>
      </c>
      <c r="X143" s="202" t="s">
        <v>83</v>
      </c>
      <c r="Y143" s="202" t="s">
        <v>83</v>
      </c>
      <c r="Z143" s="202" t="s">
        <v>83</v>
      </c>
      <c r="AA143" s="202" t="s">
        <v>83</v>
      </c>
      <c r="AB143" s="202" t="s">
        <v>83</v>
      </c>
      <c r="AC143" s="202" t="s">
        <v>83</v>
      </c>
      <c r="AD143" s="202" t="s">
        <v>83</v>
      </c>
      <c r="AE143" s="202" t="s">
        <v>83</v>
      </c>
      <c r="AF143" s="202" t="s">
        <v>83</v>
      </c>
      <c r="AG143" s="202" t="s">
        <v>83</v>
      </c>
      <c r="AH143" s="202" t="s">
        <v>83</v>
      </c>
      <c r="AI143" s="202" t="s">
        <v>83</v>
      </c>
      <c r="AJ143" s="203">
        <v>2</v>
      </c>
      <c r="AK143" s="203">
        <v>2</v>
      </c>
      <c r="AL143" s="202">
        <f>AL142</f>
        <v>1.96</v>
      </c>
      <c r="AM143" s="202">
        <f>AM142</f>
        <v>2.7E-2</v>
      </c>
      <c r="AN143" s="202">
        <f>AN142</f>
        <v>5</v>
      </c>
      <c r="AQ143" s="205">
        <f>AM143*I143+AL143</f>
        <v>2.0674600000000001</v>
      </c>
      <c r="AR143" s="205">
        <f t="shared" si="157"/>
        <v>0.20674600000000001</v>
      </c>
      <c r="AS143" s="206">
        <f t="shared" si="158"/>
        <v>6.5</v>
      </c>
      <c r="AT143" s="206">
        <f t="shared" si="159"/>
        <v>2.1935514999999999</v>
      </c>
      <c r="AU143" s="205">
        <f>10068.2*J143*POWER(10,-6)</f>
        <v>4.0071436000000002E-2</v>
      </c>
      <c r="AV143" s="206">
        <f t="shared" si="160"/>
        <v>11.007828936000001</v>
      </c>
      <c r="AW143" s="207">
        <f t="shared" si="161"/>
        <v>9.5000000000000012E-7</v>
      </c>
      <c r="AX143" s="207">
        <f t="shared" si="162"/>
        <v>9.5000000000000012E-7</v>
      </c>
      <c r="AY143" s="207">
        <f t="shared" si="163"/>
        <v>5.2287187446000007E-6</v>
      </c>
      <c r="AZ143" s="227">
        <v>1</v>
      </c>
      <c r="BA143" s="227">
        <v>1</v>
      </c>
    </row>
    <row r="144" spans="1:53" s="202" customFormat="1" x14ac:dyDescent="0.3">
      <c r="A144" s="193" t="s">
        <v>20</v>
      </c>
      <c r="B144" s="193" t="str">
        <f>B142</f>
        <v xml:space="preserve">Емкость Е-1 </v>
      </c>
      <c r="C144" s="51" t="s">
        <v>198</v>
      </c>
      <c r="D144" s="195" t="s">
        <v>60</v>
      </c>
      <c r="E144" s="208">
        <f>E142</f>
        <v>1.0000000000000001E-5</v>
      </c>
      <c r="F144" s="209">
        <f>F142</f>
        <v>1</v>
      </c>
      <c r="G144" s="193">
        <v>0.90249999999999997</v>
      </c>
      <c r="H144" s="197">
        <f t="shared" si="154"/>
        <v>9.0250000000000008E-6</v>
      </c>
      <c r="I144" s="210">
        <f>I142</f>
        <v>3.98</v>
      </c>
      <c r="J144" s="193">
        <v>0</v>
      </c>
      <c r="K144" s="200" t="s">
        <v>177</v>
      </c>
      <c r="L144" s="201">
        <v>0</v>
      </c>
      <c r="M144" s="202" t="str">
        <f t="shared" si="155"/>
        <v>С3</v>
      </c>
      <c r="N144" s="202" t="str">
        <f t="shared" si="155"/>
        <v xml:space="preserve">Емкость Е-1 </v>
      </c>
      <c r="O144" s="202" t="str">
        <f t="shared" si="156"/>
        <v>Полное-ликвидация</v>
      </c>
      <c r="P144" s="202" t="s">
        <v>83</v>
      </c>
      <c r="Q144" s="202" t="s">
        <v>83</v>
      </c>
      <c r="R144" s="202" t="s">
        <v>83</v>
      </c>
      <c r="S144" s="202" t="s">
        <v>83</v>
      </c>
      <c r="T144" s="202" t="s">
        <v>83</v>
      </c>
      <c r="U144" s="202" t="s">
        <v>83</v>
      </c>
      <c r="V144" s="202" t="s">
        <v>83</v>
      </c>
      <c r="W144" s="202" t="s">
        <v>83</v>
      </c>
      <c r="X144" s="202" t="s">
        <v>83</v>
      </c>
      <c r="Y144" s="202" t="s">
        <v>83</v>
      </c>
      <c r="Z144" s="202" t="s">
        <v>83</v>
      </c>
      <c r="AA144" s="202" t="s">
        <v>83</v>
      </c>
      <c r="AB144" s="202" t="s">
        <v>83</v>
      </c>
      <c r="AC144" s="202" t="s">
        <v>83</v>
      </c>
      <c r="AD144" s="202" t="s">
        <v>83</v>
      </c>
      <c r="AE144" s="202" t="s">
        <v>83</v>
      </c>
      <c r="AF144" s="202" t="s">
        <v>83</v>
      </c>
      <c r="AG144" s="202" t="s">
        <v>83</v>
      </c>
      <c r="AH144" s="202" t="s">
        <v>83</v>
      </c>
      <c r="AI144" s="202" t="s">
        <v>83</v>
      </c>
      <c r="AJ144" s="202">
        <v>0</v>
      </c>
      <c r="AK144" s="202">
        <v>0</v>
      </c>
      <c r="AL144" s="202">
        <f>AL142</f>
        <v>1.96</v>
      </c>
      <c r="AM144" s="202">
        <f>AM142</f>
        <v>2.7E-2</v>
      </c>
      <c r="AN144" s="202">
        <f>AN142</f>
        <v>5</v>
      </c>
      <c r="AQ144" s="205">
        <f>AM144*I144*0.1+AL144</f>
        <v>1.9707459999999999</v>
      </c>
      <c r="AR144" s="205">
        <f t="shared" si="157"/>
        <v>0.19707459999999999</v>
      </c>
      <c r="AS144" s="206">
        <f t="shared" si="158"/>
        <v>0</v>
      </c>
      <c r="AT144" s="206">
        <f t="shared" si="159"/>
        <v>0.54195514999999994</v>
      </c>
      <c r="AU144" s="205">
        <f>1333*J143*POWER(10,-6)</f>
        <v>5.3053399999999995E-3</v>
      </c>
      <c r="AV144" s="206">
        <f t="shared" si="160"/>
        <v>2.71508109</v>
      </c>
      <c r="AW144" s="207">
        <f t="shared" si="161"/>
        <v>0</v>
      </c>
      <c r="AX144" s="207">
        <f t="shared" si="162"/>
        <v>0</v>
      </c>
      <c r="AY144" s="207">
        <f t="shared" si="163"/>
        <v>2.4503606837250001E-5</v>
      </c>
      <c r="AZ144" s="227">
        <v>1</v>
      </c>
      <c r="BA144" s="227">
        <v>1</v>
      </c>
    </row>
    <row r="145" spans="1:53" s="202" customFormat="1" x14ac:dyDescent="0.3">
      <c r="A145" s="193" t="s">
        <v>21</v>
      </c>
      <c r="B145" s="193" t="str">
        <f>B142</f>
        <v xml:space="preserve">Емкость Е-1 </v>
      </c>
      <c r="C145" s="51" t="s">
        <v>199</v>
      </c>
      <c r="D145" s="195" t="s">
        <v>84</v>
      </c>
      <c r="E145" s="196">
        <v>1E-4</v>
      </c>
      <c r="F145" s="209">
        <f>F142</f>
        <v>1</v>
      </c>
      <c r="G145" s="193">
        <v>0.05</v>
      </c>
      <c r="H145" s="197">
        <f t="shared" si="154"/>
        <v>5.0000000000000004E-6</v>
      </c>
      <c r="I145" s="210">
        <f>0.15*I142</f>
        <v>0.59699999999999998</v>
      </c>
      <c r="J145" s="210">
        <f>I145</f>
        <v>0.59699999999999998</v>
      </c>
      <c r="K145" s="213" t="s">
        <v>179</v>
      </c>
      <c r="L145" s="214">
        <v>45390</v>
      </c>
      <c r="M145" s="202" t="str">
        <f t="shared" si="155"/>
        <v>С4</v>
      </c>
      <c r="N145" s="202" t="str">
        <f t="shared" si="155"/>
        <v xml:space="preserve">Емкость Е-1 </v>
      </c>
      <c r="O145" s="202" t="str">
        <f t="shared" si="156"/>
        <v>Частичное-пожар</v>
      </c>
      <c r="P145" s="202">
        <v>11.6</v>
      </c>
      <c r="Q145" s="202">
        <v>14.5</v>
      </c>
      <c r="R145" s="202">
        <v>18.7</v>
      </c>
      <c r="S145" s="202">
        <v>31.3</v>
      </c>
      <c r="T145" s="202" t="s">
        <v>83</v>
      </c>
      <c r="U145" s="202" t="s">
        <v>83</v>
      </c>
      <c r="V145" s="202" t="s">
        <v>83</v>
      </c>
      <c r="W145" s="202" t="s">
        <v>83</v>
      </c>
      <c r="X145" s="202" t="s">
        <v>83</v>
      </c>
      <c r="Y145" s="202" t="s">
        <v>83</v>
      </c>
      <c r="Z145" s="202" t="s">
        <v>83</v>
      </c>
      <c r="AA145" s="202" t="s">
        <v>83</v>
      </c>
      <c r="AB145" s="202" t="s">
        <v>83</v>
      </c>
      <c r="AC145" s="202" t="s">
        <v>83</v>
      </c>
      <c r="AD145" s="202" t="s">
        <v>83</v>
      </c>
      <c r="AE145" s="202" t="s">
        <v>83</v>
      </c>
      <c r="AF145" s="202" t="s">
        <v>83</v>
      </c>
      <c r="AG145" s="202" t="s">
        <v>83</v>
      </c>
      <c r="AH145" s="202" t="s">
        <v>83</v>
      </c>
      <c r="AI145" s="202" t="s">
        <v>83</v>
      </c>
      <c r="AJ145" s="202">
        <v>0</v>
      </c>
      <c r="AK145" s="202">
        <v>2</v>
      </c>
      <c r="AL145" s="202">
        <f>0.1*$AL$2</f>
        <v>7.5000000000000011E-2</v>
      </c>
      <c r="AM145" s="202">
        <f>AM142</f>
        <v>2.7E-2</v>
      </c>
      <c r="AN145" s="202">
        <f>ROUNDUP(AN142/3,0)</f>
        <v>2</v>
      </c>
      <c r="AQ145" s="205">
        <f>AM145*I145+AL145</f>
        <v>9.1119000000000006E-2</v>
      </c>
      <c r="AR145" s="205">
        <f t="shared" si="157"/>
        <v>9.1119000000000009E-3</v>
      </c>
      <c r="AS145" s="206">
        <f t="shared" si="158"/>
        <v>0.5</v>
      </c>
      <c r="AT145" s="206">
        <f t="shared" si="159"/>
        <v>0.150057725</v>
      </c>
      <c r="AU145" s="205">
        <f>10068.2*J145*POWER(10,-6)</f>
        <v>6.0107153999999999E-3</v>
      </c>
      <c r="AV145" s="206">
        <f t="shared" si="160"/>
        <v>0.75629934040000002</v>
      </c>
      <c r="AW145" s="207">
        <f t="shared" si="161"/>
        <v>0</v>
      </c>
      <c r="AX145" s="207">
        <f t="shared" si="162"/>
        <v>1.0000000000000001E-5</v>
      </c>
      <c r="AY145" s="207">
        <f t="shared" si="163"/>
        <v>3.7814967020000002E-6</v>
      </c>
      <c r="AZ145" s="227">
        <v>1</v>
      </c>
      <c r="BA145" s="227">
        <v>1</v>
      </c>
    </row>
    <row r="146" spans="1:53" s="202" customFormat="1" x14ac:dyDescent="0.3">
      <c r="A146" s="193" t="s">
        <v>22</v>
      </c>
      <c r="B146" s="193" t="str">
        <f>B142</f>
        <v xml:space="preserve">Емкость Е-1 </v>
      </c>
      <c r="C146" s="51" t="s">
        <v>206</v>
      </c>
      <c r="D146" s="195" t="s">
        <v>84</v>
      </c>
      <c r="E146" s="208">
        <f>E145</f>
        <v>1E-4</v>
      </c>
      <c r="F146" s="209">
        <f>F142</f>
        <v>1</v>
      </c>
      <c r="G146" s="193">
        <v>4.7500000000000001E-2</v>
      </c>
      <c r="H146" s="197">
        <f t="shared" si="154"/>
        <v>4.7500000000000003E-6</v>
      </c>
      <c r="I146" s="210">
        <f>0.15*I142</f>
        <v>0.59699999999999998</v>
      </c>
      <c r="J146" s="210">
        <f>I145</f>
        <v>0.59699999999999998</v>
      </c>
      <c r="K146" s="213" t="s">
        <v>180</v>
      </c>
      <c r="L146" s="214">
        <v>3</v>
      </c>
      <c r="M146" s="202" t="str">
        <f t="shared" si="155"/>
        <v>С5</v>
      </c>
      <c r="N146" s="202" t="str">
        <f t="shared" si="155"/>
        <v xml:space="preserve">Емкость Е-1 </v>
      </c>
      <c r="O146" s="202" t="str">
        <f t="shared" si="156"/>
        <v>Частичное-пожар</v>
      </c>
      <c r="P146" s="202">
        <v>11.6</v>
      </c>
      <c r="Q146" s="202">
        <v>14.5</v>
      </c>
      <c r="R146" s="202">
        <v>18.7</v>
      </c>
      <c r="S146" s="202">
        <v>31.3</v>
      </c>
      <c r="T146" s="202" t="s">
        <v>83</v>
      </c>
      <c r="U146" s="202" t="s">
        <v>83</v>
      </c>
      <c r="V146" s="202" t="s">
        <v>83</v>
      </c>
      <c r="W146" s="202" t="s">
        <v>83</v>
      </c>
      <c r="X146" s="202" t="s">
        <v>83</v>
      </c>
      <c r="Y146" s="202" t="s">
        <v>83</v>
      </c>
      <c r="Z146" s="202" t="s">
        <v>83</v>
      </c>
      <c r="AA146" s="202" t="s">
        <v>83</v>
      </c>
      <c r="AB146" s="202" t="s">
        <v>83</v>
      </c>
      <c r="AC146" s="202" t="s">
        <v>83</v>
      </c>
      <c r="AD146" s="202" t="s">
        <v>83</v>
      </c>
      <c r="AE146" s="202" t="s">
        <v>83</v>
      </c>
      <c r="AF146" s="202" t="s">
        <v>83</v>
      </c>
      <c r="AG146" s="202" t="s">
        <v>83</v>
      </c>
      <c r="AH146" s="202" t="s">
        <v>83</v>
      </c>
      <c r="AI146" s="202" t="s">
        <v>83</v>
      </c>
      <c r="AJ146" s="202">
        <v>0</v>
      </c>
      <c r="AK146" s="202">
        <v>1</v>
      </c>
      <c r="AL146" s="202">
        <f>0.1*$AL$2</f>
        <v>7.5000000000000011E-2</v>
      </c>
      <c r="AM146" s="202">
        <f>AM142</f>
        <v>2.7E-2</v>
      </c>
      <c r="AN146" s="202">
        <f>ROUNDUP(AN142/3,0)</f>
        <v>2</v>
      </c>
      <c r="AQ146" s="205">
        <f>AM146*I146+AL146</f>
        <v>9.1119000000000006E-2</v>
      </c>
      <c r="AR146" s="205">
        <f t="shared" si="157"/>
        <v>9.1119000000000009E-3</v>
      </c>
      <c r="AS146" s="206">
        <f t="shared" si="158"/>
        <v>0.25</v>
      </c>
      <c r="AT146" s="206">
        <f t="shared" si="159"/>
        <v>8.7557725000000003E-2</v>
      </c>
      <c r="AU146" s="205">
        <f>10068.2*J146*POWER(10,-6)</f>
        <v>6.0107153999999999E-3</v>
      </c>
      <c r="AV146" s="206">
        <f t="shared" si="160"/>
        <v>0.44379934040000002</v>
      </c>
      <c r="AW146" s="207">
        <f t="shared" si="161"/>
        <v>0</v>
      </c>
      <c r="AX146" s="207">
        <f t="shared" si="162"/>
        <v>4.7500000000000003E-6</v>
      </c>
      <c r="AY146" s="207">
        <f t="shared" si="163"/>
        <v>2.1080468669000004E-6</v>
      </c>
      <c r="AZ146" s="227">
        <v>1</v>
      </c>
      <c r="BA146" s="227">
        <v>1</v>
      </c>
    </row>
    <row r="147" spans="1:53" s="202" customFormat="1" ht="15" thickBot="1" x14ac:dyDescent="0.35">
      <c r="A147" s="193" t="s">
        <v>23</v>
      </c>
      <c r="B147" s="193" t="str">
        <f>B142</f>
        <v xml:space="preserve">Емкость Е-1 </v>
      </c>
      <c r="C147" s="51" t="s">
        <v>201</v>
      </c>
      <c r="D147" s="195" t="s">
        <v>61</v>
      </c>
      <c r="E147" s="208">
        <f>E145</f>
        <v>1E-4</v>
      </c>
      <c r="F147" s="209">
        <f>F142</f>
        <v>1</v>
      </c>
      <c r="G147" s="193">
        <v>0.90249999999999997</v>
      </c>
      <c r="H147" s="197">
        <f t="shared" si="154"/>
        <v>9.0249999999999998E-5</v>
      </c>
      <c r="I147" s="210">
        <f>0.15*I142</f>
        <v>0.59699999999999998</v>
      </c>
      <c r="J147" s="193">
        <v>0</v>
      </c>
      <c r="K147" s="215" t="s">
        <v>191</v>
      </c>
      <c r="L147" s="216">
        <v>8</v>
      </c>
      <c r="M147" s="202" t="str">
        <f t="shared" si="155"/>
        <v>С6</v>
      </c>
      <c r="N147" s="202" t="str">
        <f t="shared" si="155"/>
        <v xml:space="preserve">Емкость Е-1 </v>
      </c>
      <c r="O147" s="202" t="str">
        <f t="shared" si="156"/>
        <v>Частичное-ликвидация</v>
      </c>
      <c r="P147" s="202" t="s">
        <v>83</v>
      </c>
      <c r="Q147" s="202" t="s">
        <v>83</v>
      </c>
      <c r="R147" s="202" t="s">
        <v>83</v>
      </c>
      <c r="S147" s="202" t="s">
        <v>83</v>
      </c>
      <c r="T147" s="202" t="s">
        <v>83</v>
      </c>
      <c r="U147" s="202" t="s">
        <v>83</v>
      </c>
      <c r="V147" s="202" t="s">
        <v>83</v>
      </c>
      <c r="W147" s="202" t="s">
        <v>83</v>
      </c>
      <c r="X147" s="202" t="s">
        <v>83</v>
      </c>
      <c r="Y147" s="202" t="s">
        <v>83</v>
      </c>
      <c r="Z147" s="202" t="s">
        <v>83</v>
      </c>
      <c r="AA147" s="202" t="s">
        <v>83</v>
      </c>
      <c r="AB147" s="202" t="s">
        <v>83</v>
      </c>
      <c r="AC147" s="202" t="s">
        <v>83</v>
      </c>
      <c r="AD147" s="202" t="s">
        <v>83</v>
      </c>
      <c r="AE147" s="202" t="s">
        <v>83</v>
      </c>
      <c r="AF147" s="202" t="s">
        <v>83</v>
      </c>
      <c r="AG147" s="202" t="s">
        <v>83</v>
      </c>
      <c r="AH147" s="202" t="s">
        <v>83</v>
      </c>
      <c r="AI147" s="202" t="s">
        <v>83</v>
      </c>
      <c r="AJ147" s="202">
        <v>0</v>
      </c>
      <c r="AK147" s="202">
        <v>0</v>
      </c>
      <c r="AL147" s="202">
        <f>0.1*$AL$2</f>
        <v>7.5000000000000011E-2</v>
      </c>
      <c r="AM147" s="202">
        <f>AM142</f>
        <v>2.7E-2</v>
      </c>
      <c r="AN147" s="202">
        <f>ROUNDUP(AN142/3,0)</f>
        <v>2</v>
      </c>
      <c r="AQ147" s="205">
        <f>AM147*I147*0.1+AL147</f>
        <v>7.6611900000000011E-2</v>
      </c>
      <c r="AR147" s="205">
        <f t="shared" si="157"/>
        <v>7.6611900000000017E-3</v>
      </c>
      <c r="AS147" s="206">
        <f t="shared" si="158"/>
        <v>0</v>
      </c>
      <c r="AT147" s="206">
        <f t="shared" si="159"/>
        <v>2.1068272500000002E-2</v>
      </c>
      <c r="AU147" s="205">
        <f>1333*J146*POWER(10,-6)</f>
        <v>7.9580099999999984E-4</v>
      </c>
      <c r="AV147" s="206">
        <f t="shared" si="160"/>
        <v>0.10613716350000002</v>
      </c>
      <c r="AW147" s="207">
        <f t="shared" si="161"/>
        <v>0</v>
      </c>
      <c r="AX147" s="207">
        <f t="shared" si="162"/>
        <v>0</v>
      </c>
      <c r="AY147" s="207">
        <f t="shared" si="163"/>
        <v>9.5788790058750018E-6</v>
      </c>
      <c r="AZ147" s="227">
        <v>1</v>
      </c>
      <c r="BA147" s="227">
        <v>1</v>
      </c>
    </row>
    <row r="148" spans="1:53" s="202" customFormat="1" x14ac:dyDescent="0.3">
      <c r="A148" s="203"/>
      <c r="B148" s="203"/>
      <c r="D148" s="268"/>
      <c r="E148" s="269"/>
      <c r="F148" s="270"/>
      <c r="G148" s="203"/>
      <c r="H148" s="207"/>
      <c r="I148" s="206"/>
      <c r="J148" s="203"/>
      <c r="K148" s="203"/>
      <c r="L148" s="270"/>
      <c r="P148" s="202" t="s">
        <v>83</v>
      </c>
      <c r="Q148" s="202" t="s">
        <v>83</v>
      </c>
      <c r="R148" s="202" t="s">
        <v>83</v>
      </c>
      <c r="S148" s="202" t="s">
        <v>83</v>
      </c>
      <c r="T148" s="202" t="s">
        <v>83</v>
      </c>
      <c r="U148" s="202" t="s">
        <v>83</v>
      </c>
      <c r="V148" s="202" t="s">
        <v>83</v>
      </c>
      <c r="W148" s="202" t="s">
        <v>83</v>
      </c>
      <c r="X148" s="202" t="s">
        <v>83</v>
      </c>
      <c r="Y148" s="202" t="s">
        <v>83</v>
      </c>
      <c r="Z148" s="202" t="s">
        <v>83</v>
      </c>
      <c r="AA148" s="202" t="s">
        <v>83</v>
      </c>
      <c r="AB148" s="202" t="s">
        <v>83</v>
      </c>
      <c r="AC148" s="202" t="s">
        <v>83</v>
      </c>
      <c r="AD148" s="202" t="s">
        <v>83</v>
      </c>
      <c r="AE148" s="202" t="s">
        <v>83</v>
      </c>
      <c r="AF148" s="202" t="s">
        <v>83</v>
      </c>
      <c r="AG148" s="202" t="s">
        <v>83</v>
      </c>
      <c r="AH148" s="202" t="s">
        <v>83</v>
      </c>
      <c r="AI148" s="202" t="s">
        <v>83</v>
      </c>
      <c r="AQ148" s="205"/>
      <c r="AR148" s="205"/>
      <c r="AS148" s="206"/>
      <c r="AT148" s="206"/>
      <c r="AU148" s="205"/>
      <c r="AV148" s="206"/>
      <c r="AW148" s="207"/>
      <c r="AX148" s="207"/>
      <c r="AY148" s="207"/>
      <c r="AZ148" s="227">
        <v>1</v>
      </c>
      <c r="BA148" s="227">
        <v>1</v>
      </c>
    </row>
    <row r="149" spans="1:53" s="202" customFormat="1" x14ac:dyDescent="0.3">
      <c r="A149" s="203"/>
      <c r="B149" s="203"/>
      <c r="D149" s="268"/>
      <c r="E149" s="269"/>
      <c r="F149" s="270"/>
      <c r="G149" s="203"/>
      <c r="H149" s="207"/>
      <c r="I149" s="206"/>
      <c r="J149" s="203"/>
      <c r="K149" s="203"/>
      <c r="L149" s="270"/>
      <c r="P149" s="202" t="s">
        <v>83</v>
      </c>
      <c r="Q149" s="202" t="s">
        <v>83</v>
      </c>
      <c r="R149" s="202" t="s">
        <v>83</v>
      </c>
      <c r="S149" s="202" t="s">
        <v>83</v>
      </c>
      <c r="T149" s="202" t="s">
        <v>83</v>
      </c>
      <c r="U149" s="202" t="s">
        <v>83</v>
      </c>
      <c r="V149" s="202" t="s">
        <v>83</v>
      </c>
      <c r="W149" s="202" t="s">
        <v>83</v>
      </c>
      <c r="X149" s="202" t="s">
        <v>83</v>
      </c>
      <c r="Y149" s="202" t="s">
        <v>83</v>
      </c>
      <c r="Z149" s="202" t="s">
        <v>83</v>
      </c>
      <c r="AA149" s="202" t="s">
        <v>83</v>
      </c>
      <c r="AB149" s="202" t="s">
        <v>83</v>
      </c>
      <c r="AC149" s="202" t="s">
        <v>83</v>
      </c>
      <c r="AD149" s="202" t="s">
        <v>83</v>
      </c>
      <c r="AE149" s="202" t="s">
        <v>83</v>
      </c>
      <c r="AF149" s="202" t="s">
        <v>83</v>
      </c>
      <c r="AG149" s="202" t="s">
        <v>83</v>
      </c>
      <c r="AH149" s="202" t="s">
        <v>83</v>
      </c>
      <c r="AI149" s="202" t="s">
        <v>83</v>
      </c>
      <c r="AQ149" s="205"/>
      <c r="AR149" s="205"/>
      <c r="AS149" s="206"/>
      <c r="AT149" s="206"/>
      <c r="AU149" s="205"/>
      <c r="AV149" s="206"/>
      <c r="AW149" s="207"/>
      <c r="AX149" s="207"/>
      <c r="AY149" s="207"/>
      <c r="AZ149" s="227">
        <v>1</v>
      </c>
      <c r="BA149" s="227">
        <v>1</v>
      </c>
    </row>
    <row r="150" spans="1:53" s="202" customFormat="1" x14ac:dyDescent="0.3">
      <c r="A150" s="203"/>
      <c r="B150" s="203"/>
      <c r="D150" s="268"/>
      <c r="E150" s="269"/>
      <c r="F150" s="270"/>
      <c r="G150" s="203"/>
      <c r="H150" s="207"/>
      <c r="I150" s="206"/>
      <c r="J150" s="203"/>
      <c r="K150" s="203"/>
      <c r="L150" s="270"/>
      <c r="P150" s="202" t="s">
        <v>83</v>
      </c>
      <c r="Q150" s="202" t="s">
        <v>83</v>
      </c>
      <c r="R150" s="202" t="s">
        <v>83</v>
      </c>
      <c r="S150" s="202" t="s">
        <v>83</v>
      </c>
      <c r="T150" s="202" t="s">
        <v>83</v>
      </c>
      <c r="U150" s="202" t="s">
        <v>83</v>
      </c>
      <c r="V150" s="202" t="s">
        <v>83</v>
      </c>
      <c r="W150" s="202" t="s">
        <v>83</v>
      </c>
      <c r="X150" s="202" t="s">
        <v>83</v>
      </c>
      <c r="Y150" s="202" t="s">
        <v>83</v>
      </c>
      <c r="Z150" s="202" t="s">
        <v>83</v>
      </c>
      <c r="AA150" s="202" t="s">
        <v>83</v>
      </c>
      <c r="AB150" s="202" t="s">
        <v>83</v>
      </c>
      <c r="AC150" s="202" t="s">
        <v>83</v>
      </c>
      <c r="AD150" s="202" t="s">
        <v>83</v>
      </c>
      <c r="AE150" s="202" t="s">
        <v>83</v>
      </c>
      <c r="AF150" s="202" t="s">
        <v>83</v>
      </c>
      <c r="AG150" s="202" t="s">
        <v>83</v>
      </c>
      <c r="AH150" s="202" t="s">
        <v>83</v>
      </c>
      <c r="AI150" s="202" t="s">
        <v>83</v>
      </c>
      <c r="AQ150" s="205"/>
      <c r="AR150" s="205"/>
      <c r="AS150" s="206"/>
      <c r="AT150" s="206"/>
      <c r="AU150" s="205"/>
      <c r="AV150" s="206"/>
      <c r="AW150" s="207"/>
      <c r="AX150" s="207"/>
      <c r="AY150" s="207"/>
      <c r="AZ150" s="227">
        <v>1</v>
      </c>
      <c r="BA150" s="227">
        <v>1</v>
      </c>
    </row>
    <row r="151" spans="1:53" ht="15" thickBot="1" x14ac:dyDescent="0.35"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Z151" s="227">
        <v>1</v>
      </c>
      <c r="BA151" s="227">
        <v>1</v>
      </c>
    </row>
    <row r="152" spans="1:53" s="202" customFormat="1" ht="15" thickBot="1" x14ac:dyDescent="0.35">
      <c r="A152" s="193" t="s">
        <v>18</v>
      </c>
      <c r="B152" s="311" t="s">
        <v>430</v>
      </c>
      <c r="C152" s="51" t="s">
        <v>196</v>
      </c>
      <c r="D152" s="195" t="s">
        <v>59</v>
      </c>
      <c r="E152" s="196">
        <v>1.0000000000000001E-5</v>
      </c>
      <c r="F152" s="194">
        <v>1</v>
      </c>
      <c r="G152" s="193">
        <v>0.05</v>
      </c>
      <c r="H152" s="197">
        <f t="shared" ref="H152:H157" si="164">E152*F152*G152</f>
        <v>5.0000000000000008E-7</v>
      </c>
      <c r="I152" s="198">
        <v>3.98</v>
      </c>
      <c r="J152" s="210">
        <f>I152</f>
        <v>3.98</v>
      </c>
      <c r="K152" s="200" t="s">
        <v>175</v>
      </c>
      <c r="L152" s="201">
        <v>150</v>
      </c>
      <c r="M152" s="202" t="str">
        <f t="shared" ref="M152:N157" si="165">A152</f>
        <v>С1</v>
      </c>
      <c r="N152" s="202" t="str">
        <f t="shared" si="165"/>
        <v>Емкость Е-2</v>
      </c>
      <c r="O152" s="202" t="str">
        <f t="shared" ref="O152:O157" si="166">D152</f>
        <v>Полное-пожар</v>
      </c>
      <c r="P152" s="202">
        <v>15.7</v>
      </c>
      <c r="Q152" s="202">
        <v>21.1</v>
      </c>
      <c r="R152" s="202">
        <v>29.3</v>
      </c>
      <c r="S152" s="202">
        <v>53.3</v>
      </c>
      <c r="T152" s="202" t="s">
        <v>83</v>
      </c>
      <c r="U152" s="202" t="s">
        <v>83</v>
      </c>
      <c r="V152" s="202" t="s">
        <v>83</v>
      </c>
      <c r="W152" s="202" t="s">
        <v>83</v>
      </c>
      <c r="X152" s="202" t="s">
        <v>83</v>
      </c>
      <c r="Y152" s="202" t="s">
        <v>83</v>
      </c>
      <c r="Z152" s="202" t="s">
        <v>83</v>
      </c>
      <c r="AA152" s="202" t="s">
        <v>83</v>
      </c>
      <c r="AB152" s="202" t="s">
        <v>83</v>
      </c>
      <c r="AC152" s="202" t="s">
        <v>83</v>
      </c>
      <c r="AD152" s="202" t="s">
        <v>83</v>
      </c>
      <c r="AE152" s="202" t="s">
        <v>83</v>
      </c>
      <c r="AF152" s="202" t="s">
        <v>83</v>
      </c>
      <c r="AG152" s="202" t="s">
        <v>83</v>
      </c>
      <c r="AH152" s="202" t="s">
        <v>83</v>
      </c>
      <c r="AI152" s="202" t="s">
        <v>83</v>
      </c>
      <c r="AJ152" s="203">
        <v>1</v>
      </c>
      <c r="AK152" s="203">
        <v>2</v>
      </c>
      <c r="AL152" s="204">
        <v>1.96</v>
      </c>
      <c r="AM152" s="204">
        <v>2.7E-2</v>
      </c>
      <c r="AN152" s="204">
        <v>5</v>
      </c>
      <c r="AQ152" s="205">
        <f>AM152*I152+AL152</f>
        <v>2.0674600000000001</v>
      </c>
      <c r="AR152" s="205">
        <f t="shared" ref="AR152:AR157" si="167">0.1*AQ152</f>
        <v>0.20674600000000001</v>
      </c>
      <c r="AS152" s="206">
        <f t="shared" ref="AS152:AS157" si="168">AJ152*3+0.25*AK152</f>
        <v>3.5</v>
      </c>
      <c r="AT152" s="206">
        <f t="shared" ref="AT152:AT157" si="169">SUM(AQ152:AS152)/4</f>
        <v>1.4435514999999999</v>
      </c>
      <c r="AU152" s="205">
        <f>10068.2*J152*POWER(10,-6)</f>
        <v>4.0071436000000002E-2</v>
      </c>
      <c r="AV152" s="206">
        <f t="shared" ref="AV152:AV157" si="170">AU152+AT152+AS152+AR152+AQ152</f>
        <v>7.2578289359999992</v>
      </c>
      <c r="AW152" s="207">
        <f t="shared" ref="AW152:AW157" si="171">AJ152*H152</f>
        <v>5.0000000000000008E-7</v>
      </c>
      <c r="AX152" s="207">
        <f t="shared" ref="AX152:AX157" si="172">H152*AK152</f>
        <v>1.0000000000000002E-6</v>
      </c>
      <c r="AY152" s="207">
        <f t="shared" ref="AY152:AY157" si="173">H152*AV152</f>
        <v>3.6289144680000001E-6</v>
      </c>
      <c r="AZ152" s="227">
        <v>1</v>
      </c>
      <c r="BA152" s="227">
        <v>1</v>
      </c>
    </row>
    <row r="153" spans="1:53" s="202" customFormat="1" ht="15" thickBot="1" x14ac:dyDescent="0.35">
      <c r="A153" s="193" t="s">
        <v>19</v>
      </c>
      <c r="B153" s="193" t="str">
        <f>B152</f>
        <v>Емкость Е-2</v>
      </c>
      <c r="C153" s="51" t="s">
        <v>205</v>
      </c>
      <c r="D153" s="195" t="s">
        <v>59</v>
      </c>
      <c r="E153" s="208">
        <f>E152</f>
        <v>1.0000000000000001E-5</v>
      </c>
      <c r="F153" s="209">
        <f>F152</f>
        <v>1</v>
      </c>
      <c r="G153" s="193">
        <v>4.7500000000000001E-2</v>
      </c>
      <c r="H153" s="197">
        <f t="shared" si="164"/>
        <v>4.7500000000000006E-7</v>
      </c>
      <c r="I153" s="210">
        <f>I152</f>
        <v>3.98</v>
      </c>
      <c r="J153" s="210">
        <f>I152</f>
        <v>3.98</v>
      </c>
      <c r="K153" s="200" t="s">
        <v>176</v>
      </c>
      <c r="L153" s="201">
        <v>0</v>
      </c>
      <c r="M153" s="202" t="str">
        <f t="shared" si="165"/>
        <v>С2</v>
      </c>
      <c r="N153" s="202" t="str">
        <f t="shared" si="165"/>
        <v>Емкость Е-2</v>
      </c>
      <c r="O153" s="202" t="str">
        <f t="shared" si="166"/>
        <v>Полное-пожар</v>
      </c>
      <c r="P153" s="202">
        <v>15.7</v>
      </c>
      <c r="Q153" s="202">
        <v>21.1</v>
      </c>
      <c r="R153" s="202">
        <v>29.3</v>
      </c>
      <c r="S153" s="202">
        <v>53.3</v>
      </c>
      <c r="T153" s="202" t="s">
        <v>83</v>
      </c>
      <c r="U153" s="202" t="s">
        <v>83</v>
      </c>
      <c r="V153" s="202" t="s">
        <v>83</v>
      </c>
      <c r="W153" s="202" t="s">
        <v>83</v>
      </c>
      <c r="X153" s="202" t="s">
        <v>83</v>
      </c>
      <c r="Y153" s="202" t="s">
        <v>83</v>
      </c>
      <c r="Z153" s="202" t="s">
        <v>83</v>
      </c>
      <c r="AA153" s="202" t="s">
        <v>83</v>
      </c>
      <c r="AB153" s="202" t="s">
        <v>83</v>
      </c>
      <c r="AC153" s="202" t="s">
        <v>83</v>
      </c>
      <c r="AD153" s="202" t="s">
        <v>83</v>
      </c>
      <c r="AE153" s="202" t="s">
        <v>83</v>
      </c>
      <c r="AF153" s="202" t="s">
        <v>83</v>
      </c>
      <c r="AG153" s="202" t="s">
        <v>83</v>
      </c>
      <c r="AH153" s="202" t="s">
        <v>83</v>
      </c>
      <c r="AI153" s="202" t="s">
        <v>83</v>
      </c>
      <c r="AJ153" s="203">
        <v>2</v>
      </c>
      <c r="AK153" s="203">
        <v>2</v>
      </c>
      <c r="AL153" s="202">
        <f>AL152</f>
        <v>1.96</v>
      </c>
      <c r="AM153" s="202">
        <f>AM152</f>
        <v>2.7E-2</v>
      </c>
      <c r="AN153" s="202">
        <f>AN152</f>
        <v>5</v>
      </c>
      <c r="AQ153" s="205">
        <f>AM153*I153+AL153</f>
        <v>2.0674600000000001</v>
      </c>
      <c r="AR153" s="205">
        <f t="shared" si="167"/>
        <v>0.20674600000000001</v>
      </c>
      <c r="AS153" s="206">
        <f t="shared" si="168"/>
        <v>6.5</v>
      </c>
      <c r="AT153" s="206">
        <f t="shared" si="169"/>
        <v>2.1935514999999999</v>
      </c>
      <c r="AU153" s="205">
        <f>10068.2*J153*POWER(10,-6)</f>
        <v>4.0071436000000002E-2</v>
      </c>
      <c r="AV153" s="206">
        <f t="shared" si="170"/>
        <v>11.007828936000001</v>
      </c>
      <c r="AW153" s="207">
        <f t="shared" si="171"/>
        <v>9.5000000000000012E-7</v>
      </c>
      <c r="AX153" s="207">
        <f t="shared" si="172"/>
        <v>9.5000000000000012E-7</v>
      </c>
      <c r="AY153" s="207">
        <f t="shared" si="173"/>
        <v>5.2287187446000007E-6</v>
      </c>
      <c r="AZ153" s="227">
        <v>1</v>
      </c>
      <c r="BA153" s="227">
        <v>1</v>
      </c>
    </row>
    <row r="154" spans="1:53" s="202" customFormat="1" x14ac:dyDescent="0.3">
      <c r="A154" s="193" t="s">
        <v>20</v>
      </c>
      <c r="B154" s="193" t="str">
        <f>B152</f>
        <v>Емкость Е-2</v>
      </c>
      <c r="C154" s="51" t="s">
        <v>198</v>
      </c>
      <c r="D154" s="195" t="s">
        <v>60</v>
      </c>
      <c r="E154" s="208">
        <f>E152</f>
        <v>1.0000000000000001E-5</v>
      </c>
      <c r="F154" s="209">
        <f>F152</f>
        <v>1</v>
      </c>
      <c r="G154" s="193">
        <v>0.90249999999999997</v>
      </c>
      <c r="H154" s="197">
        <f t="shared" si="164"/>
        <v>9.0250000000000008E-6</v>
      </c>
      <c r="I154" s="210">
        <f>I152</f>
        <v>3.98</v>
      </c>
      <c r="J154" s="193">
        <v>0</v>
      </c>
      <c r="K154" s="200" t="s">
        <v>177</v>
      </c>
      <c r="L154" s="201">
        <v>0</v>
      </c>
      <c r="M154" s="202" t="str">
        <f t="shared" si="165"/>
        <v>С3</v>
      </c>
      <c r="N154" s="202" t="str">
        <f t="shared" si="165"/>
        <v>Емкость Е-2</v>
      </c>
      <c r="O154" s="202" t="str">
        <f t="shared" si="166"/>
        <v>Полное-ликвидация</v>
      </c>
      <c r="P154" s="202" t="s">
        <v>83</v>
      </c>
      <c r="Q154" s="202" t="s">
        <v>83</v>
      </c>
      <c r="R154" s="202" t="s">
        <v>83</v>
      </c>
      <c r="S154" s="202" t="s">
        <v>83</v>
      </c>
      <c r="T154" s="202" t="s">
        <v>83</v>
      </c>
      <c r="U154" s="202" t="s">
        <v>83</v>
      </c>
      <c r="V154" s="202" t="s">
        <v>83</v>
      </c>
      <c r="W154" s="202" t="s">
        <v>83</v>
      </c>
      <c r="X154" s="202" t="s">
        <v>83</v>
      </c>
      <c r="Y154" s="202" t="s">
        <v>83</v>
      </c>
      <c r="Z154" s="202" t="s">
        <v>83</v>
      </c>
      <c r="AA154" s="202" t="s">
        <v>83</v>
      </c>
      <c r="AB154" s="202" t="s">
        <v>83</v>
      </c>
      <c r="AC154" s="202" t="s">
        <v>83</v>
      </c>
      <c r="AD154" s="202" t="s">
        <v>83</v>
      </c>
      <c r="AE154" s="202" t="s">
        <v>83</v>
      </c>
      <c r="AF154" s="202" t="s">
        <v>83</v>
      </c>
      <c r="AG154" s="202" t="s">
        <v>83</v>
      </c>
      <c r="AH154" s="202" t="s">
        <v>83</v>
      </c>
      <c r="AI154" s="202" t="s">
        <v>83</v>
      </c>
      <c r="AJ154" s="202">
        <v>0</v>
      </c>
      <c r="AK154" s="202">
        <v>0</v>
      </c>
      <c r="AL154" s="202">
        <f>AL152</f>
        <v>1.96</v>
      </c>
      <c r="AM154" s="202">
        <f>AM152</f>
        <v>2.7E-2</v>
      </c>
      <c r="AN154" s="202">
        <f>AN152</f>
        <v>5</v>
      </c>
      <c r="AQ154" s="205">
        <f>AM154*I154*0.1+AL154</f>
        <v>1.9707459999999999</v>
      </c>
      <c r="AR154" s="205">
        <f t="shared" si="167"/>
        <v>0.19707459999999999</v>
      </c>
      <c r="AS154" s="206">
        <f t="shared" si="168"/>
        <v>0</v>
      </c>
      <c r="AT154" s="206">
        <f t="shared" si="169"/>
        <v>0.54195514999999994</v>
      </c>
      <c r="AU154" s="205">
        <f>1333*J153*POWER(10,-6)</f>
        <v>5.3053399999999995E-3</v>
      </c>
      <c r="AV154" s="206">
        <f t="shared" si="170"/>
        <v>2.71508109</v>
      </c>
      <c r="AW154" s="207">
        <f t="shared" si="171"/>
        <v>0</v>
      </c>
      <c r="AX154" s="207">
        <f t="shared" si="172"/>
        <v>0</v>
      </c>
      <c r="AY154" s="207">
        <f t="shared" si="173"/>
        <v>2.4503606837250001E-5</v>
      </c>
      <c r="AZ154" s="227">
        <v>1</v>
      </c>
      <c r="BA154" s="227">
        <v>1</v>
      </c>
    </row>
    <row r="155" spans="1:53" s="202" customFormat="1" x14ac:dyDescent="0.3">
      <c r="A155" s="193" t="s">
        <v>21</v>
      </c>
      <c r="B155" s="193" t="str">
        <f>B152</f>
        <v>Емкость Е-2</v>
      </c>
      <c r="C155" s="51" t="s">
        <v>199</v>
      </c>
      <c r="D155" s="195" t="s">
        <v>84</v>
      </c>
      <c r="E155" s="196">
        <v>1E-4</v>
      </c>
      <c r="F155" s="209">
        <f>F152</f>
        <v>1</v>
      </c>
      <c r="G155" s="193">
        <v>0.05</v>
      </c>
      <c r="H155" s="197">
        <f t="shared" si="164"/>
        <v>5.0000000000000004E-6</v>
      </c>
      <c r="I155" s="210">
        <f>0.15*I152</f>
        <v>0.59699999999999998</v>
      </c>
      <c r="J155" s="210">
        <f>I155</f>
        <v>0.59699999999999998</v>
      </c>
      <c r="K155" s="213" t="s">
        <v>179</v>
      </c>
      <c r="L155" s="214">
        <v>45390</v>
      </c>
      <c r="M155" s="202" t="str">
        <f t="shared" si="165"/>
        <v>С4</v>
      </c>
      <c r="N155" s="202" t="str">
        <f t="shared" si="165"/>
        <v>Емкость Е-2</v>
      </c>
      <c r="O155" s="202" t="str">
        <f t="shared" si="166"/>
        <v>Частичное-пожар</v>
      </c>
      <c r="P155" s="202">
        <v>11.6</v>
      </c>
      <c r="Q155" s="202">
        <v>14.5</v>
      </c>
      <c r="R155" s="202">
        <v>18.7</v>
      </c>
      <c r="S155" s="202">
        <v>31.3</v>
      </c>
      <c r="T155" s="202" t="s">
        <v>83</v>
      </c>
      <c r="U155" s="202" t="s">
        <v>83</v>
      </c>
      <c r="V155" s="202" t="s">
        <v>83</v>
      </c>
      <c r="W155" s="202" t="s">
        <v>83</v>
      </c>
      <c r="X155" s="202" t="s">
        <v>83</v>
      </c>
      <c r="Y155" s="202" t="s">
        <v>83</v>
      </c>
      <c r="Z155" s="202" t="s">
        <v>83</v>
      </c>
      <c r="AA155" s="202" t="s">
        <v>83</v>
      </c>
      <c r="AB155" s="202" t="s">
        <v>83</v>
      </c>
      <c r="AC155" s="202" t="s">
        <v>83</v>
      </c>
      <c r="AD155" s="202" t="s">
        <v>83</v>
      </c>
      <c r="AE155" s="202" t="s">
        <v>83</v>
      </c>
      <c r="AF155" s="202" t="s">
        <v>83</v>
      </c>
      <c r="AG155" s="202" t="s">
        <v>83</v>
      </c>
      <c r="AH155" s="202" t="s">
        <v>83</v>
      </c>
      <c r="AI155" s="202" t="s">
        <v>83</v>
      </c>
      <c r="AJ155" s="202">
        <v>0</v>
      </c>
      <c r="AK155" s="202">
        <v>2</v>
      </c>
      <c r="AL155" s="202">
        <f>0.1*$AL$2</f>
        <v>7.5000000000000011E-2</v>
      </c>
      <c r="AM155" s="202">
        <f>AM152</f>
        <v>2.7E-2</v>
      </c>
      <c r="AN155" s="202">
        <f>ROUNDUP(AN152/3,0)</f>
        <v>2</v>
      </c>
      <c r="AQ155" s="205">
        <f>AM155*I155+AL155</f>
        <v>9.1119000000000006E-2</v>
      </c>
      <c r="AR155" s="205">
        <f t="shared" si="167"/>
        <v>9.1119000000000009E-3</v>
      </c>
      <c r="AS155" s="206">
        <f t="shared" si="168"/>
        <v>0.5</v>
      </c>
      <c r="AT155" s="206">
        <f t="shared" si="169"/>
        <v>0.150057725</v>
      </c>
      <c r="AU155" s="205">
        <f>10068.2*J155*POWER(10,-6)</f>
        <v>6.0107153999999999E-3</v>
      </c>
      <c r="AV155" s="206">
        <f t="shared" si="170"/>
        <v>0.75629934040000002</v>
      </c>
      <c r="AW155" s="207">
        <f t="shared" si="171"/>
        <v>0</v>
      </c>
      <c r="AX155" s="207">
        <f t="shared" si="172"/>
        <v>1.0000000000000001E-5</v>
      </c>
      <c r="AY155" s="207">
        <f t="shared" si="173"/>
        <v>3.7814967020000002E-6</v>
      </c>
      <c r="AZ155" s="227">
        <v>1</v>
      </c>
      <c r="BA155" s="227">
        <v>1</v>
      </c>
    </row>
    <row r="156" spans="1:53" s="202" customFormat="1" x14ac:dyDescent="0.3">
      <c r="A156" s="193" t="s">
        <v>22</v>
      </c>
      <c r="B156" s="193" t="str">
        <f>B152</f>
        <v>Емкость Е-2</v>
      </c>
      <c r="C156" s="51" t="s">
        <v>206</v>
      </c>
      <c r="D156" s="195" t="s">
        <v>84</v>
      </c>
      <c r="E156" s="208">
        <f>E155</f>
        <v>1E-4</v>
      </c>
      <c r="F156" s="209">
        <f>F152</f>
        <v>1</v>
      </c>
      <c r="G156" s="193">
        <v>4.7500000000000001E-2</v>
      </c>
      <c r="H156" s="197">
        <f t="shared" si="164"/>
        <v>4.7500000000000003E-6</v>
      </c>
      <c r="I156" s="210">
        <f>0.15*I152</f>
        <v>0.59699999999999998</v>
      </c>
      <c r="J156" s="210">
        <f>I155</f>
        <v>0.59699999999999998</v>
      </c>
      <c r="K156" s="213" t="s">
        <v>180</v>
      </c>
      <c r="L156" s="214">
        <v>3</v>
      </c>
      <c r="M156" s="202" t="str">
        <f t="shared" si="165"/>
        <v>С5</v>
      </c>
      <c r="N156" s="202" t="str">
        <f t="shared" si="165"/>
        <v>Емкость Е-2</v>
      </c>
      <c r="O156" s="202" t="str">
        <f t="shared" si="166"/>
        <v>Частичное-пожар</v>
      </c>
      <c r="P156" s="202">
        <v>11.6</v>
      </c>
      <c r="Q156" s="202">
        <v>14.5</v>
      </c>
      <c r="R156" s="202">
        <v>18.7</v>
      </c>
      <c r="S156" s="202">
        <v>31.3</v>
      </c>
      <c r="T156" s="202" t="s">
        <v>83</v>
      </c>
      <c r="U156" s="202" t="s">
        <v>83</v>
      </c>
      <c r="V156" s="202" t="s">
        <v>83</v>
      </c>
      <c r="W156" s="202" t="s">
        <v>83</v>
      </c>
      <c r="X156" s="202" t="s">
        <v>83</v>
      </c>
      <c r="Y156" s="202" t="s">
        <v>83</v>
      </c>
      <c r="Z156" s="202" t="s">
        <v>83</v>
      </c>
      <c r="AA156" s="202" t="s">
        <v>83</v>
      </c>
      <c r="AB156" s="202" t="s">
        <v>83</v>
      </c>
      <c r="AC156" s="202" t="s">
        <v>83</v>
      </c>
      <c r="AD156" s="202" t="s">
        <v>83</v>
      </c>
      <c r="AE156" s="202" t="s">
        <v>83</v>
      </c>
      <c r="AF156" s="202" t="s">
        <v>83</v>
      </c>
      <c r="AG156" s="202" t="s">
        <v>83</v>
      </c>
      <c r="AH156" s="202" t="s">
        <v>83</v>
      </c>
      <c r="AI156" s="202" t="s">
        <v>83</v>
      </c>
      <c r="AJ156" s="202">
        <v>0</v>
      </c>
      <c r="AK156" s="202">
        <v>1</v>
      </c>
      <c r="AL156" s="202">
        <f>0.1*$AL$2</f>
        <v>7.5000000000000011E-2</v>
      </c>
      <c r="AM156" s="202">
        <f>AM152</f>
        <v>2.7E-2</v>
      </c>
      <c r="AN156" s="202">
        <f>ROUNDUP(AN152/3,0)</f>
        <v>2</v>
      </c>
      <c r="AQ156" s="205">
        <f>AM156*I156+AL156</f>
        <v>9.1119000000000006E-2</v>
      </c>
      <c r="AR156" s="205">
        <f t="shared" si="167"/>
        <v>9.1119000000000009E-3</v>
      </c>
      <c r="AS156" s="206">
        <f t="shared" si="168"/>
        <v>0.25</v>
      </c>
      <c r="AT156" s="206">
        <f t="shared" si="169"/>
        <v>8.7557725000000003E-2</v>
      </c>
      <c r="AU156" s="205">
        <f>10068.2*J156*POWER(10,-6)</f>
        <v>6.0107153999999999E-3</v>
      </c>
      <c r="AV156" s="206">
        <f t="shared" si="170"/>
        <v>0.44379934040000002</v>
      </c>
      <c r="AW156" s="207">
        <f t="shared" si="171"/>
        <v>0</v>
      </c>
      <c r="AX156" s="207">
        <f t="shared" si="172"/>
        <v>4.7500000000000003E-6</v>
      </c>
      <c r="AY156" s="207">
        <f t="shared" si="173"/>
        <v>2.1080468669000004E-6</v>
      </c>
      <c r="AZ156" s="227">
        <v>1</v>
      </c>
      <c r="BA156" s="227">
        <v>1</v>
      </c>
    </row>
    <row r="157" spans="1:53" s="202" customFormat="1" ht="15" thickBot="1" x14ac:dyDescent="0.35">
      <c r="A157" s="193" t="s">
        <v>23</v>
      </c>
      <c r="B157" s="193" t="str">
        <f>B152</f>
        <v>Емкость Е-2</v>
      </c>
      <c r="C157" s="51" t="s">
        <v>201</v>
      </c>
      <c r="D157" s="195" t="s">
        <v>61</v>
      </c>
      <c r="E157" s="208">
        <f>E155</f>
        <v>1E-4</v>
      </c>
      <c r="F157" s="209">
        <f>F152</f>
        <v>1</v>
      </c>
      <c r="G157" s="193">
        <v>0.90249999999999997</v>
      </c>
      <c r="H157" s="197">
        <f t="shared" si="164"/>
        <v>9.0249999999999998E-5</v>
      </c>
      <c r="I157" s="210">
        <f>0.15*I152</f>
        <v>0.59699999999999998</v>
      </c>
      <c r="J157" s="193">
        <v>0</v>
      </c>
      <c r="K157" s="215" t="s">
        <v>191</v>
      </c>
      <c r="L157" s="216">
        <v>8</v>
      </c>
      <c r="M157" s="202" t="str">
        <f t="shared" si="165"/>
        <v>С6</v>
      </c>
      <c r="N157" s="202" t="str">
        <f t="shared" si="165"/>
        <v>Емкость Е-2</v>
      </c>
      <c r="O157" s="202" t="str">
        <f t="shared" si="166"/>
        <v>Частичное-ликвидация</v>
      </c>
      <c r="P157" s="202" t="s">
        <v>83</v>
      </c>
      <c r="Q157" s="202" t="s">
        <v>83</v>
      </c>
      <c r="R157" s="202" t="s">
        <v>83</v>
      </c>
      <c r="S157" s="202" t="s">
        <v>83</v>
      </c>
      <c r="T157" s="202" t="s">
        <v>83</v>
      </c>
      <c r="U157" s="202" t="s">
        <v>83</v>
      </c>
      <c r="V157" s="202" t="s">
        <v>83</v>
      </c>
      <c r="W157" s="202" t="s">
        <v>83</v>
      </c>
      <c r="X157" s="202" t="s">
        <v>83</v>
      </c>
      <c r="Y157" s="202" t="s">
        <v>83</v>
      </c>
      <c r="Z157" s="202" t="s">
        <v>83</v>
      </c>
      <c r="AA157" s="202" t="s">
        <v>83</v>
      </c>
      <c r="AB157" s="202" t="s">
        <v>83</v>
      </c>
      <c r="AC157" s="202" t="s">
        <v>83</v>
      </c>
      <c r="AD157" s="202" t="s">
        <v>83</v>
      </c>
      <c r="AE157" s="202" t="s">
        <v>83</v>
      </c>
      <c r="AF157" s="202" t="s">
        <v>83</v>
      </c>
      <c r="AG157" s="202" t="s">
        <v>83</v>
      </c>
      <c r="AH157" s="202" t="s">
        <v>83</v>
      </c>
      <c r="AI157" s="202" t="s">
        <v>83</v>
      </c>
      <c r="AJ157" s="202">
        <v>0</v>
      </c>
      <c r="AK157" s="202">
        <v>0</v>
      </c>
      <c r="AL157" s="202">
        <f>0.1*$AL$2</f>
        <v>7.5000000000000011E-2</v>
      </c>
      <c r="AM157" s="202">
        <f>AM152</f>
        <v>2.7E-2</v>
      </c>
      <c r="AN157" s="202">
        <f>ROUNDUP(AN152/3,0)</f>
        <v>2</v>
      </c>
      <c r="AQ157" s="205">
        <f>AM157*I157*0.1+AL157</f>
        <v>7.6611900000000011E-2</v>
      </c>
      <c r="AR157" s="205">
        <f t="shared" si="167"/>
        <v>7.6611900000000017E-3</v>
      </c>
      <c r="AS157" s="206">
        <f t="shared" si="168"/>
        <v>0</v>
      </c>
      <c r="AT157" s="206">
        <f t="shared" si="169"/>
        <v>2.1068272500000002E-2</v>
      </c>
      <c r="AU157" s="205">
        <f>1333*J156*POWER(10,-6)</f>
        <v>7.9580099999999984E-4</v>
      </c>
      <c r="AV157" s="206">
        <f t="shared" si="170"/>
        <v>0.10613716350000002</v>
      </c>
      <c r="AW157" s="207">
        <f t="shared" si="171"/>
        <v>0</v>
      </c>
      <c r="AX157" s="207">
        <f t="shared" si="172"/>
        <v>0</v>
      </c>
      <c r="AY157" s="207">
        <f t="shared" si="173"/>
        <v>9.5788790058750018E-6</v>
      </c>
      <c r="AZ157" s="227">
        <v>1</v>
      </c>
      <c r="BA157" s="227">
        <v>1</v>
      </c>
    </row>
    <row r="158" spans="1:53" s="202" customFormat="1" x14ac:dyDescent="0.3">
      <c r="A158" s="203"/>
      <c r="B158" s="203"/>
      <c r="D158" s="268"/>
      <c r="E158" s="269"/>
      <c r="F158" s="270"/>
      <c r="G158" s="203"/>
      <c r="H158" s="207"/>
      <c r="I158" s="206"/>
      <c r="J158" s="203"/>
      <c r="K158" s="203"/>
      <c r="L158" s="270"/>
      <c r="P158" s="202" t="s">
        <v>83</v>
      </c>
      <c r="Q158" s="202" t="s">
        <v>83</v>
      </c>
      <c r="R158" s="202" t="s">
        <v>83</v>
      </c>
      <c r="S158" s="202" t="s">
        <v>83</v>
      </c>
      <c r="T158" s="202" t="s">
        <v>83</v>
      </c>
      <c r="U158" s="202" t="s">
        <v>83</v>
      </c>
      <c r="V158" s="202" t="s">
        <v>83</v>
      </c>
      <c r="W158" s="202" t="s">
        <v>83</v>
      </c>
      <c r="X158" s="202" t="s">
        <v>83</v>
      </c>
      <c r="Y158" s="202" t="s">
        <v>83</v>
      </c>
      <c r="Z158" s="202" t="s">
        <v>83</v>
      </c>
      <c r="AA158" s="202" t="s">
        <v>83</v>
      </c>
      <c r="AB158" s="202" t="s">
        <v>83</v>
      </c>
      <c r="AC158" s="202" t="s">
        <v>83</v>
      </c>
      <c r="AD158" s="202" t="s">
        <v>83</v>
      </c>
      <c r="AE158" s="202" t="s">
        <v>83</v>
      </c>
      <c r="AF158" s="202" t="s">
        <v>83</v>
      </c>
      <c r="AG158" s="202" t="s">
        <v>83</v>
      </c>
      <c r="AH158" s="202" t="s">
        <v>83</v>
      </c>
      <c r="AI158" s="202" t="s">
        <v>83</v>
      </c>
      <c r="AQ158" s="205"/>
      <c r="AR158" s="205"/>
      <c r="AS158" s="206"/>
      <c r="AT158" s="206"/>
      <c r="AU158" s="205"/>
      <c r="AV158" s="206"/>
      <c r="AW158" s="207"/>
      <c r="AX158" s="207"/>
      <c r="AY158" s="207"/>
      <c r="AZ158" s="227">
        <v>1</v>
      </c>
      <c r="BA158" s="227">
        <v>1</v>
      </c>
    </row>
    <row r="159" spans="1:53" s="202" customFormat="1" x14ac:dyDescent="0.3">
      <c r="A159" s="203"/>
      <c r="B159" s="203"/>
      <c r="D159" s="268"/>
      <c r="E159" s="269"/>
      <c r="F159" s="270"/>
      <c r="G159" s="203"/>
      <c r="H159" s="207"/>
      <c r="I159" s="206"/>
      <c r="J159" s="203"/>
      <c r="K159" s="203"/>
      <c r="L159" s="270"/>
      <c r="P159" s="202" t="s">
        <v>83</v>
      </c>
      <c r="Q159" s="202" t="s">
        <v>83</v>
      </c>
      <c r="R159" s="202" t="s">
        <v>83</v>
      </c>
      <c r="S159" s="202" t="s">
        <v>83</v>
      </c>
      <c r="T159" s="202" t="s">
        <v>83</v>
      </c>
      <c r="U159" s="202" t="s">
        <v>83</v>
      </c>
      <c r="V159" s="202" t="s">
        <v>83</v>
      </c>
      <c r="W159" s="202" t="s">
        <v>83</v>
      </c>
      <c r="X159" s="202" t="s">
        <v>83</v>
      </c>
      <c r="Y159" s="202" t="s">
        <v>83</v>
      </c>
      <c r="Z159" s="202" t="s">
        <v>83</v>
      </c>
      <c r="AA159" s="202" t="s">
        <v>83</v>
      </c>
      <c r="AB159" s="202" t="s">
        <v>83</v>
      </c>
      <c r="AC159" s="202" t="s">
        <v>83</v>
      </c>
      <c r="AD159" s="202" t="s">
        <v>83</v>
      </c>
      <c r="AE159" s="202" t="s">
        <v>83</v>
      </c>
      <c r="AF159" s="202" t="s">
        <v>83</v>
      </c>
      <c r="AG159" s="202" t="s">
        <v>83</v>
      </c>
      <c r="AH159" s="202" t="s">
        <v>83</v>
      </c>
      <c r="AI159" s="202" t="s">
        <v>83</v>
      </c>
      <c r="AQ159" s="205"/>
      <c r="AR159" s="205"/>
      <c r="AS159" s="206"/>
      <c r="AT159" s="206"/>
      <c r="AU159" s="205"/>
      <c r="AV159" s="206"/>
      <c r="AW159" s="207"/>
      <c r="AX159" s="207"/>
      <c r="AY159" s="207"/>
      <c r="AZ159" s="227">
        <v>1</v>
      </c>
      <c r="BA159" s="227">
        <v>1</v>
      </c>
    </row>
    <row r="160" spans="1:53" s="202" customFormat="1" x14ac:dyDescent="0.3">
      <c r="A160" s="203"/>
      <c r="B160" s="203"/>
      <c r="D160" s="268"/>
      <c r="E160" s="269"/>
      <c r="F160" s="270"/>
      <c r="G160" s="203"/>
      <c r="H160" s="207"/>
      <c r="I160" s="206"/>
      <c r="J160" s="203"/>
      <c r="K160" s="203"/>
      <c r="L160" s="270"/>
      <c r="P160" s="202" t="s">
        <v>83</v>
      </c>
      <c r="Q160" s="202" t="s">
        <v>83</v>
      </c>
      <c r="R160" s="202" t="s">
        <v>83</v>
      </c>
      <c r="S160" s="202" t="s">
        <v>83</v>
      </c>
      <c r="T160" s="202" t="s">
        <v>83</v>
      </c>
      <c r="U160" s="202" t="s">
        <v>83</v>
      </c>
      <c r="V160" s="202" t="s">
        <v>83</v>
      </c>
      <c r="W160" s="202" t="s">
        <v>83</v>
      </c>
      <c r="X160" s="202" t="s">
        <v>83</v>
      </c>
      <c r="Y160" s="202" t="s">
        <v>83</v>
      </c>
      <c r="Z160" s="202" t="s">
        <v>83</v>
      </c>
      <c r="AA160" s="202" t="s">
        <v>83</v>
      </c>
      <c r="AB160" s="202" t="s">
        <v>83</v>
      </c>
      <c r="AC160" s="202" t="s">
        <v>83</v>
      </c>
      <c r="AD160" s="202" t="s">
        <v>83</v>
      </c>
      <c r="AE160" s="202" t="s">
        <v>83</v>
      </c>
      <c r="AF160" s="202" t="s">
        <v>83</v>
      </c>
      <c r="AG160" s="202" t="s">
        <v>83</v>
      </c>
      <c r="AH160" s="202" t="s">
        <v>83</v>
      </c>
      <c r="AI160" s="202" t="s">
        <v>83</v>
      </c>
      <c r="AQ160" s="205"/>
      <c r="AR160" s="205"/>
      <c r="AS160" s="206"/>
      <c r="AT160" s="206"/>
      <c r="AU160" s="205"/>
      <c r="AV160" s="206"/>
      <c r="AW160" s="207"/>
      <c r="AX160" s="207"/>
      <c r="AY160" s="207"/>
      <c r="AZ160" s="227">
        <v>1</v>
      </c>
      <c r="BA160" s="227">
        <v>1</v>
      </c>
    </row>
    <row r="161" spans="1:53" ht="15" thickBot="1" x14ac:dyDescent="0.35">
      <c r="P161" t="s">
        <v>83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Z161" s="227">
        <v>1</v>
      </c>
      <c r="BA161" s="227">
        <v>1</v>
      </c>
    </row>
    <row r="162" spans="1:53" ht="18" customHeight="1" x14ac:dyDescent="0.3">
      <c r="A162" s="48" t="s">
        <v>18</v>
      </c>
      <c r="B162" s="150" t="s">
        <v>431</v>
      </c>
      <c r="C162" s="166" t="s">
        <v>432</v>
      </c>
      <c r="D162" s="49" t="s">
        <v>183</v>
      </c>
      <c r="E162" s="153">
        <v>9.9999999999999995E-8</v>
      </c>
      <c r="F162" s="150">
        <v>1</v>
      </c>
      <c r="G162" s="48">
        <v>0.2</v>
      </c>
      <c r="H162" s="50">
        <f>E162*F162*G162</f>
        <v>2E-8</v>
      </c>
      <c r="I162" s="151">
        <v>2.0099999999999998</v>
      </c>
      <c r="J162" s="156">
        <f>I162</f>
        <v>2.0099999999999998</v>
      </c>
      <c r="K162" s="159" t="s">
        <v>175</v>
      </c>
      <c r="L162" s="164">
        <v>0</v>
      </c>
      <c r="M162" s="92" t="str">
        <f t="shared" ref="M162:N169" si="174">A162</f>
        <v>С1</v>
      </c>
      <c r="N162" s="92" t="str">
        <f t="shared" si="174"/>
        <v>Емкость подземная Е- 100/3</v>
      </c>
      <c r="O162" s="92" t="str">
        <f t="shared" ref="O162:O169" si="175">D162</f>
        <v>Полное-факел</v>
      </c>
      <c r="P162" s="92" t="s">
        <v>83</v>
      </c>
      <c r="Q162" s="92" t="s">
        <v>83</v>
      </c>
      <c r="R162" s="92" t="s">
        <v>83</v>
      </c>
      <c r="S162" s="92" t="s">
        <v>83</v>
      </c>
      <c r="T162" s="92" t="s">
        <v>83</v>
      </c>
      <c r="U162" s="92" t="s">
        <v>83</v>
      </c>
      <c r="V162" s="92" t="s">
        <v>83</v>
      </c>
      <c r="W162" s="92" t="s">
        <v>83</v>
      </c>
      <c r="X162" s="92" t="s">
        <v>83</v>
      </c>
      <c r="Y162" s="92">
        <v>27</v>
      </c>
      <c r="Z162" s="92">
        <v>5</v>
      </c>
      <c r="AA162" s="92" t="s">
        <v>83</v>
      </c>
      <c r="AB162" s="92" t="s">
        <v>83</v>
      </c>
      <c r="AC162" s="92" t="s">
        <v>83</v>
      </c>
      <c r="AD162" s="92" t="s">
        <v>83</v>
      </c>
      <c r="AE162" s="92" t="s">
        <v>83</v>
      </c>
      <c r="AF162" s="92" t="s">
        <v>83</v>
      </c>
      <c r="AG162" s="92" t="s">
        <v>83</v>
      </c>
      <c r="AH162" s="92" t="s">
        <v>83</v>
      </c>
      <c r="AI162" t="s">
        <v>83</v>
      </c>
      <c r="AJ162" s="52">
        <v>2</v>
      </c>
      <c r="AK162" s="52">
        <v>3</v>
      </c>
      <c r="AL162" s="152">
        <v>1.2</v>
      </c>
      <c r="AM162" s="152">
        <v>2.7E-2</v>
      </c>
      <c r="AN162" s="152">
        <v>6</v>
      </c>
      <c r="AO162" s="92"/>
      <c r="AP162" s="92"/>
      <c r="AQ162" s="93">
        <f>AM162*I162+AL162</f>
        <v>1.25427</v>
      </c>
      <c r="AR162" s="93">
        <f>0.1*AQ162</f>
        <v>0.12542700000000001</v>
      </c>
      <c r="AS162" s="94">
        <f>AJ162*3+0.25*AK162</f>
        <v>6.75</v>
      </c>
      <c r="AT162" s="94">
        <f>SUM(AQ162:AS162)/4</f>
        <v>2.03242425</v>
      </c>
      <c r="AU162" s="93">
        <f>10068.2*J162*POWER(10,-6)</f>
        <v>2.0237081999999997E-2</v>
      </c>
      <c r="AV162" s="94">
        <f t="shared" ref="AV162:AV169" si="176">AU162+AT162+AS162+AR162+AQ162</f>
        <v>10.182358332</v>
      </c>
      <c r="AW162" s="95">
        <f>AJ162*H162</f>
        <v>4.0000000000000001E-8</v>
      </c>
      <c r="AX162" s="95">
        <f>H162*AK162</f>
        <v>6.0000000000000008E-8</v>
      </c>
      <c r="AY162" s="95">
        <f>H162*AV162</f>
        <v>2.0364716664000001E-7</v>
      </c>
      <c r="AZ162" s="227">
        <v>1</v>
      </c>
      <c r="BA162" s="227">
        <v>1</v>
      </c>
    </row>
    <row r="163" spans="1:53" s="1" customFormat="1" x14ac:dyDescent="0.3">
      <c r="A163" s="328" t="s">
        <v>19</v>
      </c>
      <c r="B163" s="328" t="str">
        <f>B162</f>
        <v>Емкость подземная Е- 100/3</v>
      </c>
      <c r="C163" s="329" t="s">
        <v>202</v>
      </c>
      <c r="D163" s="330" t="s">
        <v>62</v>
      </c>
      <c r="E163" s="331">
        <f>E162</f>
        <v>9.9999999999999995E-8</v>
      </c>
      <c r="F163" s="332">
        <f>F162</f>
        <v>1</v>
      </c>
      <c r="G163" s="328">
        <v>0.1152</v>
      </c>
      <c r="H163" s="333">
        <f t="shared" ref="H163:H169" si="177">E163*F163*G163</f>
        <v>1.152E-8</v>
      </c>
      <c r="I163" s="334">
        <f>I162</f>
        <v>2.0099999999999998</v>
      </c>
      <c r="J163" s="335">
        <f>0.067*I162</f>
        <v>0.13466999999999998</v>
      </c>
      <c r="K163" s="336" t="s">
        <v>176</v>
      </c>
      <c r="L163" s="337">
        <v>6</v>
      </c>
      <c r="M163" s="338" t="str">
        <f t="shared" si="174"/>
        <v>С2</v>
      </c>
      <c r="N163" s="338" t="str">
        <f t="shared" si="174"/>
        <v>Емкость подземная Е- 100/3</v>
      </c>
      <c r="O163" s="338" t="str">
        <f t="shared" si="175"/>
        <v>Полное-взрыв</v>
      </c>
      <c r="P163" s="338" t="s">
        <v>83</v>
      </c>
      <c r="Q163" s="338" t="s">
        <v>83</v>
      </c>
      <c r="R163" s="338" t="s">
        <v>83</v>
      </c>
      <c r="S163" s="338" t="s">
        <v>83</v>
      </c>
      <c r="T163" s="338">
        <v>0</v>
      </c>
      <c r="U163" s="338">
        <v>0</v>
      </c>
      <c r="V163" s="338">
        <v>39.1</v>
      </c>
      <c r="W163" s="338">
        <v>129.6</v>
      </c>
      <c r="X163" s="338">
        <v>337.1</v>
      </c>
      <c r="Y163" s="338" t="s">
        <v>83</v>
      </c>
      <c r="Z163" s="338" t="s">
        <v>83</v>
      </c>
      <c r="AA163" s="338" t="s">
        <v>83</v>
      </c>
      <c r="AB163" s="338" t="s">
        <v>83</v>
      </c>
      <c r="AC163" s="338" t="s">
        <v>83</v>
      </c>
      <c r="AD163" s="338" t="s">
        <v>83</v>
      </c>
      <c r="AE163" s="338" t="s">
        <v>83</v>
      </c>
      <c r="AF163" s="338" t="s">
        <v>83</v>
      </c>
      <c r="AG163" s="338" t="s">
        <v>83</v>
      </c>
      <c r="AH163" s="338" t="s">
        <v>83</v>
      </c>
      <c r="AI163" s="1" t="s">
        <v>83</v>
      </c>
      <c r="AJ163" s="339">
        <v>3</v>
      </c>
      <c r="AK163" s="339">
        <v>3</v>
      </c>
      <c r="AL163" s="338">
        <f>AL162</f>
        <v>1.2</v>
      </c>
      <c r="AM163" s="338">
        <f>AM162</f>
        <v>2.7E-2</v>
      </c>
      <c r="AN163" s="338">
        <f>AN162</f>
        <v>6</v>
      </c>
      <c r="AO163" s="338"/>
      <c r="AP163" s="338"/>
      <c r="AQ163" s="340">
        <f>AM163*I163+AL163</f>
        <v>1.25427</v>
      </c>
      <c r="AR163" s="340">
        <f t="shared" ref="AR163:AR169" si="178">0.1*AQ163</f>
        <v>0.12542700000000001</v>
      </c>
      <c r="AS163" s="341">
        <f t="shared" ref="AS163:AS169" si="179">AJ163*3+0.25*AK163</f>
        <v>9.75</v>
      </c>
      <c r="AT163" s="341">
        <f t="shared" ref="AT163:AT169" si="180">SUM(AQ163:AS163)/4</f>
        <v>2.78242425</v>
      </c>
      <c r="AU163" s="340">
        <f>10068.2*J163*POWER(10,-6)*10</f>
        <v>1.3558844939999998E-2</v>
      </c>
      <c r="AV163" s="341">
        <f t="shared" si="176"/>
        <v>13.925680094940001</v>
      </c>
      <c r="AW163" s="342">
        <f t="shared" ref="AW163:AW169" si="181">AJ163*H163</f>
        <v>3.456E-8</v>
      </c>
      <c r="AX163" s="342">
        <f t="shared" ref="AX163:AX169" si="182">H163*AK163</f>
        <v>3.456E-8</v>
      </c>
      <c r="AY163" s="342">
        <f t="shared" ref="AY163:AY169" si="183">H163*AV163</f>
        <v>1.604238346937088E-7</v>
      </c>
      <c r="AZ163" s="305">
        <v>1</v>
      </c>
      <c r="BA163" s="305">
        <v>1</v>
      </c>
    </row>
    <row r="164" spans="1:53" x14ac:dyDescent="0.3">
      <c r="A164" s="48" t="s">
        <v>20</v>
      </c>
      <c r="B164" s="48" t="str">
        <f>B162</f>
        <v>Емкость подземная Е- 100/3</v>
      </c>
      <c r="C164" s="166" t="s">
        <v>433</v>
      </c>
      <c r="D164" s="49" t="s">
        <v>185</v>
      </c>
      <c r="E164" s="154">
        <f>E162</f>
        <v>9.9999999999999995E-8</v>
      </c>
      <c r="F164" s="155">
        <f>F162</f>
        <v>1</v>
      </c>
      <c r="G164" s="48">
        <v>7.6799999999999993E-2</v>
      </c>
      <c r="H164" s="50">
        <f t="shared" si="177"/>
        <v>7.6799999999999983E-9</v>
      </c>
      <c r="I164" s="149">
        <f>I162</f>
        <v>2.0099999999999998</v>
      </c>
      <c r="J164" s="156">
        <f>I162</f>
        <v>2.0099999999999998</v>
      </c>
      <c r="K164" s="161" t="s">
        <v>177</v>
      </c>
      <c r="L164" s="165">
        <v>0</v>
      </c>
      <c r="M164" s="92" t="str">
        <f t="shared" si="174"/>
        <v>С3</v>
      </c>
      <c r="N164" s="92" t="str">
        <f t="shared" si="174"/>
        <v>Емкость подземная Е- 100/3</v>
      </c>
      <c r="O164" s="92" t="str">
        <f t="shared" si="175"/>
        <v>Полное-вспышка</v>
      </c>
      <c r="P164" s="92" t="s">
        <v>83</v>
      </c>
      <c r="Q164" s="92" t="s">
        <v>83</v>
      </c>
      <c r="R164" s="92" t="s">
        <v>83</v>
      </c>
      <c r="S164" s="92" t="s">
        <v>83</v>
      </c>
      <c r="T164" s="92" t="s">
        <v>83</v>
      </c>
      <c r="U164" s="92" t="s">
        <v>83</v>
      </c>
      <c r="V164" s="92" t="s">
        <v>83</v>
      </c>
      <c r="W164" s="92" t="s">
        <v>83</v>
      </c>
      <c r="X164" s="92" t="s">
        <v>83</v>
      </c>
      <c r="Y164" s="92" t="s">
        <v>83</v>
      </c>
      <c r="Z164" s="92" t="s">
        <v>83</v>
      </c>
      <c r="AA164" s="92">
        <v>42.2</v>
      </c>
      <c r="AB164" s="92">
        <v>50.64</v>
      </c>
      <c r="AC164" s="92" t="s">
        <v>83</v>
      </c>
      <c r="AD164" s="92" t="s">
        <v>83</v>
      </c>
      <c r="AE164" s="92" t="s">
        <v>83</v>
      </c>
      <c r="AF164" s="92" t="s">
        <v>83</v>
      </c>
      <c r="AG164" s="92" t="s">
        <v>83</v>
      </c>
      <c r="AH164" s="92" t="s">
        <v>83</v>
      </c>
      <c r="AI164" t="s">
        <v>83</v>
      </c>
      <c r="AJ164" s="92">
        <v>0</v>
      </c>
      <c r="AK164" s="92">
        <v>0</v>
      </c>
      <c r="AL164" s="92">
        <f>AL162</f>
        <v>1.2</v>
      </c>
      <c r="AM164" s="92">
        <f>AM162</f>
        <v>2.7E-2</v>
      </c>
      <c r="AN164" s="92">
        <f>AN162</f>
        <v>6</v>
      </c>
      <c r="AO164" s="92"/>
      <c r="AP164" s="92"/>
      <c r="AQ164" s="93">
        <f>AM164*I164*0.1+AL164</f>
        <v>1.205427</v>
      </c>
      <c r="AR164" s="93">
        <f t="shared" si="178"/>
        <v>0.1205427</v>
      </c>
      <c r="AS164" s="94">
        <f t="shared" si="179"/>
        <v>0</v>
      </c>
      <c r="AT164" s="94">
        <f t="shared" si="180"/>
        <v>0.33149242499999998</v>
      </c>
      <c r="AU164" s="93">
        <f>1333*J162*POWER(10,-6)</f>
        <v>2.6793299999999997E-3</v>
      </c>
      <c r="AV164" s="94">
        <f t="shared" si="176"/>
        <v>1.660141455</v>
      </c>
      <c r="AW164" s="95">
        <f t="shared" si="181"/>
        <v>0</v>
      </c>
      <c r="AX164" s="95">
        <f t="shared" si="182"/>
        <v>0</v>
      </c>
      <c r="AY164" s="95">
        <f t="shared" si="183"/>
        <v>1.2749886374399998E-8</v>
      </c>
      <c r="AZ164" s="227">
        <v>1</v>
      </c>
      <c r="BA164" s="227">
        <v>1</v>
      </c>
    </row>
    <row r="165" spans="1:53" x14ac:dyDescent="0.3">
      <c r="A165" s="48" t="s">
        <v>21</v>
      </c>
      <c r="B165" s="48" t="str">
        <f>B162</f>
        <v>Емкость подземная Е- 100/3</v>
      </c>
      <c r="C165" s="166" t="s">
        <v>198</v>
      </c>
      <c r="D165" s="49" t="s">
        <v>60</v>
      </c>
      <c r="E165" s="154">
        <f>E162</f>
        <v>9.9999999999999995E-8</v>
      </c>
      <c r="F165" s="155">
        <f>F162</f>
        <v>1</v>
      </c>
      <c r="G165" s="48">
        <v>0.60799999999999998</v>
      </c>
      <c r="H165" s="50">
        <f t="shared" si="177"/>
        <v>6.0800000000000002E-8</v>
      </c>
      <c r="I165" s="149">
        <f>I162</f>
        <v>2.0099999999999998</v>
      </c>
      <c r="J165" s="158">
        <v>0</v>
      </c>
      <c r="K165" s="161" t="s">
        <v>179</v>
      </c>
      <c r="L165" s="165">
        <v>45390</v>
      </c>
      <c r="M165" s="92" t="str">
        <f t="shared" si="174"/>
        <v>С4</v>
      </c>
      <c r="N165" s="92" t="str">
        <f t="shared" si="174"/>
        <v>Емкость подземная Е- 100/3</v>
      </c>
      <c r="O165" s="92" t="str">
        <f t="shared" si="175"/>
        <v>Полное-ликвидация</v>
      </c>
      <c r="P165" s="92" t="s">
        <v>83</v>
      </c>
      <c r="Q165" s="92" t="s">
        <v>83</v>
      </c>
      <c r="R165" s="92" t="s">
        <v>83</v>
      </c>
      <c r="S165" s="92" t="s">
        <v>83</v>
      </c>
      <c r="T165" s="92" t="s">
        <v>83</v>
      </c>
      <c r="U165" s="92" t="s">
        <v>83</v>
      </c>
      <c r="V165" s="92" t="s">
        <v>83</v>
      </c>
      <c r="W165" s="92" t="s">
        <v>83</v>
      </c>
      <c r="X165" s="92" t="s">
        <v>83</v>
      </c>
      <c r="Y165" s="92" t="s">
        <v>83</v>
      </c>
      <c r="Z165" s="92" t="s">
        <v>83</v>
      </c>
      <c r="AA165" s="92" t="s">
        <v>83</v>
      </c>
      <c r="AB165" s="92" t="s">
        <v>83</v>
      </c>
      <c r="AC165" s="92" t="s">
        <v>83</v>
      </c>
      <c r="AD165" s="92" t="s">
        <v>83</v>
      </c>
      <c r="AE165" s="92" t="s">
        <v>83</v>
      </c>
      <c r="AF165" s="92" t="s">
        <v>83</v>
      </c>
      <c r="AG165" s="92" t="s">
        <v>83</v>
      </c>
      <c r="AH165" s="92" t="s">
        <v>83</v>
      </c>
      <c r="AI165" t="s">
        <v>83</v>
      </c>
      <c r="AJ165" s="92">
        <v>0</v>
      </c>
      <c r="AK165" s="92">
        <v>0</v>
      </c>
      <c r="AL165" s="92">
        <f>AL162</f>
        <v>1.2</v>
      </c>
      <c r="AM165" s="92">
        <f>AM162</f>
        <v>2.7E-2</v>
      </c>
      <c r="AN165" s="92">
        <f>AN162</f>
        <v>6</v>
      </c>
      <c r="AO165" s="92"/>
      <c r="AP165" s="92"/>
      <c r="AQ165" s="93">
        <f>AM165*I165*0.1+AL165</f>
        <v>1.205427</v>
      </c>
      <c r="AR165" s="93">
        <f t="shared" si="178"/>
        <v>0.1205427</v>
      </c>
      <c r="AS165" s="94">
        <f t="shared" si="179"/>
        <v>0</v>
      </c>
      <c r="AT165" s="94">
        <f t="shared" si="180"/>
        <v>0.33149242499999998</v>
      </c>
      <c r="AU165" s="93">
        <f>1333*J163*POWER(10,-6)</f>
        <v>1.7951510999999999E-4</v>
      </c>
      <c r="AV165" s="94">
        <f t="shared" si="176"/>
        <v>1.65764164011</v>
      </c>
      <c r="AW165" s="95">
        <f t="shared" si="181"/>
        <v>0</v>
      </c>
      <c r="AX165" s="95">
        <f t="shared" si="182"/>
        <v>0</v>
      </c>
      <c r="AY165" s="95">
        <f t="shared" si="183"/>
        <v>1.00784611718688E-7</v>
      </c>
      <c r="AZ165" s="227">
        <v>1</v>
      </c>
      <c r="BA165" s="227">
        <v>1</v>
      </c>
    </row>
    <row r="166" spans="1:53" x14ac:dyDescent="0.3">
      <c r="A166" s="48" t="s">
        <v>22</v>
      </c>
      <c r="B166" s="48" t="str">
        <f>B162</f>
        <v>Емкость подземная Е- 100/3</v>
      </c>
      <c r="C166" s="166" t="s">
        <v>434</v>
      </c>
      <c r="D166" s="49" t="s">
        <v>187</v>
      </c>
      <c r="E166" s="153">
        <v>4.9999999999999998E-7</v>
      </c>
      <c r="F166" s="155">
        <f>F162</f>
        <v>1</v>
      </c>
      <c r="G166" s="48">
        <v>3.5000000000000003E-2</v>
      </c>
      <c r="H166" s="50">
        <f t="shared" si="177"/>
        <v>1.7500000000000001E-8</v>
      </c>
      <c r="I166" s="149">
        <f>0.15*I162</f>
        <v>0.30149999999999993</v>
      </c>
      <c r="J166" s="156">
        <f>I166</f>
        <v>0.30149999999999993</v>
      </c>
      <c r="K166" s="161" t="s">
        <v>180</v>
      </c>
      <c r="L166" s="165">
        <v>3</v>
      </c>
      <c r="M166" s="92" t="str">
        <f t="shared" si="174"/>
        <v>С5</v>
      </c>
      <c r="N166" s="92" t="str">
        <f t="shared" si="174"/>
        <v>Емкость подземная Е- 100/3</v>
      </c>
      <c r="O166" s="92" t="str">
        <f t="shared" si="175"/>
        <v>Частичное-факел</v>
      </c>
      <c r="P166" s="92" t="s">
        <v>83</v>
      </c>
      <c r="Q166" s="92" t="s">
        <v>83</v>
      </c>
      <c r="R166" s="92" t="s">
        <v>83</v>
      </c>
      <c r="S166" s="92" t="s">
        <v>83</v>
      </c>
      <c r="T166" s="92" t="s">
        <v>83</v>
      </c>
      <c r="U166" s="92" t="s">
        <v>83</v>
      </c>
      <c r="V166" s="92" t="s">
        <v>83</v>
      </c>
      <c r="W166" s="92" t="s">
        <v>83</v>
      </c>
      <c r="X166" s="92" t="s">
        <v>83</v>
      </c>
      <c r="Y166" s="92">
        <v>17</v>
      </c>
      <c r="Z166" s="92">
        <v>3</v>
      </c>
      <c r="AA166" s="92" t="s">
        <v>83</v>
      </c>
      <c r="AB166" s="92" t="s">
        <v>83</v>
      </c>
      <c r="AC166" s="92" t="s">
        <v>83</v>
      </c>
      <c r="AD166" s="92" t="s">
        <v>83</v>
      </c>
      <c r="AE166" s="92" t="s">
        <v>83</v>
      </c>
      <c r="AF166" s="92" t="s">
        <v>83</v>
      </c>
      <c r="AG166" s="92" t="s">
        <v>83</v>
      </c>
      <c r="AH166" s="92" t="s">
        <v>83</v>
      </c>
      <c r="AI166" t="s">
        <v>83</v>
      </c>
      <c r="AJ166" s="92">
        <v>0</v>
      </c>
      <c r="AK166" s="92">
        <v>2</v>
      </c>
      <c r="AL166" s="92">
        <f>0.1*$AL$2</f>
        <v>7.5000000000000011E-2</v>
      </c>
      <c r="AM166" s="92">
        <f>AM162</f>
        <v>2.7E-2</v>
      </c>
      <c r="AN166" s="92">
        <f>ROUNDUP(AN162/3,0)</f>
        <v>2</v>
      </c>
      <c r="AO166" s="92"/>
      <c r="AP166" s="92"/>
      <c r="AQ166" s="93">
        <f>AM166*I166+AL166</f>
        <v>8.3140500000000006E-2</v>
      </c>
      <c r="AR166" s="93">
        <f t="shared" si="178"/>
        <v>8.3140500000000016E-3</v>
      </c>
      <c r="AS166" s="94">
        <f t="shared" si="179"/>
        <v>0.5</v>
      </c>
      <c r="AT166" s="94">
        <f t="shared" si="180"/>
        <v>0.14786363750000001</v>
      </c>
      <c r="AU166" s="93">
        <f>10068.2*J166*POWER(10,-6)</f>
        <v>3.0355622999999996E-3</v>
      </c>
      <c r="AV166" s="94">
        <f t="shared" si="176"/>
        <v>0.74235374979999991</v>
      </c>
      <c r="AW166" s="95">
        <f t="shared" si="181"/>
        <v>0</v>
      </c>
      <c r="AX166" s="95">
        <f t="shared" si="182"/>
        <v>3.5000000000000002E-8</v>
      </c>
      <c r="AY166" s="95">
        <f t="shared" si="183"/>
        <v>1.2991190621499999E-8</v>
      </c>
      <c r="AZ166" s="227">
        <v>1</v>
      </c>
      <c r="BA166" s="227">
        <v>1</v>
      </c>
    </row>
    <row r="167" spans="1:53" x14ac:dyDescent="0.3">
      <c r="A167" s="48" t="s">
        <v>23</v>
      </c>
      <c r="B167" s="48" t="str">
        <f>B162</f>
        <v>Емкость подземная Е- 100/3</v>
      </c>
      <c r="C167" s="166" t="s">
        <v>435</v>
      </c>
      <c r="D167" s="49" t="s">
        <v>189</v>
      </c>
      <c r="E167" s="154">
        <f>E166</f>
        <v>4.9999999999999998E-7</v>
      </c>
      <c r="F167" s="155">
        <f>F162</f>
        <v>1</v>
      </c>
      <c r="G167" s="48">
        <v>8.3000000000000001E-3</v>
      </c>
      <c r="H167" s="50">
        <f t="shared" si="177"/>
        <v>4.1499999999999999E-9</v>
      </c>
      <c r="I167" s="149">
        <f>I166</f>
        <v>0.30149999999999993</v>
      </c>
      <c r="J167" s="156">
        <f>J163*0.15</f>
        <v>2.0200499999999996E-2</v>
      </c>
      <c r="K167" s="160" t="s">
        <v>191</v>
      </c>
      <c r="L167" s="217">
        <v>4</v>
      </c>
      <c r="M167" s="92" t="str">
        <f t="shared" si="174"/>
        <v>С6</v>
      </c>
      <c r="N167" s="92" t="str">
        <f t="shared" si="174"/>
        <v>Емкость подземная Е- 100/3</v>
      </c>
      <c r="O167" s="92" t="str">
        <f t="shared" si="175"/>
        <v>Частичное-взрыв</v>
      </c>
      <c r="P167" s="92" t="s">
        <v>83</v>
      </c>
      <c r="Q167" s="92" t="s">
        <v>83</v>
      </c>
      <c r="R167" s="92" t="s">
        <v>83</v>
      </c>
      <c r="S167" s="92" t="s">
        <v>83</v>
      </c>
      <c r="T167" s="92">
        <v>0</v>
      </c>
      <c r="U167" s="92">
        <v>0</v>
      </c>
      <c r="V167" s="92">
        <v>20.6</v>
      </c>
      <c r="W167" s="92">
        <v>69.099999999999994</v>
      </c>
      <c r="X167" s="92">
        <v>179.1</v>
      </c>
      <c r="Y167" s="92" t="s">
        <v>83</v>
      </c>
      <c r="Z167" s="92" t="s">
        <v>83</v>
      </c>
      <c r="AA167" s="92" t="s">
        <v>83</v>
      </c>
      <c r="AB167" s="92" t="s">
        <v>83</v>
      </c>
      <c r="AC167" s="92" t="s">
        <v>83</v>
      </c>
      <c r="AD167" s="92" t="s">
        <v>83</v>
      </c>
      <c r="AE167" s="92" t="s">
        <v>83</v>
      </c>
      <c r="AF167" s="92" t="s">
        <v>83</v>
      </c>
      <c r="AG167" s="92" t="s">
        <v>83</v>
      </c>
      <c r="AH167" s="92" t="s">
        <v>83</v>
      </c>
      <c r="AI167" t="s">
        <v>83</v>
      </c>
      <c r="AJ167" s="92">
        <v>0</v>
      </c>
      <c r="AK167" s="92">
        <v>1</v>
      </c>
      <c r="AL167" s="92">
        <f>0.1*$AL$2</f>
        <v>7.5000000000000011E-2</v>
      </c>
      <c r="AM167" s="92">
        <f>AM162</f>
        <v>2.7E-2</v>
      </c>
      <c r="AN167" s="92">
        <f>AN166</f>
        <v>2</v>
      </c>
      <c r="AO167" s="92"/>
      <c r="AP167" s="92"/>
      <c r="AQ167" s="93">
        <f>AM167*I167+AL167</f>
        <v>8.3140500000000006E-2</v>
      </c>
      <c r="AR167" s="93">
        <f t="shared" si="178"/>
        <v>8.3140500000000016E-3</v>
      </c>
      <c r="AS167" s="94">
        <f t="shared" si="179"/>
        <v>0.25</v>
      </c>
      <c r="AT167" s="94">
        <f t="shared" si="180"/>
        <v>8.5363637500000006E-2</v>
      </c>
      <c r="AU167" s="93">
        <f>10068.2*J167*POWER(10,-6)*10</f>
        <v>2.0338267409999995E-3</v>
      </c>
      <c r="AV167" s="94">
        <f t="shared" si="176"/>
        <v>0.42885201424100006</v>
      </c>
      <c r="AW167" s="95">
        <f t="shared" si="181"/>
        <v>0</v>
      </c>
      <c r="AX167" s="95">
        <f t="shared" si="182"/>
        <v>4.1499999999999999E-9</v>
      </c>
      <c r="AY167" s="95">
        <f t="shared" si="183"/>
        <v>1.7797358591001502E-9</v>
      </c>
      <c r="AZ167" s="227">
        <v>1</v>
      </c>
      <c r="BA167" s="227">
        <v>1</v>
      </c>
    </row>
    <row r="168" spans="1:53" x14ac:dyDescent="0.3">
      <c r="A168" s="48" t="s">
        <v>210</v>
      </c>
      <c r="B168" s="48" t="str">
        <f>B162</f>
        <v>Емкость подземная Е- 100/3</v>
      </c>
      <c r="C168" s="166" t="s">
        <v>436</v>
      </c>
      <c r="D168" s="49" t="s">
        <v>165</v>
      </c>
      <c r="E168" s="154">
        <f>E166</f>
        <v>4.9999999999999998E-7</v>
      </c>
      <c r="F168" s="155">
        <f>F162</f>
        <v>1</v>
      </c>
      <c r="G168" s="48">
        <v>2.64E-2</v>
      </c>
      <c r="H168" s="50">
        <f t="shared" si="177"/>
        <v>1.3199999999999999E-8</v>
      </c>
      <c r="I168" s="149">
        <f>0.15*I162</f>
        <v>0.30149999999999993</v>
      </c>
      <c r="J168" s="156">
        <f>J164*0.15</f>
        <v>0.30149999999999993</v>
      </c>
      <c r="K168" s="161"/>
      <c r="L168" s="165"/>
      <c r="M168" s="92" t="str">
        <f t="shared" si="174"/>
        <v>С7</v>
      </c>
      <c r="N168" s="92" t="str">
        <f t="shared" si="174"/>
        <v>Емкость подземная Е- 100/3</v>
      </c>
      <c r="O168" s="92" t="str">
        <f t="shared" si="175"/>
        <v>Частичное-пожар-вспышка</v>
      </c>
      <c r="P168" s="92" t="s">
        <v>83</v>
      </c>
      <c r="Q168" s="92" t="s">
        <v>83</v>
      </c>
      <c r="R168" s="92" t="s">
        <v>83</v>
      </c>
      <c r="S168" s="92" t="s">
        <v>83</v>
      </c>
      <c r="T168" s="92" t="s">
        <v>83</v>
      </c>
      <c r="U168" s="92" t="s">
        <v>83</v>
      </c>
      <c r="V168" s="92" t="s">
        <v>83</v>
      </c>
      <c r="W168" s="92" t="s">
        <v>83</v>
      </c>
      <c r="X168" s="92" t="s">
        <v>83</v>
      </c>
      <c r="Y168" s="92" t="s">
        <v>83</v>
      </c>
      <c r="Z168" s="92" t="s">
        <v>83</v>
      </c>
      <c r="AA168" s="92">
        <v>22.57</v>
      </c>
      <c r="AB168" s="92">
        <v>27.08</v>
      </c>
      <c r="AC168" s="92" t="s">
        <v>83</v>
      </c>
      <c r="AD168" s="92" t="s">
        <v>83</v>
      </c>
      <c r="AE168" s="92" t="s">
        <v>83</v>
      </c>
      <c r="AF168" s="92" t="s">
        <v>83</v>
      </c>
      <c r="AG168" s="92" t="s">
        <v>83</v>
      </c>
      <c r="AH168" s="92" t="s">
        <v>83</v>
      </c>
      <c r="AI168" t="s">
        <v>83</v>
      </c>
      <c r="AJ168" s="92">
        <v>0</v>
      </c>
      <c r="AK168" s="92">
        <v>1</v>
      </c>
      <c r="AL168" s="92">
        <f>0.1*$AL$2</f>
        <v>7.5000000000000011E-2</v>
      </c>
      <c r="AM168" s="92">
        <f>AM162</f>
        <v>2.7E-2</v>
      </c>
      <c r="AN168" s="92">
        <f>ROUNDUP(AN162/3,0)</f>
        <v>2</v>
      </c>
      <c r="AO168" s="92"/>
      <c r="AP168" s="92"/>
      <c r="AQ168" s="93">
        <f>AM168*I168+AL168</f>
        <v>8.3140500000000006E-2</v>
      </c>
      <c r="AR168" s="93">
        <f t="shared" si="178"/>
        <v>8.3140500000000016E-3</v>
      </c>
      <c r="AS168" s="94">
        <f t="shared" si="179"/>
        <v>0.25</v>
      </c>
      <c r="AT168" s="94">
        <f t="shared" si="180"/>
        <v>8.5363637500000006E-2</v>
      </c>
      <c r="AU168" s="93">
        <f>10068.2*J168*POWER(10,-6)*10</f>
        <v>3.0355622999999995E-2</v>
      </c>
      <c r="AV168" s="94">
        <f t="shared" si="176"/>
        <v>0.45717381050000006</v>
      </c>
      <c r="AW168" s="95">
        <f t="shared" si="181"/>
        <v>0</v>
      </c>
      <c r="AX168" s="95">
        <f t="shared" si="182"/>
        <v>1.3199999999999999E-8</v>
      </c>
      <c r="AY168" s="95">
        <f t="shared" si="183"/>
        <v>6.0346942986000002E-9</v>
      </c>
      <c r="AZ168" s="227">
        <v>1</v>
      </c>
      <c r="BA168" s="227">
        <v>1</v>
      </c>
    </row>
    <row r="169" spans="1:53" ht="15" thickBot="1" x14ac:dyDescent="0.35">
      <c r="A169" s="48" t="s">
        <v>211</v>
      </c>
      <c r="B169" s="48" t="str">
        <f>B162</f>
        <v>Емкость подземная Е- 100/3</v>
      </c>
      <c r="C169" s="166" t="s">
        <v>310</v>
      </c>
      <c r="D169" s="49" t="s">
        <v>61</v>
      </c>
      <c r="E169" s="154">
        <f>E166</f>
        <v>4.9999999999999998E-7</v>
      </c>
      <c r="F169" s="155">
        <f>F162</f>
        <v>1</v>
      </c>
      <c r="G169" s="48">
        <v>0.93030000000000002</v>
      </c>
      <c r="H169" s="50">
        <f t="shared" si="177"/>
        <v>4.6515000000000001E-7</v>
      </c>
      <c r="I169" s="149">
        <f>0.15*I162</f>
        <v>0.30149999999999993</v>
      </c>
      <c r="J169" s="158">
        <v>0</v>
      </c>
      <c r="K169" s="162"/>
      <c r="L169" s="163"/>
      <c r="M169" s="92" t="str">
        <f t="shared" si="174"/>
        <v>С8</v>
      </c>
      <c r="N169" s="92" t="str">
        <f t="shared" si="174"/>
        <v>Емкость подземная Е- 100/3</v>
      </c>
      <c r="O169" s="92" t="str">
        <f t="shared" si="175"/>
        <v>Частичное-ликвидация</v>
      </c>
      <c r="P169" s="92" t="s">
        <v>83</v>
      </c>
      <c r="Q169" s="92" t="s">
        <v>83</v>
      </c>
      <c r="R169" s="92" t="s">
        <v>83</v>
      </c>
      <c r="S169" s="92" t="s">
        <v>83</v>
      </c>
      <c r="T169" s="92" t="s">
        <v>83</v>
      </c>
      <c r="U169" s="92" t="s">
        <v>83</v>
      </c>
      <c r="V169" s="92" t="s">
        <v>83</v>
      </c>
      <c r="W169" s="92" t="s">
        <v>83</v>
      </c>
      <c r="X169" s="92" t="s">
        <v>83</v>
      </c>
      <c r="Y169" s="92" t="s">
        <v>83</v>
      </c>
      <c r="Z169" s="92" t="s">
        <v>83</v>
      </c>
      <c r="AA169" s="92" t="s">
        <v>83</v>
      </c>
      <c r="AB169" s="92" t="s">
        <v>83</v>
      </c>
      <c r="AC169" s="92" t="s">
        <v>83</v>
      </c>
      <c r="AD169" s="92" t="s">
        <v>83</v>
      </c>
      <c r="AE169" s="92" t="s">
        <v>83</v>
      </c>
      <c r="AF169" s="92" t="s">
        <v>83</v>
      </c>
      <c r="AG169" s="92" t="s">
        <v>83</v>
      </c>
      <c r="AH169" s="92" t="s">
        <v>83</v>
      </c>
      <c r="AI169" t="s">
        <v>83</v>
      </c>
      <c r="AJ169" s="92">
        <v>0</v>
      </c>
      <c r="AK169" s="92">
        <v>0</v>
      </c>
      <c r="AL169" s="92">
        <f>0.1*$AL$2</f>
        <v>7.5000000000000011E-2</v>
      </c>
      <c r="AM169" s="92">
        <f>AM162</f>
        <v>2.7E-2</v>
      </c>
      <c r="AN169" s="92">
        <f>ROUNDUP(AN162/3,0)</f>
        <v>2</v>
      </c>
      <c r="AO169" s="92"/>
      <c r="AP169" s="92"/>
      <c r="AQ169" s="93">
        <f>AM169*I169*0.1+AL169</f>
        <v>7.5814050000000008E-2</v>
      </c>
      <c r="AR169" s="93">
        <f t="shared" si="178"/>
        <v>7.5814050000000011E-3</v>
      </c>
      <c r="AS169" s="94">
        <f t="shared" si="179"/>
        <v>0</v>
      </c>
      <c r="AT169" s="94">
        <f t="shared" si="180"/>
        <v>2.0848863750000002E-2</v>
      </c>
      <c r="AU169" s="93">
        <f>1333*J168*POWER(10,-6)</f>
        <v>4.0189949999999989E-4</v>
      </c>
      <c r="AV169" s="94">
        <f t="shared" si="176"/>
        <v>0.10464621825000001</v>
      </c>
      <c r="AW169" s="95">
        <f t="shared" si="181"/>
        <v>0</v>
      </c>
      <c r="AX169" s="95">
        <f t="shared" si="182"/>
        <v>0</v>
      </c>
      <c r="AY169" s="95">
        <f t="shared" si="183"/>
        <v>4.8676188418987507E-8</v>
      </c>
      <c r="AZ169" s="227">
        <v>1</v>
      </c>
      <c r="BA169" s="227">
        <v>1</v>
      </c>
    </row>
    <row r="170" spans="1:53" x14ac:dyDescent="0.3">
      <c r="A170" s="52"/>
      <c r="B170" s="52"/>
      <c r="C170" s="92"/>
      <c r="D170" s="254"/>
      <c r="E170" s="255"/>
      <c r="F170" s="256"/>
      <c r="G170" s="52"/>
      <c r="H170" s="95"/>
      <c r="I170" s="94"/>
      <c r="J170" s="52"/>
      <c r="K170" s="52"/>
      <c r="L170" s="52"/>
      <c r="M170" s="92"/>
      <c r="N170" s="92"/>
      <c r="O170" s="92"/>
      <c r="P170" s="92" t="s">
        <v>83</v>
      </c>
      <c r="Q170" s="92" t="s">
        <v>83</v>
      </c>
      <c r="R170" s="92" t="s">
        <v>83</v>
      </c>
      <c r="S170" s="92" t="s">
        <v>83</v>
      </c>
      <c r="T170" s="92" t="s">
        <v>83</v>
      </c>
      <c r="U170" s="92" t="s">
        <v>83</v>
      </c>
      <c r="V170" s="92" t="s">
        <v>83</v>
      </c>
      <c r="W170" s="92" t="s">
        <v>83</v>
      </c>
      <c r="X170" s="92" t="s">
        <v>83</v>
      </c>
      <c r="Y170" s="92" t="s">
        <v>83</v>
      </c>
      <c r="Z170" s="92" t="s">
        <v>83</v>
      </c>
      <c r="AA170" s="92" t="s">
        <v>83</v>
      </c>
      <c r="AB170" s="92" t="s">
        <v>83</v>
      </c>
      <c r="AC170" s="92" t="s">
        <v>83</v>
      </c>
      <c r="AD170" s="92" t="s">
        <v>83</v>
      </c>
      <c r="AE170" s="92" t="s">
        <v>83</v>
      </c>
      <c r="AF170" s="92" t="s">
        <v>83</v>
      </c>
      <c r="AG170" s="92" t="s">
        <v>83</v>
      </c>
      <c r="AH170" s="92" t="s">
        <v>83</v>
      </c>
      <c r="AI170" t="s">
        <v>83</v>
      </c>
      <c r="AJ170" s="92"/>
      <c r="AK170" s="92"/>
      <c r="AL170" s="92"/>
      <c r="AM170" s="92"/>
      <c r="AN170" s="92"/>
      <c r="AO170" s="92"/>
      <c r="AP170" s="92"/>
      <c r="AQ170" s="93"/>
      <c r="AR170" s="93"/>
      <c r="AS170" s="94"/>
      <c r="AT170" s="94"/>
      <c r="AU170" s="93"/>
      <c r="AV170" s="94"/>
      <c r="AW170" s="95"/>
      <c r="AX170" s="95"/>
      <c r="AY170" s="95"/>
      <c r="AZ170" s="227">
        <v>1</v>
      </c>
      <c r="BA170" s="227">
        <v>1</v>
      </c>
    </row>
    <row r="171" spans="1:53" s="402" customFormat="1" ht="15" thickBot="1" x14ac:dyDescent="0.35">
      <c r="A171" s="401"/>
      <c r="B171" s="401"/>
      <c r="D171" s="403"/>
      <c r="E171" s="401"/>
      <c r="F171" s="401"/>
      <c r="G171" s="401"/>
      <c r="H171" s="401"/>
      <c r="I171" s="401"/>
      <c r="J171" s="401"/>
      <c r="K171" s="401"/>
      <c r="P171" s="402" t="s">
        <v>83</v>
      </c>
      <c r="Q171" s="402" t="s">
        <v>83</v>
      </c>
      <c r="R171" s="402" t="s">
        <v>83</v>
      </c>
      <c r="S171" s="402" t="s">
        <v>83</v>
      </c>
      <c r="T171" s="402" t="s">
        <v>83</v>
      </c>
      <c r="U171" s="402" t="s">
        <v>83</v>
      </c>
      <c r="V171" s="402" t="s">
        <v>83</v>
      </c>
      <c r="W171" s="402" t="s">
        <v>83</v>
      </c>
      <c r="X171" s="402" t="s">
        <v>83</v>
      </c>
      <c r="Y171" s="402" t="s">
        <v>83</v>
      </c>
      <c r="Z171" s="402" t="s">
        <v>83</v>
      </c>
      <c r="AA171" s="402" t="s">
        <v>83</v>
      </c>
      <c r="AB171" s="402" t="s">
        <v>83</v>
      </c>
      <c r="AC171" s="402" t="s">
        <v>83</v>
      </c>
      <c r="AD171" s="402" t="s">
        <v>83</v>
      </c>
      <c r="AE171" s="402" t="s">
        <v>83</v>
      </c>
      <c r="AF171" s="402" t="s">
        <v>83</v>
      </c>
      <c r="AG171" s="402" t="s">
        <v>83</v>
      </c>
      <c r="AH171" s="402" t="s">
        <v>83</v>
      </c>
      <c r="AI171" s="402" t="s">
        <v>83</v>
      </c>
      <c r="AZ171" s="227">
        <v>1</v>
      </c>
      <c r="BA171" s="227">
        <v>1</v>
      </c>
    </row>
    <row r="172" spans="1:53" s="179" customFormat="1" ht="15" thickBot="1" x14ac:dyDescent="0.35">
      <c r="A172" s="169" t="s">
        <v>18</v>
      </c>
      <c r="B172" s="312" t="s">
        <v>437</v>
      </c>
      <c r="C172" s="171" t="s">
        <v>196</v>
      </c>
      <c r="D172" s="172" t="s">
        <v>59</v>
      </c>
      <c r="E172" s="173">
        <v>9.9999999999999995E-7</v>
      </c>
      <c r="F172" s="170">
        <v>1</v>
      </c>
      <c r="G172" s="169">
        <v>0.1</v>
      </c>
      <c r="H172" s="174">
        <f t="shared" ref="H172:H177" si="184">E172*F172*G172</f>
        <v>9.9999999999999995E-8</v>
      </c>
      <c r="I172" s="175">
        <v>2.1</v>
      </c>
      <c r="J172" s="176">
        <f>I172</f>
        <v>2.1</v>
      </c>
      <c r="K172" s="177" t="s">
        <v>175</v>
      </c>
      <c r="L172" s="178">
        <v>60</v>
      </c>
      <c r="M172" s="179" t="str">
        <f t="shared" ref="M172:N177" si="185">A172</f>
        <v>С1</v>
      </c>
      <c r="N172" s="179" t="str">
        <f t="shared" si="185"/>
        <v>Абсорбер гликолевый К-301/1</v>
      </c>
      <c r="O172" s="179" t="str">
        <f t="shared" ref="O172:O177" si="186">D172</f>
        <v>Полное-пожар</v>
      </c>
      <c r="P172" s="179">
        <v>13.4</v>
      </c>
      <c r="Q172" s="179">
        <v>17.7</v>
      </c>
      <c r="R172" s="179">
        <v>24.2</v>
      </c>
      <c r="S172" s="179">
        <v>43.5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3.5</v>
      </c>
      <c r="AM172" s="181">
        <v>2.7E-2</v>
      </c>
      <c r="AN172" s="181">
        <v>3</v>
      </c>
      <c r="AQ172" s="182">
        <f>AM172*I172+AL172</f>
        <v>3.5567000000000002</v>
      </c>
      <c r="AR172" s="182">
        <f t="shared" ref="AR172:AR177" si="187">0.1*AQ172</f>
        <v>0.35567000000000004</v>
      </c>
      <c r="AS172" s="183">
        <f t="shared" ref="AS172:AS177" si="188">AJ172*3+0.25*AK172</f>
        <v>3.5</v>
      </c>
      <c r="AT172" s="183">
        <f t="shared" ref="AT172:AT177" si="189">SUM(AQ172:AS172)/4</f>
        <v>1.8530925</v>
      </c>
      <c r="AU172" s="182">
        <f>10068.2*J172*POWER(10,-6)</f>
        <v>2.1143220000000001E-2</v>
      </c>
      <c r="AV172" s="183">
        <f t="shared" ref="AV172:AV177" si="190">AU172+AT172+AS172+AR172+AQ172</f>
        <v>9.2866057200000007</v>
      </c>
      <c r="AW172" s="184">
        <f t="shared" ref="AW172:AW177" si="191">AJ172*H172</f>
        <v>9.9999999999999995E-8</v>
      </c>
      <c r="AX172" s="184">
        <f t="shared" ref="AX172:AX177" si="192">H172*AK172</f>
        <v>1.9999999999999999E-7</v>
      </c>
      <c r="AY172" s="184">
        <f t="shared" ref="AY172:AY177" si="193">H172*AV172</f>
        <v>9.2866057200000002E-7</v>
      </c>
      <c r="AZ172" s="227">
        <v>1</v>
      </c>
      <c r="BA172" s="227">
        <v>1</v>
      </c>
    </row>
    <row r="173" spans="1:53" s="179" customFormat="1" ht="15" thickBot="1" x14ac:dyDescent="0.35">
      <c r="A173" s="169" t="s">
        <v>19</v>
      </c>
      <c r="B173" s="169" t="str">
        <f>B172</f>
        <v>Абсорбер гликолевый К-301/1</v>
      </c>
      <c r="C173" s="171" t="s">
        <v>197</v>
      </c>
      <c r="D173" s="172" t="s">
        <v>62</v>
      </c>
      <c r="E173" s="185">
        <f>E172</f>
        <v>9.9999999999999995E-7</v>
      </c>
      <c r="F173" s="186">
        <f>F172</f>
        <v>1</v>
      </c>
      <c r="G173" s="169">
        <v>0.18000000000000002</v>
      </c>
      <c r="H173" s="174">
        <f t="shared" si="184"/>
        <v>1.8000000000000002E-7</v>
      </c>
      <c r="I173" s="187">
        <f>I172</f>
        <v>2.1</v>
      </c>
      <c r="J173" s="188">
        <v>0.4</v>
      </c>
      <c r="K173" s="177" t="s">
        <v>176</v>
      </c>
      <c r="L173" s="178">
        <v>0</v>
      </c>
      <c r="M173" s="179" t="str">
        <f t="shared" si="185"/>
        <v>С2</v>
      </c>
      <c r="N173" s="179" t="str">
        <f t="shared" si="185"/>
        <v>Абсорбер гликолевый К-301/1</v>
      </c>
      <c r="O173" s="179" t="str">
        <f t="shared" si="186"/>
        <v>Полное-взрыв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>
        <v>0</v>
      </c>
      <c r="U173" s="179">
        <v>0</v>
      </c>
      <c r="V173" s="179">
        <v>56.1</v>
      </c>
      <c r="W173" s="179">
        <v>186.1</v>
      </c>
      <c r="X173" s="179">
        <v>484.6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3.5</v>
      </c>
      <c r="AM173" s="179">
        <f>AM172</f>
        <v>2.7E-2</v>
      </c>
      <c r="AN173" s="179">
        <f>AN172</f>
        <v>3</v>
      </c>
      <c r="AQ173" s="182">
        <f>AM173*I173+AL173</f>
        <v>3.5567000000000002</v>
      </c>
      <c r="AR173" s="182">
        <f t="shared" si="187"/>
        <v>0.35567000000000004</v>
      </c>
      <c r="AS173" s="183">
        <f t="shared" si="188"/>
        <v>6.5</v>
      </c>
      <c r="AT173" s="183">
        <f t="shared" si="189"/>
        <v>2.6030924999999998</v>
      </c>
      <c r="AU173" s="182">
        <f>10068.2*J173*POWER(10,-6)*10</f>
        <v>4.0272800000000004E-2</v>
      </c>
      <c r="AV173" s="183">
        <f t="shared" si="190"/>
        <v>13.055735299999998</v>
      </c>
      <c r="AW173" s="184">
        <f t="shared" si="191"/>
        <v>3.6000000000000005E-7</v>
      </c>
      <c r="AX173" s="184">
        <f t="shared" si="192"/>
        <v>3.6000000000000005E-7</v>
      </c>
      <c r="AY173" s="184">
        <f t="shared" si="193"/>
        <v>2.3500323540000002E-6</v>
      </c>
      <c r="AZ173" s="227">
        <v>1</v>
      </c>
      <c r="BA173" s="227">
        <v>1</v>
      </c>
    </row>
    <row r="174" spans="1:53" s="179" customFormat="1" x14ac:dyDescent="0.3">
      <c r="A174" s="169" t="s">
        <v>20</v>
      </c>
      <c r="B174" s="169" t="str">
        <f>B172</f>
        <v>Абсорбер гликолевый К-301/1</v>
      </c>
      <c r="C174" s="171" t="s">
        <v>198</v>
      </c>
      <c r="D174" s="172" t="s">
        <v>60</v>
      </c>
      <c r="E174" s="185">
        <f>E172</f>
        <v>9.9999999999999995E-7</v>
      </c>
      <c r="F174" s="186">
        <f>F172</f>
        <v>1</v>
      </c>
      <c r="G174" s="169">
        <v>0.72000000000000008</v>
      </c>
      <c r="H174" s="174">
        <f t="shared" si="184"/>
        <v>7.2000000000000009E-7</v>
      </c>
      <c r="I174" s="187">
        <f>I172</f>
        <v>2.1</v>
      </c>
      <c r="J174" s="189">
        <v>0</v>
      </c>
      <c r="K174" s="177" t="s">
        <v>177</v>
      </c>
      <c r="L174" s="178">
        <v>0</v>
      </c>
      <c r="M174" s="179" t="str">
        <f t="shared" si="185"/>
        <v>С3</v>
      </c>
      <c r="N174" s="179" t="str">
        <f t="shared" si="185"/>
        <v>Абсорбер гликолевый К-301/1</v>
      </c>
      <c r="O174" s="179" t="str">
        <f t="shared" si="186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3.5</v>
      </c>
      <c r="AM174" s="179">
        <f>AM172</f>
        <v>2.7E-2</v>
      </c>
      <c r="AN174" s="179">
        <f>AN172</f>
        <v>3</v>
      </c>
      <c r="AQ174" s="182">
        <f>AM174*I174*0.1+AL174</f>
        <v>3.5056699999999998</v>
      </c>
      <c r="AR174" s="182">
        <f t="shared" si="187"/>
        <v>0.35056700000000002</v>
      </c>
      <c r="AS174" s="183">
        <f t="shared" si="188"/>
        <v>0</v>
      </c>
      <c r="AT174" s="183">
        <f t="shared" si="189"/>
        <v>0.96405924999999992</v>
      </c>
      <c r="AU174" s="182">
        <f>1333*J173*POWER(10,-6)</f>
        <v>5.3320000000000006E-4</v>
      </c>
      <c r="AV174" s="183">
        <f t="shared" si="190"/>
        <v>4.8208294499999997</v>
      </c>
      <c r="AW174" s="184">
        <f t="shared" si="191"/>
        <v>0</v>
      </c>
      <c r="AX174" s="184">
        <f t="shared" si="192"/>
        <v>0</v>
      </c>
      <c r="AY174" s="184">
        <f t="shared" si="193"/>
        <v>3.4709972040000003E-6</v>
      </c>
      <c r="AZ174" s="227">
        <v>1</v>
      </c>
      <c r="BA174" s="227">
        <v>1</v>
      </c>
    </row>
    <row r="175" spans="1:53" s="179" customFormat="1" x14ac:dyDescent="0.3">
      <c r="A175" s="169" t="s">
        <v>21</v>
      </c>
      <c r="B175" s="169" t="str">
        <f>B172</f>
        <v>Абсорбер гликолевый К-301/1</v>
      </c>
      <c r="C175" s="171" t="s">
        <v>199</v>
      </c>
      <c r="D175" s="172" t="s">
        <v>84</v>
      </c>
      <c r="E175" s="173">
        <v>1.0000000000000001E-5</v>
      </c>
      <c r="F175" s="186">
        <f>F172</f>
        <v>1</v>
      </c>
      <c r="G175" s="169">
        <v>0.1</v>
      </c>
      <c r="H175" s="174">
        <f t="shared" si="184"/>
        <v>1.0000000000000002E-6</v>
      </c>
      <c r="I175" s="187">
        <f>0.15*I172</f>
        <v>0.315</v>
      </c>
      <c r="J175" s="176">
        <f>I175</f>
        <v>0.315</v>
      </c>
      <c r="K175" s="190" t="s">
        <v>179</v>
      </c>
      <c r="L175" s="191">
        <v>45390</v>
      </c>
      <c r="M175" s="179" t="str">
        <f t="shared" si="185"/>
        <v>С4</v>
      </c>
      <c r="N175" s="179" t="str">
        <f t="shared" si="185"/>
        <v>Абсорбер гликолевый К-301/1</v>
      </c>
      <c r="O175" s="179" t="str">
        <f t="shared" si="186"/>
        <v>Частичное-пожар</v>
      </c>
      <c r="P175" s="179">
        <v>9.3000000000000007</v>
      </c>
      <c r="Q175" s="179">
        <v>11.4</v>
      </c>
      <c r="R175" s="179">
        <v>14.4</v>
      </c>
      <c r="S175" s="179">
        <v>23.4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0.1*AL172</f>
        <v>0.35000000000000003</v>
      </c>
      <c r="AM175" s="179">
        <f>AM172</f>
        <v>2.7E-2</v>
      </c>
      <c r="AN175" s="179">
        <f>ROUNDUP(AN172/3,0)</f>
        <v>1</v>
      </c>
      <c r="AQ175" s="182">
        <f>AM175*I175+AL175</f>
        <v>0.35850500000000002</v>
      </c>
      <c r="AR175" s="182">
        <f t="shared" si="187"/>
        <v>3.58505E-2</v>
      </c>
      <c r="AS175" s="183">
        <f t="shared" si="188"/>
        <v>0.5</v>
      </c>
      <c r="AT175" s="183">
        <f t="shared" si="189"/>
        <v>0.22358887500000002</v>
      </c>
      <c r="AU175" s="182">
        <f>10068.2*J175*POWER(10,-6)</f>
        <v>3.1714830000000001E-3</v>
      </c>
      <c r="AV175" s="183">
        <f t="shared" si="190"/>
        <v>1.121115858</v>
      </c>
      <c r="AW175" s="184">
        <f t="shared" si="191"/>
        <v>0</v>
      </c>
      <c r="AX175" s="184">
        <f t="shared" si="192"/>
        <v>2.0000000000000003E-6</v>
      </c>
      <c r="AY175" s="184">
        <f t="shared" si="193"/>
        <v>1.1211158580000003E-6</v>
      </c>
      <c r="AZ175" s="227">
        <v>1</v>
      </c>
      <c r="BA175" s="227">
        <v>1</v>
      </c>
    </row>
    <row r="176" spans="1:53" s="179" customFormat="1" x14ac:dyDescent="0.3">
      <c r="A176" s="169" t="s">
        <v>22</v>
      </c>
      <c r="B176" s="169" t="str">
        <f>B172</f>
        <v>Абсорбер гликолевый К-301/1</v>
      </c>
      <c r="C176" s="171" t="s">
        <v>200</v>
      </c>
      <c r="D176" s="172" t="s">
        <v>165</v>
      </c>
      <c r="E176" s="185">
        <f>E175</f>
        <v>1.0000000000000001E-5</v>
      </c>
      <c r="F176" s="186">
        <f>F172</f>
        <v>1</v>
      </c>
      <c r="G176" s="169">
        <v>4.5000000000000005E-2</v>
      </c>
      <c r="H176" s="174">
        <f t="shared" si="184"/>
        <v>4.5000000000000009E-7</v>
      </c>
      <c r="I176" s="187">
        <f>0.15*I172</f>
        <v>0.315</v>
      </c>
      <c r="J176" s="176">
        <f>0.15*J173</f>
        <v>0.06</v>
      </c>
      <c r="K176" s="190" t="s">
        <v>180</v>
      </c>
      <c r="L176" s="191">
        <v>3</v>
      </c>
      <c r="M176" s="179" t="str">
        <f t="shared" si="185"/>
        <v>С5</v>
      </c>
      <c r="N176" s="179" t="str">
        <f t="shared" si="185"/>
        <v>Абсорбер гликолевый К-301/1</v>
      </c>
      <c r="O176" s="179" t="str">
        <f t="shared" si="186"/>
        <v>Частичное-пожар-вспышка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>
        <v>13.25</v>
      </c>
      <c r="AB176" s="179">
        <v>15.9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 t="shared" ref="AL176:AL177" si="194">0.1*AL173</f>
        <v>0.35000000000000003</v>
      </c>
      <c r="AM176" s="179">
        <f>AM172</f>
        <v>2.7E-2</v>
      </c>
      <c r="AN176" s="179">
        <f>ROUNDUP(AN172/3,0)</f>
        <v>1</v>
      </c>
      <c r="AQ176" s="182">
        <f>AM176*I176+AL176</f>
        <v>0.35850500000000002</v>
      </c>
      <c r="AR176" s="182">
        <f t="shared" si="187"/>
        <v>3.58505E-2</v>
      </c>
      <c r="AS176" s="183">
        <f t="shared" si="188"/>
        <v>0.25</v>
      </c>
      <c r="AT176" s="183">
        <f t="shared" si="189"/>
        <v>0.16108887500000002</v>
      </c>
      <c r="AU176" s="182">
        <f>10068.2*J176*POWER(10,-6)*10</f>
        <v>6.04092E-3</v>
      </c>
      <c r="AV176" s="183">
        <f t="shared" si="190"/>
        <v>0.811485295</v>
      </c>
      <c r="AW176" s="184">
        <f t="shared" si="191"/>
        <v>0</v>
      </c>
      <c r="AX176" s="184">
        <f t="shared" si="192"/>
        <v>4.5000000000000009E-7</v>
      </c>
      <c r="AY176" s="184">
        <f t="shared" si="193"/>
        <v>3.6516838275000007E-7</v>
      </c>
      <c r="AZ176" s="227">
        <v>1</v>
      </c>
      <c r="BA176" s="227">
        <v>1</v>
      </c>
    </row>
    <row r="177" spans="1:53" s="179" customFormat="1" ht="15" thickBot="1" x14ac:dyDescent="0.35">
      <c r="A177" s="169" t="s">
        <v>23</v>
      </c>
      <c r="B177" s="169" t="str">
        <f>B172</f>
        <v>Абсорбер гликолевый К-301/1</v>
      </c>
      <c r="C177" s="171" t="s">
        <v>201</v>
      </c>
      <c r="D177" s="172" t="s">
        <v>61</v>
      </c>
      <c r="E177" s="185">
        <f>E175</f>
        <v>1.0000000000000001E-5</v>
      </c>
      <c r="F177" s="186">
        <f>F172</f>
        <v>1</v>
      </c>
      <c r="G177" s="169">
        <v>0.85499999999999998</v>
      </c>
      <c r="H177" s="174">
        <f t="shared" si="184"/>
        <v>8.5500000000000011E-6</v>
      </c>
      <c r="I177" s="187">
        <f>0.15*I172</f>
        <v>0.315</v>
      </c>
      <c r="J177" s="189">
        <v>0</v>
      </c>
      <c r="K177" s="192" t="s">
        <v>191</v>
      </c>
      <c r="L177" s="192">
        <v>9</v>
      </c>
      <c r="M177" s="179" t="str">
        <f t="shared" si="185"/>
        <v>С6</v>
      </c>
      <c r="N177" s="179" t="str">
        <f t="shared" si="185"/>
        <v>Абсорбер гликолевый К-301/1</v>
      </c>
      <c r="O177" s="179" t="str">
        <f t="shared" si="186"/>
        <v>Частичное-ликвидация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 t="shared" si="194"/>
        <v>0.35000000000000003</v>
      </c>
      <c r="AM177" s="179">
        <f>AM172</f>
        <v>2.7E-2</v>
      </c>
      <c r="AN177" s="179">
        <f>ROUNDUP(AN172/3,0)</f>
        <v>1</v>
      </c>
      <c r="AQ177" s="182">
        <f>AM177*I177*0.1+AL177</f>
        <v>0.35085050000000001</v>
      </c>
      <c r="AR177" s="182">
        <f t="shared" si="187"/>
        <v>3.508505E-2</v>
      </c>
      <c r="AS177" s="183">
        <f t="shared" si="188"/>
        <v>0</v>
      </c>
      <c r="AT177" s="183">
        <f t="shared" si="189"/>
        <v>9.6483887500000004E-2</v>
      </c>
      <c r="AU177" s="182">
        <f>1333*J176*POWER(10,-6)</f>
        <v>7.9980000000000003E-5</v>
      </c>
      <c r="AV177" s="183">
        <f t="shared" si="190"/>
        <v>0.48249941750000003</v>
      </c>
      <c r="AW177" s="184">
        <f t="shared" si="191"/>
        <v>0</v>
      </c>
      <c r="AX177" s="184">
        <f t="shared" si="192"/>
        <v>0</v>
      </c>
      <c r="AY177" s="184">
        <f t="shared" si="193"/>
        <v>4.1253700196250012E-6</v>
      </c>
      <c r="AZ177" s="227">
        <v>1</v>
      </c>
      <c r="BA177" s="227">
        <v>1</v>
      </c>
    </row>
    <row r="178" spans="1:53" s="179" customFormat="1" x14ac:dyDescent="0.3">
      <c r="A178" s="180"/>
      <c r="B178" s="180"/>
      <c r="D178" s="271"/>
      <c r="E178" s="272"/>
      <c r="F178" s="273"/>
      <c r="G178" s="180"/>
      <c r="H178" s="184"/>
      <c r="I178" s="183"/>
      <c r="J178" s="180"/>
      <c r="K178" s="180"/>
      <c r="L178" s="180"/>
      <c r="P178" s="179" t="s">
        <v>83</v>
      </c>
      <c r="Q178" s="179" t="s">
        <v>83</v>
      </c>
      <c r="R178" s="179" t="s">
        <v>83</v>
      </c>
      <c r="S178" s="179" t="s">
        <v>83</v>
      </c>
      <c r="T178" s="179" t="s">
        <v>83</v>
      </c>
      <c r="U178" s="179" t="s">
        <v>83</v>
      </c>
      <c r="V178" s="179" t="s">
        <v>83</v>
      </c>
      <c r="W178" s="179" t="s">
        <v>83</v>
      </c>
      <c r="X178" s="179" t="s">
        <v>83</v>
      </c>
      <c r="Y178" s="179" t="s">
        <v>83</v>
      </c>
      <c r="Z178" s="179" t="s">
        <v>83</v>
      </c>
      <c r="AA178" s="179" t="s">
        <v>83</v>
      </c>
      <c r="AB178" s="179" t="s">
        <v>83</v>
      </c>
      <c r="AC178" s="179" t="s">
        <v>83</v>
      </c>
      <c r="AD178" s="179" t="s">
        <v>83</v>
      </c>
      <c r="AE178" s="179" t="s">
        <v>83</v>
      </c>
      <c r="AF178" s="179" t="s">
        <v>83</v>
      </c>
      <c r="AG178" s="179" t="s">
        <v>83</v>
      </c>
      <c r="AH178" s="179" t="s">
        <v>83</v>
      </c>
      <c r="AI178" s="179" t="s">
        <v>83</v>
      </c>
      <c r="AQ178" s="182"/>
      <c r="AR178" s="182"/>
      <c r="AS178" s="183"/>
      <c r="AT178" s="183"/>
      <c r="AU178" s="182"/>
      <c r="AV178" s="183"/>
      <c r="AW178" s="184"/>
      <c r="AX178" s="184"/>
      <c r="AY178" s="184"/>
      <c r="AZ178" s="227">
        <v>1</v>
      </c>
      <c r="BA178" s="227">
        <v>1</v>
      </c>
    </row>
    <row r="179" spans="1:53" s="179" customFormat="1" x14ac:dyDescent="0.3">
      <c r="A179" s="180"/>
      <c r="B179" s="180"/>
      <c r="D179" s="271"/>
      <c r="E179" s="272"/>
      <c r="F179" s="273"/>
      <c r="G179" s="180"/>
      <c r="H179" s="184"/>
      <c r="I179" s="183"/>
      <c r="J179" s="180"/>
      <c r="K179" s="180"/>
      <c r="L179" s="180"/>
      <c r="P179" s="179" t="s">
        <v>83</v>
      </c>
      <c r="Q179" s="179" t="s">
        <v>83</v>
      </c>
      <c r="R179" s="179" t="s">
        <v>83</v>
      </c>
      <c r="S179" s="179" t="s">
        <v>83</v>
      </c>
      <c r="T179" s="179" t="s">
        <v>83</v>
      </c>
      <c r="U179" s="179" t="s">
        <v>83</v>
      </c>
      <c r="V179" s="179" t="s">
        <v>83</v>
      </c>
      <c r="W179" s="179" t="s">
        <v>83</v>
      </c>
      <c r="X179" s="179" t="s">
        <v>83</v>
      </c>
      <c r="Y179" s="179" t="s">
        <v>83</v>
      </c>
      <c r="Z179" s="179" t="s">
        <v>83</v>
      </c>
      <c r="AA179" s="179" t="s">
        <v>83</v>
      </c>
      <c r="AB179" s="179" t="s">
        <v>83</v>
      </c>
      <c r="AC179" s="179" t="s">
        <v>83</v>
      </c>
      <c r="AD179" s="179" t="s">
        <v>83</v>
      </c>
      <c r="AE179" s="179" t="s">
        <v>83</v>
      </c>
      <c r="AF179" s="179" t="s">
        <v>83</v>
      </c>
      <c r="AG179" s="179" t="s">
        <v>83</v>
      </c>
      <c r="AH179" s="179" t="s">
        <v>83</v>
      </c>
      <c r="AI179" s="179" t="s">
        <v>83</v>
      </c>
      <c r="AQ179" s="182"/>
      <c r="AR179" s="182"/>
      <c r="AS179" s="183"/>
      <c r="AT179" s="183"/>
      <c r="AU179" s="182"/>
      <c r="AV179" s="183"/>
      <c r="AW179" s="184"/>
      <c r="AX179" s="184"/>
      <c r="AY179" s="184"/>
      <c r="AZ179" s="227">
        <v>1</v>
      </c>
      <c r="BA179" s="227">
        <v>1</v>
      </c>
    </row>
    <row r="180" spans="1:53" s="179" customFormat="1" x14ac:dyDescent="0.3">
      <c r="A180" s="180"/>
      <c r="B180" s="180"/>
      <c r="D180" s="271"/>
      <c r="E180" s="272"/>
      <c r="F180" s="273"/>
      <c r="G180" s="180"/>
      <c r="H180" s="184"/>
      <c r="I180" s="183"/>
      <c r="J180" s="180"/>
      <c r="K180" s="180"/>
      <c r="L180" s="180"/>
      <c r="P180" s="179" t="s">
        <v>83</v>
      </c>
      <c r="Q180" s="179" t="s">
        <v>83</v>
      </c>
      <c r="R180" s="179" t="s">
        <v>83</v>
      </c>
      <c r="S180" s="179" t="s">
        <v>83</v>
      </c>
      <c r="T180" s="179" t="s">
        <v>83</v>
      </c>
      <c r="U180" s="179" t="s">
        <v>83</v>
      </c>
      <c r="V180" s="179" t="s">
        <v>83</v>
      </c>
      <c r="W180" s="179" t="s">
        <v>83</v>
      </c>
      <c r="X180" s="179" t="s">
        <v>83</v>
      </c>
      <c r="Y180" s="179" t="s">
        <v>83</v>
      </c>
      <c r="Z180" s="179" t="s">
        <v>83</v>
      </c>
      <c r="AA180" s="179" t="s">
        <v>83</v>
      </c>
      <c r="AB180" s="179" t="s">
        <v>83</v>
      </c>
      <c r="AC180" s="179" t="s">
        <v>83</v>
      </c>
      <c r="AD180" s="179" t="s">
        <v>83</v>
      </c>
      <c r="AE180" s="179" t="s">
        <v>83</v>
      </c>
      <c r="AF180" s="179" t="s">
        <v>83</v>
      </c>
      <c r="AG180" s="179" t="s">
        <v>83</v>
      </c>
      <c r="AH180" s="179" t="s">
        <v>83</v>
      </c>
      <c r="AI180" s="179" t="s">
        <v>83</v>
      </c>
      <c r="AQ180" s="182"/>
      <c r="AR180" s="182"/>
      <c r="AS180" s="183"/>
      <c r="AT180" s="183"/>
      <c r="AU180" s="182"/>
      <c r="AV180" s="183"/>
      <c r="AW180" s="184"/>
      <c r="AX180" s="184"/>
      <c r="AY180" s="184"/>
      <c r="AZ180" s="227">
        <v>1</v>
      </c>
      <c r="BA180" s="227">
        <v>1</v>
      </c>
    </row>
    <row r="181" spans="1:53" ht="15" thickBot="1" x14ac:dyDescent="0.35"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Z181" s="227">
        <v>1</v>
      </c>
      <c r="BA181" s="227">
        <v>1</v>
      </c>
    </row>
    <row r="182" spans="1:53" s="179" customFormat="1" ht="15" thickBot="1" x14ac:dyDescent="0.35">
      <c r="A182" s="169" t="s">
        <v>18</v>
      </c>
      <c r="B182" s="312" t="s">
        <v>438</v>
      </c>
      <c r="C182" s="171" t="s">
        <v>196</v>
      </c>
      <c r="D182" s="172" t="s">
        <v>59</v>
      </c>
      <c r="E182" s="173">
        <v>9.9999999999999995E-7</v>
      </c>
      <c r="F182" s="170">
        <v>1</v>
      </c>
      <c r="G182" s="169">
        <v>0.1</v>
      </c>
      <c r="H182" s="174">
        <f t="shared" ref="H182:H187" si="195">E182*F182*G182</f>
        <v>9.9999999999999995E-8</v>
      </c>
      <c r="I182" s="175">
        <v>1.87</v>
      </c>
      <c r="J182" s="176">
        <f>I182</f>
        <v>1.87</v>
      </c>
      <c r="K182" s="177" t="s">
        <v>175</v>
      </c>
      <c r="L182" s="178">
        <v>50</v>
      </c>
      <c r="M182" s="179" t="str">
        <f t="shared" ref="M182:N187" si="196">A182</f>
        <v>С1</v>
      </c>
      <c r="N182" s="179" t="str">
        <f t="shared" si="196"/>
        <v xml:space="preserve">Емкость регенерированного гликоля Е-301/1 </v>
      </c>
      <c r="O182" s="179" t="str">
        <f t="shared" ref="O182:O187" si="197">D182</f>
        <v>Полное-пожар</v>
      </c>
      <c r="P182" s="179">
        <v>12.9</v>
      </c>
      <c r="Q182" s="179">
        <v>17</v>
      </c>
      <c r="R182" s="179">
        <v>23.1</v>
      </c>
      <c r="S182" s="179">
        <v>41.5</v>
      </c>
      <c r="T182" s="179" t="s">
        <v>83</v>
      </c>
      <c r="U182" s="179" t="s">
        <v>83</v>
      </c>
      <c r="V182" s="179" t="s">
        <v>83</v>
      </c>
      <c r="W182" s="179" t="s">
        <v>83</v>
      </c>
      <c r="X182" s="179" t="s">
        <v>83</v>
      </c>
      <c r="Y182" s="179" t="s">
        <v>83</v>
      </c>
      <c r="Z182" s="179" t="s">
        <v>83</v>
      </c>
      <c r="AA182" s="179" t="s">
        <v>83</v>
      </c>
      <c r="AB182" s="179" t="s">
        <v>83</v>
      </c>
      <c r="AC182" s="179" t="s">
        <v>83</v>
      </c>
      <c r="AD182" s="179" t="s">
        <v>83</v>
      </c>
      <c r="AE182" s="179" t="s">
        <v>83</v>
      </c>
      <c r="AF182" s="179" t="s">
        <v>83</v>
      </c>
      <c r="AG182" s="179" t="s">
        <v>83</v>
      </c>
      <c r="AH182" s="179" t="s">
        <v>83</v>
      </c>
      <c r="AI182" s="179" t="s">
        <v>83</v>
      </c>
      <c r="AJ182" s="180">
        <v>1</v>
      </c>
      <c r="AK182" s="180">
        <v>2</v>
      </c>
      <c r="AL182" s="181">
        <v>2.4</v>
      </c>
      <c r="AM182" s="181">
        <v>2.7E-2</v>
      </c>
      <c r="AN182" s="181">
        <v>3</v>
      </c>
      <c r="AQ182" s="182">
        <f>AM182*I182+AL182</f>
        <v>2.4504899999999998</v>
      </c>
      <c r="AR182" s="182">
        <f t="shared" ref="AR182:AR187" si="198">0.1*AQ182</f>
        <v>0.24504899999999999</v>
      </c>
      <c r="AS182" s="183">
        <f t="shared" ref="AS182:AS187" si="199">AJ182*3+0.25*AK182</f>
        <v>3.5</v>
      </c>
      <c r="AT182" s="183">
        <f t="shared" ref="AT182:AT187" si="200">SUM(AQ182:AS182)/4</f>
        <v>1.54888475</v>
      </c>
      <c r="AU182" s="182">
        <f>10068.2*J182*POWER(10,-6)</f>
        <v>1.8827534000000003E-2</v>
      </c>
      <c r="AV182" s="183">
        <f t="shared" ref="AV182:AV187" si="201">AU182+AT182+AS182+AR182+AQ182</f>
        <v>7.763251283999999</v>
      </c>
      <c r="AW182" s="184">
        <f t="shared" ref="AW182:AW187" si="202">AJ182*H182</f>
        <v>9.9999999999999995E-8</v>
      </c>
      <c r="AX182" s="184">
        <f t="shared" ref="AX182:AX187" si="203">H182*AK182</f>
        <v>1.9999999999999999E-7</v>
      </c>
      <c r="AY182" s="184">
        <f t="shared" ref="AY182:AY187" si="204">H182*AV182</f>
        <v>7.7632512839999985E-7</v>
      </c>
      <c r="AZ182" s="227">
        <v>1</v>
      </c>
      <c r="BA182" s="227">
        <v>1</v>
      </c>
    </row>
    <row r="183" spans="1:53" s="179" customFormat="1" ht="15" thickBot="1" x14ac:dyDescent="0.35">
      <c r="A183" s="169" t="s">
        <v>19</v>
      </c>
      <c r="B183" s="169" t="str">
        <f>B182</f>
        <v xml:space="preserve">Емкость регенерированного гликоля Е-301/1 </v>
      </c>
      <c r="C183" s="171" t="s">
        <v>197</v>
      </c>
      <c r="D183" s="172" t="s">
        <v>62</v>
      </c>
      <c r="E183" s="185">
        <f>E182</f>
        <v>9.9999999999999995E-7</v>
      </c>
      <c r="F183" s="186">
        <f>F182</f>
        <v>1</v>
      </c>
      <c r="G183" s="169">
        <v>0.18000000000000002</v>
      </c>
      <c r="H183" s="174">
        <f t="shared" si="195"/>
        <v>1.8000000000000002E-7</v>
      </c>
      <c r="I183" s="187">
        <f>I182</f>
        <v>1.87</v>
      </c>
      <c r="J183" s="188">
        <v>0.4</v>
      </c>
      <c r="K183" s="177" t="s">
        <v>176</v>
      </c>
      <c r="L183" s="178">
        <v>0</v>
      </c>
      <c r="M183" s="179" t="str">
        <f t="shared" si="196"/>
        <v>С2</v>
      </c>
      <c r="N183" s="179" t="str">
        <f t="shared" si="196"/>
        <v xml:space="preserve">Емкость регенерированного гликоля Е-301/1 </v>
      </c>
      <c r="O183" s="179" t="str">
        <f t="shared" si="197"/>
        <v>Полное-взрыв</v>
      </c>
      <c r="P183" s="179" t="s">
        <v>83</v>
      </c>
      <c r="Q183" s="179" t="s">
        <v>83</v>
      </c>
      <c r="R183" s="179" t="s">
        <v>83</v>
      </c>
      <c r="S183" s="179" t="s">
        <v>83</v>
      </c>
      <c r="T183" s="179">
        <v>0</v>
      </c>
      <c r="U183" s="179">
        <v>0</v>
      </c>
      <c r="V183" s="179">
        <v>56.1</v>
      </c>
      <c r="W183" s="179">
        <v>186.1</v>
      </c>
      <c r="X183" s="179">
        <v>484.6</v>
      </c>
      <c r="Y183" s="179" t="s">
        <v>83</v>
      </c>
      <c r="Z183" s="179" t="s">
        <v>83</v>
      </c>
      <c r="AA183" s="179" t="s">
        <v>83</v>
      </c>
      <c r="AB183" s="179" t="s">
        <v>83</v>
      </c>
      <c r="AC183" s="179" t="s">
        <v>83</v>
      </c>
      <c r="AD183" s="179" t="s">
        <v>83</v>
      </c>
      <c r="AE183" s="179" t="s">
        <v>83</v>
      </c>
      <c r="AF183" s="179" t="s">
        <v>83</v>
      </c>
      <c r="AG183" s="179" t="s">
        <v>83</v>
      </c>
      <c r="AH183" s="179" t="s">
        <v>83</v>
      </c>
      <c r="AI183" s="179" t="s">
        <v>83</v>
      </c>
      <c r="AJ183" s="180">
        <v>2</v>
      </c>
      <c r="AK183" s="180">
        <v>2</v>
      </c>
      <c r="AL183" s="179">
        <f>AL182</f>
        <v>2.4</v>
      </c>
      <c r="AM183" s="179">
        <f>AM182</f>
        <v>2.7E-2</v>
      </c>
      <c r="AN183" s="179">
        <f>AN182</f>
        <v>3</v>
      </c>
      <c r="AQ183" s="182">
        <f>AM183*I183+AL183</f>
        <v>2.4504899999999998</v>
      </c>
      <c r="AR183" s="182">
        <f t="shared" si="198"/>
        <v>0.24504899999999999</v>
      </c>
      <c r="AS183" s="183">
        <f t="shared" si="199"/>
        <v>6.5</v>
      </c>
      <c r="AT183" s="183">
        <f t="shared" si="200"/>
        <v>2.29888475</v>
      </c>
      <c r="AU183" s="182">
        <f>10068.2*J183*POWER(10,-6)*10</f>
        <v>4.0272800000000004E-2</v>
      </c>
      <c r="AV183" s="183">
        <f t="shared" si="201"/>
        <v>11.53469655</v>
      </c>
      <c r="AW183" s="184">
        <f t="shared" si="202"/>
        <v>3.6000000000000005E-7</v>
      </c>
      <c r="AX183" s="184">
        <f t="shared" si="203"/>
        <v>3.6000000000000005E-7</v>
      </c>
      <c r="AY183" s="184">
        <f t="shared" si="204"/>
        <v>2.0762453790000001E-6</v>
      </c>
      <c r="AZ183" s="227">
        <v>1</v>
      </c>
      <c r="BA183" s="227">
        <v>1</v>
      </c>
    </row>
    <row r="184" spans="1:53" s="179" customFormat="1" x14ac:dyDescent="0.3">
      <c r="A184" s="169" t="s">
        <v>20</v>
      </c>
      <c r="B184" s="169" t="str">
        <f>B182</f>
        <v xml:space="preserve">Емкость регенерированного гликоля Е-301/1 </v>
      </c>
      <c r="C184" s="171" t="s">
        <v>198</v>
      </c>
      <c r="D184" s="172" t="s">
        <v>60</v>
      </c>
      <c r="E184" s="185">
        <f>E182</f>
        <v>9.9999999999999995E-7</v>
      </c>
      <c r="F184" s="186">
        <f>F182</f>
        <v>1</v>
      </c>
      <c r="G184" s="169">
        <v>0.72000000000000008</v>
      </c>
      <c r="H184" s="174">
        <f t="shared" si="195"/>
        <v>7.2000000000000009E-7</v>
      </c>
      <c r="I184" s="187">
        <f>I182</f>
        <v>1.87</v>
      </c>
      <c r="J184" s="189">
        <v>0</v>
      </c>
      <c r="K184" s="177" t="s">
        <v>177</v>
      </c>
      <c r="L184" s="178">
        <v>0</v>
      </c>
      <c r="M184" s="179" t="str">
        <f t="shared" si="196"/>
        <v>С3</v>
      </c>
      <c r="N184" s="179" t="str">
        <f t="shared" si="196"/>
        <v xml:space="preserve">Емкость регенерированного гликоля Е-301/1 </v>
      </c>
      <c r="O184" s="179" t="str">
        <f t="shared" si="197"/>
        <v>Полное-ликвидация</v>
      </c>
      <c r="P184" s="179" t="s">
        <v>83</v>
      </c>
      <c r="Q184" s="179" t="s">
        <v>83</v>
      </c>
      <c r="R184" s="179" t="s">
        <v>83</v>
      </c>
      <c r="S184" s="179" t="s">
        <v>83</v>
      </c>
      <c r="T184" s="179" t="s">
        <v>83</v>
      </c>
      <c r="U184" s="179" t="s">
        <v>83</v>
      </c>
      <c r="V184" s="179" t="s">
        <v>83</v>
      </c>
      <c r="W184" s="179" t="s">
        <v>83</v>
      </c>
      <c r="X184" s="179" t="s">
        <v>83</v>
      </c>
      <c r="Y184" s="179" t="s">
        <v>83</v>
      </c>
      <c r="Z184" s="179" t="s">
        <v>83</v>
      </c>
      <c r="AA184" s="179" t="s">
        <v>83</v>
      </c>
      <c r="AB184" s="179" t="s">
        <v>83</v>
      </c>
      <c r="AC184" s="179" t="s">
        <v>83</v>
      </c>
      <c r="AD184" s="179" t="s">
        <v>83</v>
      </c>
      <c r="AE184" s="179" t="s">
        <v>83</v>
      </c>
      <c r="AF184" s="179" t="s">
        <v>83</v>
      </c>
      <c r="AG184" s="179" t="s">
        <v>83</v>
      </c>
      <c r="AH184" s="179" t="s">
        <v>83</v>
      </c>
      <c r="AI184" s="179" t="s">
        <v>83</v>
      </c>
      <c r="AJ184" s="179">
        <v>0</v>
      </c>
      <c r="AK184" s="179">
        <v>0</v>
      </c>
      <c r="AL184" s="179">
        <f>AL182</f>
        <v>2.4</v>
      </c>
      <c r="AM184" s="179">
        <f>AM182</f>
        <v>2.7E-2</v>
      </c>
      <c r="AN184" s="179">
        <f>AN182</f>
        <v>3</v>
      </c>
      <c r="AQ184" s="182">
        <f>AM184*I184*0.1+AL184</f>
        <v>2.405049</v>
      </c>
      <c r="AR184" s="182">
        <f t="shared" si="198"/>
        <v>0.24050490000000002</v>
      </c>
      <c r="AS184" s="183">
        <f t="shared" si="199"/>
        <v>0</v>
      </c>
      <c r="AT184" s="183">
        <f t="shared" si="200"/>
        <v>0.66138847499999998</v>
      </c>
      <c r="AU184" s="182">
        <f>1333*J183*POWER(10,-6)</f>
        <v>5.3320000000000006E-4</v>
      </c>
      <c r="AV184" s="183">
        <f t="shared" si="201"/>
        <v>3.3074755749999998</v>
      </c>
      <c r="AW184" s="184">
        <f t="shared" si="202"/>
        <v>0</v>
      </c>
      <c r="AX184" s="184">
        <f t="shared" si="203"/>
        <v>0</v>
      </c>
      <c r="AY184" s="184">
        <f t="shared" si="204"/>
        <v>2.3813824140000001E-6</v>
      </c>
      <c r="AZ184" s="227">
        <v>1</v>
      </c>
      <c r="BA184" s="227">
        <v>1</v>
      </c>
    </row>
    <row r="185" spans="1:53" s="179" customFormat="1" x14ac:dyDescent="0.3">
      <c r="A185" s="169" t="s">
        <v>21</v>
      </c>
      <c r="B185" s="169" t="str">
        <f>B182</f>
        <v xml:space="preserve">Емкость регенерированного гликоля Е-301/1 </v>
      </c>
      <c r="C185" s="171" t="s">
        <v>199</v>
      </c>
      <c r="D185" s="172" t="s">
        <v>84</v>
      </c>
      <c r="E185" s="173">
        <v>1.0000000000000001E-5</v>
      </c>
      <c r="F185" s="186">
        <f>F182</f>
        <v>1</v>
      </c>
      <c r="G185" s="169">
        <v>0.1</v>
      </c>
      <c r="H185" s="174">
        <f t="shared" si="195"/>
        <v>1.0000000000000002E-6</v>
      </c>
      <c r="I185" s="187">
        <f>0.15*I182</f>
        <v>0.28050000000000003</v>
      </c>
      <c r="J185" s="176">
        <f>I185</f>
        <v>0.28050000000000003</v>
      </c>
      <c r="K185" s="190" t="s">
        <v>179</v>
      </c>
      <c r="L185" s="191">
        <v>45390</v>
      </c>
      <c r="M185" s="179" t="str">
        <f t="shared" si="196"/>
        <v>С4</v>
      </c>
      <c r="N185" s="179" t="str">
        <f t="shared" si="196"/>
        <v xml:space="preserve">Емкость регенерированного гликоля Е-301/1 </v>
      </c>
      <c r="O185" s="179" t="str">
        <f t="shared" si="197"/>
        <v>Частичное-пожар</v>
      </c>
      <c r="P185" s="179">
        <v>8.8000000000000007</v>
      </c>
      <c r="Q185" s="179">
        <v>10.8</v>
      </c>
      <c r="R185" s="179">
        <v>13.6</v>
      </c>
      <c r="S185" s="179">
        <v>22</v>
      </c>
      <c r="T185" s="179" t="s">
        <v>83</v>
      </c>
      <c r="U185" s="179" t="s">
        <v>83</v>
      </c>
      <c r="V185" s="179" t="s">
        <v>83</v>
      </c>
      <c r="W185" s="179" t="s">
        <v>83</v>
      </c>
      <c r="X185" s="179" t="s">
        <v>83</v>
      </c>
      <c r="Y185" s="179" t="s">
        <v>83</v>
      </c>
      <c r="Z185" s="179" t="s">
        <v>83</v>
      </c>
      <c r="AA185" s="179" t="s">
        <v>83</v>
      </c>
      <c r="AB185" s="179" t="s">
        <v>83</v>
      </c>
      <c r="AC185" s="179" t="s">
        <v>83</v>
      </c>
      <c r="AD185" s="179" t="s">
        <v>83</v>
      </c>
      <c r="AE185" s="179" t="s">
        <v>83</v>
      </c>
      <c r="AF185" s="179" t="s">
        <v>83</v>
      </c>
      <c r="AG185" s="179" t="s">
        <v>83</v>
      </c>
      <c r="AH185" s="179" t="s">
        <v>83</v>
      </c>
      <c r="AI185" s="179" t="s">
        <v>83</v>
      </c>
      <c r="AJ185" s="179">
        <v>0</v>
      </c>
      <c r="AK185" s="179">
        <v>2</v>
      </c>
      <c r="AL185" s="179">
        <f>0.1*AL182</f>
        <v>0.24</v>
      </c>
      <c r="AM185" s="179">
        <f>AM182</f>
        <v>2.7E-2</v>
      </c>
      <c r="AN185" s="179">
        <f>ROUNDUP(AN182/3,0)</f>
        <v>1</v>
      </c>
      <c r="AQ185" s="182">
        <f>AM185*I185+AL185</f>
        <v>0.2475735</v>
      </c>
      <c r="AR185" s="182">
        <f t="shared" si="198"/>
        <v>2.4757350000000001E-2</v>
      </c>
      <c r="AS185" s="183">
        <f t="shared" si="199"/>
        <v>0.5</v>
      </c>
      <c r="AT185" s="183">
        <f t="shared" si="200"/>
        <v>0.1930827125</v>
      </c>
      <c r="AU185" s="182">
        <f>10068.2*J185*POWER(10,-6)</f>
        <v>2.8241301000000003E-3</v>
      </c>
      <c r="AV185" s="183">
        <f t="shared" si="201"/>
        <v>0.96823769260000003</v>
      </c>
      <c r="AW185" s="184">
        <f t="shared" si="202"/>
        <v>0</v>
      </c>
      <c r="AX185" s="184">
        <f t="shared" si="203"/>
        <v>2.0000000000000003E-6</v>
      </c>
      <c r="AY185" s="184">
        <f t="shared" si="204"/>
        <v>9.6823769260000027E-7</v>
      </c>
      <c r="AZ185" s="227">
        <v>1</v>
      </c>
      <c r="BA185" s="227">
        <v>1</v>
      </c>
    </row>
    <row r="186" spans="1:53" s="179" customFormat="1" x14ac:dyDescent="0.3">
      <c r="A186" s="169" t="s">
        <v>22</v>
      </c>
      <c r="B186" s="169" t="str">
        <f>B182</f>
        <v xml:space="preserve">Емкость регенерированного гликоля Е-301/1 </v>
      </c>
      <c r="C186" s="171" t="s">
        <v>200</v>
      </c>
      <c r="D186" s="172" t="s">
        <v>165</v>
      </c>
      <c r="E186" s="185">
        <f>E185</f>
        <v>1.0000000000000001E-5</v>
      </c>
      <c r="F186" s="186">
        <f>F182</f>
        <v>1</v>
      </c>
      <c r="G186" s="169">
        <v>4.5000000000000005E-2</v>
      </c>
      <c r="H186" s="174">
        <f t="shared" si="195"/>
        <v>4.5000000000000009E-7</v>
      </c>
      <c r="I186" s="187">
        <f>0.15*I182</f>
        <v>0.28050000000000003</v>
      </c>
      <c r="J186" s="176">
        <f>0.15*J183</f>
        <v>0.06</v>
      </c>
      <c r="K186" s="190" t="s">
        <v>180</v>
      </c>
      <c r="L186" s="191">
        <v>3</v>
      </c>
      <c r="M186" s="179" t="str">
        <f t="shared" si="196"/>
        <v>С5</v>
      </c>
      <c r="N186" s="179" t="str">
        <f t="shared" si="196"/>
        <v xml:space="preserve">Емкость регенерированного гликоля Е-301/1 </v>
      </c>
      <c r="O186" s="179" t="str">
        <f t="shared" si="197"/>
        <v>Частичное-пожар-вспышка</v>
      </c>
      <c r="P186" s="179" t="s">
        <v>83</v>
      </c>
      <c r="Q186" s="179" t="s">
        <v>83</v>
      </c>
      <c r="R186" s="179" t="s">
        <v>83</v>
      </c>
      <c r="S186" s="179" t="s">
        <v>83</v>
      </c>
      <c r="T186" s="179" t="s">
        <v>83</v>
      </c>
      <c r="U186" s="179" t="s">
        <v>83</v>
      </c>
      <c r="V186" s="179" t="s">
        <v>83</v>
      </c>
      <c r="W186" s="179" t="s">
        <v>83</v>
      </c>
      <c r="X186" s="179" t="s">
        <v>83</v>
      </c>
      <c r="Y186" s="179" t="s">
        <v>83</v>
      </c>
      <c r="Z186" s="179" t="s">
        <v>83</v>
      </c>
      <c r="AA186" s="179">
        <v>13.25</v>
      </c>
      <c r="AB186" s="179">
        <v>15.9</v>
      </c>
      <c r="AC186" s="179" t="s">
        <v>83</v>
      </c>
      <c r="AD186" s="179" t="s">
        <v>83</v>
      </c>
      <c r="AE186" s="179" t="s">
        <v>83</v>
      </c>
      <c r="AF186" s="179" t="s">
        <v>83</v>
      </c>
      <c r="AG186" s="179" t="s">
        <v>83</v>
      </c>
      <c r="AH186" s="179" t="s">
        <v>83</v>
      </c>
      <c r="AI186" s="179" t="s">
        <v>83</v>
      </c>
      <c r="AJ186" s="179">
        <v>0</v>
      </c>
      <c r="AK186" s="179">
        <v>1</v>
      </c>
      <c r="AL186" s="179">
        <f t="shared" ref="AL186:AL187" si="205">0.1*AL183</f>
        <v>0.24</v>
      </c>
      <c r="AM186" s="179">
        <f>AM182</f>
        <v>2.7E-2</v>
      </c>
      <c r="AN186" s="179">
        <f>ROUNDUP(AN182/3,0)</f>
        <v>1</v>
      </c>
      <c r="AQ186" s="182">
        <f>AM186*I186+AL186</f>
        <v>0.2475735</v>
      </c>
      <c r="AR186" s="182">
        <f t="shared" si="198"/>
        <v>2.4757350000000001E-2</v>
      </c>
      <c r="AS186" s="183">
        <f t="shared" si="199"/>
        <v>0.25</v>
      </c>
      <c r="AT186" s="183">
        <f t="shared" si="200"/>
        <v>0.1305827125</v>
      </c>
      <c r="AU186" s="182">
        <f>10068.2*J186*POWER(10,-6)*10</f>
        <v>6.04092E-3</v>
      </c>
      <c r="AV186" s="183">
        <f t="shared" si="201"/>
        <v>0.65895448249999999</v>
      </c>
      <c r="AW186" s="184">
        <f t="shared" si="202"/>
        <v>0</v>
      </c>
      <c r="AX186" s="184">
        <f t="shared" si="203"/>
        <v>4.5000000000000009E-7</v>
      </c>
      <c r="AY186" s="184">
        <f t="shared" si="204"/>
        <v>2.9652951712500006E-7</v>
      </c>
      <c r="AZ186" s="227">
        <v>1</v>
      </c>
      <c r="BA186" s="227">
        <v>1</v>
      </c>
    </row>
    <row r="187" spans="1:53" s="179" customFormat="1" ht="15" thickBot="1" x14ac:dyDescent="0.35">
      <c r="A187" s="169" t="s">
        <v>23</v>
      </c>
      <c r="B187" s="169" t="str">
        <f>B182</f>
        <v xml:space="preserve">Емкость регенерированного гликоля Е-301/1 </v>
      </c>
      <c r="C187" s="171" t="s">
        <v>201</v>
      </c>
      <c r="D187" s="172" t="s">
        <v>61</v>
      </c>
      <c r="E187" s="185">
        <f>E185</f>
        <v>1.0000000000000001E-5</v>
      </c>
      <c r="F187" s="186">
        <f>F182</f>
        <v>1</v>
      </c>
      <c r="G187" s="169">
        <v>0.85499999999999998</v>
      </c>
      <c r="H187" s="174">
        <f t="shared" si="195"/>
        <v>8.5500000000000011E-6</v>
      </c>
      <c r="I187" s="187">
        <f>0.15*I182</f>
        <v>0.28050000000000003</v>
      </c>
      <c r="J187" s="189">
        <v>0</v>
      </c>
      <c r="K187" s="192" t="s">
        <v>191</v>
      </c>
      <c r="L187" s="192">
        <v>9</v>
      </c>
      <c r="M187" s="179" t="str">
        <f t="shared" si="196"/>
        <v>С6</v>
      </c>
      <c r="N187" s="179" t="str">
        <f t="shared" si="196"/>
        <v xml:space="preserve">Емкость регенерированного гликоля Е-301/1 </v>
      </c>
      <c r="O187" s="179" t="str">
        <f t="shared" si="197"/>
        <v>Частичное-ликвидация</v>
      </c>
      <c r="P187" s="179" t="s">
        <v>83</v>
      </c>
      <c r="Q187" s="179" t="s">
        <v>83</v>
      </c>
      <c r="R187" s="179" t="s">
        <v>83</v>
      </c>
      <c r="S187" s="179" t="s">
        <v>83</v>
      </c>
      <c r="T187" s="179" t="s">
        <v>83</v>
      </c>
      <c r="U187" s="179" t="s">
        <v>83</v>
      </c>
      <c r="V187" s="179" t="s">
        <v>83</v>
      </c>
      <c r="W187" s="179" t="s">
        <v>83</v>
      </c>
      <c r="X187" s="179" t="s">
        <v>83</v>
      </c>
      <c r="Y187" s="179" t="s">
        <v>83</v>
      </c>
      <c r="Z187" s="179" t="s">
        <v>83</v>
      </c>
      <c r="AA187" s="179" t="s">
        <v>83</v>
      </c>
      <c r="AB187" s="179" t="s">
        <v>83</v>
      </c>
      <c r="AC187" s="179" t="s">
        <v>83</v>
      </c>
      <c r="AD187" s="179" t="s">
        <v>83</v>
      </c>
      <c r="AE187" s="179" t="s">
        <v>83</v>
      </c>
      <c r="AF187" s="179" t="s">
        <v>83</v>
      </c>
      <c r="AG187" s="179" t="s">
        <v>83</v>
      </c>
      <c r="AH187" s="179" t="s">
        <v>83</v>
      </c>
      <c r="AI187" s="179" t="s">
        <v>83</v>
      </c>
      <c r="AJ187" s="179">
        <v>0</v>
      </c>
      <c r="AK187" s="179">
        <v>0</v>
      </c>
      <c r="AL187" s="179">
        <f t="shared" si="205"/>
        <v>0.24</v>
      </c>
      <c r="AM187" s="179">
        <f>AM182</f>
        <v>2.7E-2</v>
      </c>
      <c r="AN187" s="179">
        <f>ROUNDUP(AN182/3,0)</f>
        <v>1</v>
      </c>
      <c r="AQ187" s="182">
        <f>AM187*I187*0.1+AL187</f>
        <v>0.24075734999999998</v>
      </c>
      <c r="AR187" s="182">
        <f t="shared" si="198"/>
        <v>2.4075735000000001E-2</v>
      </c>
      <c r="AS187" s="183">
        <f t="shared" si="199"/>
        <v>0</v>
      </c>
      <c r="AT187" s="183">
        <f t="shared" si="200"/>
        <v>6.6208271249999992E-2</v>
      </c>
      <c r="AU187" s="182">
        <f>1333*J186*POWER(10,-6)</f>
        <v>7.9980000000000003E-5</v>
      </c>
      <c r="AV187" s="183">
        <f t="shared" si="201"/>
        <v>0.33112133624999995</v>
      </c>
      <c r="AW187" s="184">
        <f t="shared" si="202"/>
        <v>0</v>
      </c>
      <c r="AX187" s="184">
        <f t="shared" si="203"/>
        <v>0</v>
      </c>
      <c r="AY187" s="184">
        <f t="shared" si="204"/>
        <v>2.8310874249374999E-6</v>
      </c>
      <c r="AZ187" s="227">
        <v>1</v>
      </c>
      <c r="BA187" s="227">
        <v>1</v>
      </c>
    </row>
    <row r="188" spans="1:53" s="179" customFormat="1" x14ac:dyDescent="0.3">
      <c r="A188" s="180"/>
      <c r="B188" s="180"/>
      <c r="D188" s="271"/>
      <c r="E188" s="272"/>
      <c r="F188" s="273"/>
      <c r="G188" s="180"/>
      <c r="H188" s="184"/>
      <c r="I188" s="183"/>
      <c r="J188" s="180"/>
      <c r="K188" s="180"/>
      <c r="L188" s="180"/>
      <c r="P188" s="179" t="s">
        <v>83</v>
      </c>
      <c r="Q188" s="179" t="s">
        <v>83</v>
      </c>
      <c r="R188" s="179" t="s">
        <v>83</v>
      </c>
      <c r="S188" s="179" t="s">
        <v>83</v>
      </c>
      <c r="T188" s="179" t="s">
        <v>83</v>
      </c>
      <c r="U188" s="179" t="s">
        <v>83</v>
      </c>
      <c r="V188" s="179" t="s">
        <v>83</v>
      </c>
      <c r="W188" s="179" t="s">
        <v>83</v>
      </c>
      <c r="X188" s="179" t="s">
        <v>83</v>
      </c>
      <c r="Y188" s="179" t="s">
        <v>83</v>
      </c>
      <c r="Z188" s="179" t="s">
        <v>83</v>
      </c>
      <c r="AA188" s="179" t="s">
        <v>83</v>
      </c>
      <c r="AB188" s="179" t="s">
        <v>83</v>
      </c>
      <c r="AC188" s="179" t="s">
        <v>83</v>
      </c>
      <c r="AD188" s="179" t="s">
        <v>83</v>
      </c>
      <c r="AE188" s="179" t="s">
        <v>83</v>
      </c>
      <c r="AF188" s="179" t="s">
        <v>83</v>
      </c>
      <c r="AG188" s="179" t="s">
        <v>83</v>
      </c>
      <c r="AH188" s="179" t="s">
        <v>83</v>
      </c>
      <c r="AI188" s="179" t="s">
        <v>83</v>
      </c>
      <c r="AQ188" s="182"/>
      <c r="AR188" s="182"/>
      <c r="AS188" s="183"/>
      <c r="AT188" s="183"/>
      <c r="AU188" s="182"/>
      <c r="AV188" s="183"/>
      <c r="AW188" s="184"/>
      <c r="AX188" s="184"/>
      <c r="AY188" s="184"/>
      <c r="AZ188" s="227">
        <v>1</v>
      </c>
      <c r="BA188" s="227">
        <v>1</v>
      </c>
    </row>
    <row r="189" spans="1:53" s="179" customFormat="1" x14ac:dyDescent="0.3">
      <c r="A189" s="180"/>
      <c r="B189" s="180"/>
      <c r="D189" s="271"/>
      <c r="E189" s="272"/>
      <c r="F189" s="273"/>
      <c r="G189" s="180"/>
      <c r="H189" s="184"/>
      <c r="I189" s="183"/>
      <c r="J189" s="180"/>
      <c r="K189" s="180"/>
      <c r="L189" s="180"/>
      <c r="P189" s="179" t="s">
        <v>83</v>
      </c>
      <c r="Q189" s="179" t="s">
        <v>83</v>
      </c>
      <c r="R189" s="179" t="s">
        <v>83</v>
      </c>
      <c r="S189" s="179" t="s">
        <v>83</v>
      </c>
      <c r="T189" s="179" t="s">
        <v>83</v>
      </c>
      <c r="U189" s="179" t="s">
        <v>83</v>
      </c>
      <c r="V189" s="179" t="s">
        <v>83</v>
      </c>
      <c r="W189" s="179" t="s">
        <v>83</v>
      </c>
      <c r="X189" s="179" t="s">
        <v>83</v>
      </c>
      <c r="Y189" s="179" t="s">
        <v>83</v>
      </c>
      <c r="Z189" s="179" t="s">
        <v>83</v>
      </c>
      <c r="AA189" s="179" t="s">
        <v>83</v>
      </c>
      <c r="AB189" s="179" t="s">
        <v>83</v>
      </c>
      <c r="AC189" s="179" t="s">
        <v>83</v>
      </c>
      <c r="AD189" s="179" t="s">
        <v>83</v>
      </c>
      <c r="AE189" s="179" t="s">
        <v>83</v>
      </c>
      <c r="AF189" s="179" t="s">
        <v>83</v>
      </c>
      <c r="AG189" s="179" t="s">
        <v>83</v>
      </c>
      <c r="AH189" s="179" t="s">
        <v>83</v>
      </c>
      <c r="AI189" s="179" t="s">
        <v>83</v>
      </c>
      <c r="AQ189" s="182"/>
      <c r="AR189" s="182"/>
      <c r="AS189" s="183"/>
      <c r="AT189" s="183"/>
      <c r="AU189" s="182"/>
      <c r="AV189" s="183"/>
      <c r="AW189" s="184"/>
      <c r="AX189" s="184"/>
      <c r="AY189" s="184"/>
      <c r="AZ189" s="227">
        <v>1</v>
      </c>
      <c r="BA189" s="227">
        <v>1</v>
      </c>
    </row>
    <row r="190" spans="1:53" s="179" customFormat="1" x14ac:dyDescent="0.3">
      <c r="A190" s="180"/>
      <c r="B190" s="180"/>
      <c r="D190" s="271"/>
      <c r="E190" s="272"/>
      <c r="F190" s="273"/>
      <c r="G190" s="180"/>
      <c r="H190" s="184"/>
      <c r="I190" s="183"/>
      <c r="J190" s="180"/>
      <c r="K190" s="180"/>
      <c r="L190" s="180"/>
      <c r="P190" s="179" t="s">
        <v>83</v>
      </c>
      <c r="Q190" s="179" t="s">
        <v>83</v>
      </c>
      <c r="R190" s="179" t="s">
        <v>83</v>
      </c>
      <c r="S190" s="179" t="s">
        <v>83</v>
      </c>
      <c r="T190" s="179" t="s">
        <v>83</v>
      </c>
      <c r="U190" s="179" t="s">
        <v>83</v>
      </c>
      <c r="V190" s="179" t="s">
        <v>83</v>
      </c>
      <c r="W190" s="179" t="s">
        <v>83</v>
      </c>
      <c r="X190" s="179" t="s">
        <v>83</v>
      </c>
      <c r="Y190" s="179" t="s">
        <v>83</v>
      </c>
      <c r="Z190" s="179" t="s">
        <v>83</v>
      </c>
      <c r="AA190" s="179" t="s">
        <v>83</v>
      </c>
      <c r="AB190" s="179" t="s">
        <v>83</v>
      </c>
      <c r="AC190" s="179" t="s">
        <v>83</v>
      </c>
      <c r="AD190" s="179" t="s">
        <v>83</v>
      </c>
      <c r="AE190" s="179" t="s">
        <v>83</v>
      </c>
      <c r="AF190" s="179" t="s">
        <v>83</v>
      </c>
      <c r="AG190" s="179" t="s">
        <v>83</v>
      </c>
      <c r="AH190" s="179" t="s">
        <v>83</v>
      </c>
      <c r="AI190" s="179" t="s">
        <v>83</v>
      </c>
      <c r="AQ190" s="182"/>
      <c r="AR190" s="182"/>
      <c r="AS190" s="183"/>
      <c r="AT190" s="183"/>
      <c r="AU190" s="182"/>
      <c r="AV190" s="183"/>
      <c r="AW190" s="184"/>
      <c r="AX190" s="184"/>
      <c r="AY190" s="184"/>
      <c r="AZ190" s="227">
        <v>1</v>
      </c>
      <c r="BA190" s="227">
        <v>1</v>
      </c>
    </row>
    <row r="191" spans="1:53" ht="15" thickBot="1" x14ac:dyDescent="0.35"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Z191" s="227">
        <v>1</v>
      </c>
      <c r="BA191" s="227">
        <v>1</v>
      </c>
    </row>
    <row r="192" spans="1:53" s="179" customFormat="1" ht="15" thickBot="1" x14ac:dyDescent="0.35">
      <c r="A192" s="169" t="s">
        <v>18</v>
      </c>
      <c r="B192" s="312" t="s">
        <v>439</v>
      </c>
      <c r="C192" s="171" t="s">
        <v>196</v>
      </c>
      <c r="D192" s="172" t="s">
        <v>59</v>
      </c>
      <c r="E192" s="173">
        <v>9.9999999999999995E-7</v>
      </c>
      <c r="F192" s="170">
        <v>1</v>
      </c>
      <c r="G192" s="169">
        <v>0.1</v>
      </c>
      <c r="H192" s="174">
        <f t="shared" ref="H192:H197" si="206">E192*F192*G192</f>
        <v>9.9999999999999995E-8</v>
      </c>
      <c r="I192" s="175">
        <v>3.74</v>
      </c>
      <c r="J192" s="176">
        <f>I192</f>
        <v>3.74</v>
      </c>
      <c r="K192" s="177" t="s">
        <v>175</v>
      </c>
      <c r="L192" s="178">
        <v>80</v>
      </c>
      <c r="M192" s="179" t="str">
        <f t="shared" ref="M192:N197" si="207">A192</f>
        <v>С1</v>
      </c>
      <c r="N192" s="179" t="str">
        <f t="shared" si="207"/>
        <v>Емкость для приема ТЭГ Е-303/1</v>
      </c>
      <c r="O192" s="179" t="str">
        <f t="shared" ref="O192:O197" si="208">D192</f>
        <v>Полное-пожар</v>
      </c>
      <c r="P192" s="179">
        <v>14.2</v>
      </c>
      <c r="Q192" s="179">
        <v>18.8</v>
      </c>
      <c r="R192" s="179">
        <v>25.8</v>
      </c>
      <c r="S192" s="179">
        <v>46.6</v>
      </c>
      <c r="T192" s="179" t="s">
        <v>83</v>
      </c>
      <c r="U192" s="179" t="s">
        <v>83</v>
      </c>
      <c r="V192" s="179" t="s">
        <v>83</v>
      </c>
      <c r="W192" s="179" t="s">
        <v>83</v>
      </c>
      <c r="X192" s="179" t="s">
        <v>83</v>
      </c>
      <c r="Y192" s="179" t="s">
        <v>83</v>
      </c>
      <c r="Z192" s="179" t="s">
        <v>83</v>
      </c>
      <c r="AA192" s="179" t="s">
        <v>83</v>
      </c>
      <c r="AB192" s="179" t="s">
        <v>83</v>
      </c>
      <c r="AC192" s="179" t="s">
        <v>83</v>
      </c>
      <c r="AD192" s="179" t="s">
        <v>83</v>
      </c>
      <c r="AE192" s="179" t="s">
        <v>83</v>
      </c>
      <c r="AF192" s="179" t="s">
        <v>83</v>
      </c>
      <c r="AG192" s="179" t="s">
        <v>83</v>
      </c>
      <c r="AH192" s="179" t="s">
        <v>83</v>
      </c>
      <c r="AI192" s="179" t="s">
        <v>83</v>
      </c>
      <c r="AJ192" s="180">
        <v>1</v>
      </c>
      <c r="AK192" s="180">
        <v>2</v>
      </c>
      <c r="AL192" s="181">
        <v>2.6</v>
      </c>
      <c r="AM192" s="181">
        <v>2.7E-2</v>
      </c>
      <c r="AN192" s="181">
        <v>3</v>
      </c>
      <c r="AQ192" s="182">
        <f>AM192*I192+AL192</f>
        <v>2.7009799999999999</v>
      </c>
      <c r="AR192" s="182">
        <f t="shared" ref="AR192:AR197" si="209">0.1*AQ192</f>
        <v>0.270098</v>
      </c>
      <c r="AS192" s="183">
        <f t="shared" ref="AS192:AS197" si="210">AJ192*3+0.25*AK192</f>
        <v>3.5</v>
      </c>
      <c r="AT192" s="183">
        <f t="shared" ref="AT192:AT197" si="211">SUM(AQ192:AS192)/4</f>
        <v>1.6177695000000001</v>
      </c>
      <c r="AU192" s="182">
        <f>10068.2*J192*POWER(10,-6)</f>
        <v>3.7655068000000007E-2</v>
      </c>
      <c r="AV192" s="183">
        <f t="shared" ref="AV192:AV197" si="212">AU192+AT192+AS192+AR192+AQ192</f>
        <v>8.1265025679999994</v>
      </c>
      <c r="AW192" s="184">
        <f t="shared" ref="AW192:AW197" si="213">AJ192*H192</f>
        <v>9.9999999999999995E-8</v>
      </c>
      <c r="AX192" s="184">
        <f t="shared" ref="AX192:AX197" si="214">H192*AK192</f>
        <v>1.9999999999999999E-7</v>
      </c>
      <c r="AY192" s="184">
        <f t="shared" ref="AY192:AY197" si="215">H192*AV192</f>
        <v>8.126502567999999E-7</v>
      </c>
      <c r="AZ192" s="227">
        <v>1</v>
      </c>
      <c r="BA192" s="227">
        <v>1</v>
      </c>
    </row>
    <row r="193" spans="1:53" s="179" customFormat="1" ht="15" thickBot="1" x14ac:dyDescent="0.35">
      <c r="A193" s="169" t="s">
        <v>19</v>
      </c>
      <c r="B193" s="169" t="str">
        <f>B192</f>
        <v>Емкость для приема ТЭГ Е-303/1</v>
      </c>
      <c r="C193" s="171" t="s">
        <v>197</v>
      </c>
      <c r="D193" s="172" t="s">
        <v>62</v>
      </c>
      <c r="E193" s="185">
        <f>E192</f>
        <v>9.9999999999999995E-7</v>
      </c>
      <c r="F193" s="186">
        <f>F192</f>
        <v>1</v>
      </c>
      <c r="G193" s="169">
        <v>0.18000000000000002</v>
      </c>
      <c r="H193" s="174">
        <f t="shared" si="206"/>
        <v>1.8000000000000002E-7</v>
      </c>
      <c r="I193" s="187">
        <f>I192</f>
        <v>3.74</v>
      </c>
      <c r="J193" s="188">
        <v>0.5</v>
      </c>
      <c r="K193" s="177" t="s">
        <v>176</v>
      </c>
      <c r="L193" s="178">
        <v>0</v>
      </c>
      <c r="M193" s="179" t="str">
        <f t="shared" si="207"/>
        <v>С2</v>
      </c>
      <c r="N193" s="179" t="str">
        <f t="shared" si="207"/>
        <v>Емкость для приема ТЭГ Е-303/1</v>
      </c>
      <c r="O193" s="179" t="str">
        <f t="shared" si="208"/>
        <v>Полное-взрыв</v>
      </c>
      <c r="P193" s="179" t="s">
        <v>83</v>
      </c>
      <c r="Q193" s="179" t="s">
        <v>83</v>
      </c>
      <c r="R193" s="179" t="s">
        <v>83</v>
      </c>
      <c r="S193" s="179" t="s">
        <v>83</v>
      </c>
      <c r="T193" s="179">
        <v>0</v>
      </c>
      <c r="U193" s="179">
        <v>0</v>
      </c>
      <c r="V193" s="179">
        <v>60.1</v>
      </c>
      <c r="W193" s="179">
        <v>200.6</v>
      </c>
      <c r="X193" s="179">
        <v>522.1</v>
      </c>
      <c r="Y193" s="179" t="s">
        <v>83</v>
      </c>
      <c r="Z193" s="179" t="s">
        <v>83</v>
      </c>
      <c r="AA193" s="179" t="s">
        <v>83</v>
      </c>
      <c r="AB193" s="179" t="s">
        <v>83</v>
      </c>
      <c r="AC193" s="179" t="s">
        <v>83</v>
      </c>
      <c r="AD193" s="179" t="s">
        <v>83</v>
      </c>
      <c r="AE193" s="179" t="s">
        <v>83</v>
      </c>
      <c r="AF193" s="179" t="s">
        <v>83</v>
      </c>
      <c r="AG193" s="179" t="s">
        <v>83</v>
      </c>
      <c r="AH193" s="179" t="s">
        <v>83</v>
      </c>
      <c r="AI193" s="179" t="s">
        <v>83</v>
      </c>
      <c r="AJ193" s="180">
        <v>2</v>
      </c>
      <c r="AK193" s="180">
        <v>2</v>
      </c>
      <c r="AL193" s="179">
        <f>AL192</f>
        <v>2.6</v>
      </c>
      <c r="AM193" s="179">
        <f>AM192</f>
        <v>2.7E-2</v>
      </c>
      <c r="AN193" s="179">
        <f>AN192</f>
        <v>3</v>
      </c>
      <c r="AQ193" s="182">
        <f>AM193*I193+AL193</f>
        <v>2.7009799999999999</v>
      </c>
      <c r="AR193" s="182">
        <f t="shared" si="209"/>
        <v>0.270098</v>
      </c>
      <c r="AS193" s="183">
        <f t="shared" si="210"/>
        <v>6.5</v>
      </c>
      <c r="AT193" s="183">
        <f t="shared" si="211"/>
        <v>2.3677695000000001</v>
      </c>
      <c r="AU193" s="182">
        <f>10068.2*J193*POWER(10,-6)*10</f>
        <v>5.0341000000000004E-2</v>
      </c>
      <c r="AV193" s="183">
        <f t="shared" si="212"/>
        <v>11.889188500000001</v>
      </c>
      <c r="AW193" s="184">
        <f t="shared" si="213"/>
        <v>3.6000000000000005E-7</v>
      </c>
      <c r="AX193" s="184">
        <f t="shared" si="214"/>
        <v>3.6000000000000005E-7</v>
      </c>
      <c r="AY193" s="184">
        <f t="shared" si="215"/>
        <v>2.1400539300000004E-6</v>
      </c>
      <c r="AZ193" s="227">
        <v>1</v>
      </c>
      <c r="BA193" s="227">
        <v>1</v>
      </c>
    </row>
    <row r="194" spans="1:53" s="179" customFormat="1" x14ac:dyDescent="0.3">
      <c r="A194" s="169" t="s">
        <v>20</v>
      </c>
      <c r="B194" s="169" t="str">
        <f>B192</f>
        <v>Емкость для приема ТЭГ Е-303/1</v>
      </c>
      <c r="C194" s="171" t="s">
        <v>198</v>
      </c>
      <c r="D194" s="172" t="s">
        <v>60</v>
      </c>
      <c r="E194" s="185">
        <f>E192</f>
        <v>9.9999999999999995E-7</v>
      </c>
      <c r="F194" s="186">
        <f>F192</f>
        <v>1</v>
      </c>
      <c r="G194" s="169">
        <v>0.72000000000000008</v>
      </c>
      <c r="H194" s="174">
        <f t="shared" si="206"/>
        <v>7.2000000000000009E-7</v>
      </c>
      <c r="I194" s="187">
        <f>I192</f>
        <v>3.74</v>
      </c>
      <c r="J194" s="189">
        <v>0</v>
      </c>
      <c r="K194" s="177" t="s">
        <v>177</v>
      </c>
      <c r="L194" s="178">
        <v>0</v>
      </c>
      <c r="M194" s="179" t="str">
        <f t="shared" si="207"/>
        <v>С3</v>
      </c>
      <c r="N194" s="179" t="str">
        <f t="shared" si="207"/>
        <v>Емкость для приема ТЭГ Е-303/1</v>
      </c>
      <c r="O194" s="179" t="str">
        <f t="shared" si="208"/>
        <v>Полное-ликвидация</v>
      </c>
      <c r="P194" s="179" t="s">
        <v>83</v>
      </c>
      <c r="Q194" s="179" t="s">
        <v>83</v>
      </c>
      <c r="R194" s="179" t="s">
        <v>83</v>
      </c>
      <c r="S194" s="179" t="s">
        <v>83</v>
      </c>
      <c r="T194" s="179" t="s">
        <v>83</v>
      </c>
      <c r="U194" s="179" t="s">
        <v>83</v>
      </c>
      <c r="V194" s="179" t="s">
        <v>83</v>
      </c>
      <c r="W194" s="179" t="s">
        <v>83</v>
      </c>
      <c r="X194" s="179" t="s">
        <v>83</v>
      </c>
      <c r="Y194" s="179" t="s">
        <v>83</v>
      </c>
      <c r="Z194" s="179" t="s">
        <v>83</v>
      </c>
      <c r="AA194" s="179" t="s">
        <v>83</v>
      </c>
      <c r="AB194" s="179" t="s">
        <v>83</v>
      </c>
      <c r="AC194" s="179" t="s">
        <v>83</v>
      </c>
      <c r="AD194" s="179" t="s">
        <v>83</v>
      </c>
      <c r="AE194" s="179" t="s">
        <v>83</v>
      </c>
      <c r="AF194" s="179" t="s">
        <v>83</v>
      </c>
      <c r="AG194" s="179" t="s">
        <v>83</v>
      </c>
      <c r="AH194" s="179" t="s">
        <v>83</v>
      </c>
      <c r="AI194" s="179" t="s">
        <v>83</v>
      </c>
      <c r="AJ194" s="179">
        <v>0</v>
      </c>
      <c r="AK194" s="179">
        <v>0</v>
      </c>
      <c r="AL194" s="179">
        <f>AL192</f>
        <v>2.6</v>
      </c>
      <c r="AM194" s="179">
        <f>AM192</f>
        <v>2.7E-2</v>
      </c>
      <c r="AN194" s="179">
        <f>AN192</f>
        <v>3</v>
      </c>
      <c r="AQ194" s="182">
        <f>AM194*I194*0.1+AL194</f>
        <v>2.6100980000000003</v>
      </c>
      <c r="AR194" s="182">
        <f t="shared" si="209"/>
        <v>0.26100980000000001</v>
      </c>
      <c r="AS194" s="183">
        <f t="shared" si="210"/>
        <v>0</v>
      </c>
      <c r="AT194" s="183">
        <f t="shared" si="211"/>
        <v>0.71777695000000008</v>
      </c>
      <c r="AU194" s="182">
        <f>1333*J193*POWER(10,-6)</f>
        <v>6.6649999999999999E-4</v>
      </c>
      <c r="AV194" s="183">
        <f t="shared" si="212"/>
        <v>3.5895512500000004</v>
      </c>
      <c r="AW194" s="184">
        <f t="shared" si="213"/>
        <v>0</v>
      </c>
      <c r="AX194" s="184">
        <f t="shared" si="214"/>
        <v>0</v>
      </c>
      <c r="AY194" s="184">
        <f t="shared" si="215"/>
        <v>2.5844769000000005E-6</v>
      </c>
      <c r="AZ194" s="227">
        <v>1</v>
      </c>
      <c r="BA194" s="227">
        <v>1</v>
      </c>
    </row>
    <row r="195" spans="1:53" s="179" customFormat="1" x14ac:dyDescent="0.3">
      <c r="A195" s="169" t="s">
        <v>21</v>
      </c>
      <c r="B195" s="169" t="str">
        <f>B192</f>
        <v>Емкость для приема ТЭГ Е-303/1</v>
      </c>
      <c r="C195" s="171" t="s">
        <v>199</v>
      </c>
      <c r="D195" s="172" t="s">
        <v>84</v>
      </c>
      <c r="E195" s="173">
        <v>1.0000000000000001E-5</v>
      </c>
      <c r="F195" s="186">
        <f>F192</f>
        <v>1</v>
      </c>
      <c r="G195" s="169">
        <v>0.1</v>
      </c>
      <c r="H195" s="174">
        <f t="shared" si="206"/>
        <v>1.0000000000000002E-6</v>
      </c>
      <c r="I195" s="187">
        <f>0.15*I192</f>
        <v>0.56100000000000005</v>
      </c>
      <c r="J195" s="176">
        <f>I195</f>
        <v>0.56100000000000005</v>
      </c>
      <c r="K195" s="190" t="s">
        <v>179</v>
      </c>
      <c r="L195" s="191">
        <v>45390</v>
      </c>
      <c r="M195" s="179" t="str">
        <f t="shared" si="207"/>
        <v>С4</v>
      </c>
      <c r="N195" s="179" t="str">
        <f t="shared" si="207"/>
        <v>Емкость для приема ТЭГ Е-303/1</v>
      </c>
      <c r="O195" s="179" t="str">
        <f t="shared" si="208"/>
        <v>Частичное-пожар</v>
      </c>
      <c r="P195" s="179">
        <v>10</v>
      </c>
      <c r="Q195" s="179">
        <v>12.3</v>
      </c>
      <c r="R195" s="179">
        <v>15.7</v>
      </c>
      <c r="S195" s="179">
        <v>25.8</v>
      </c>
      <c r="T195" s="179" t="s">
        <v>83</v>
      </c>
      <c r="U195" s="179" t="s">
        <v>83</v>
      </c>
      <c r="V195" s="179" t="s">
        <v>83</v>
      </c>
      <c r="W195" s="179" t="s">
        <v>83</v>
      </c>
      <c r="X195" s="179" t="s">
        <v>83</v>
      </c>
      <c r="Y195" s="179" t="s">
        <v>83</v>
      </c>
      <c r="Z195" s="179" t="s">
        <v>83</v>
      </c>
      <c r="AA195" s="179" t="s">
        <v>83</v>
      </c>
      <c r="AB195" s="179" t="s">
        <v>83</v>
      </c>
      <c r="AC195" s="179" t="s">
        <v>83</v>
      </c>
      <c r="AD195" s="179" t="s">
        <v>83</v>
      </c>
      <c r="AE195" s="179" t="s">
        <v>83</v>
      </c>
      <c r="AF195" s="179" t="s">
        <v>83</v>
      </c>
      <c r="AG195" s="179" t="s">
        <v>83</v>
      </c>
      <c r="AH195" s="179" t="s">
        <v>83</v>
      </c>
      <c r="AI195" s="179" t="s">
        <v>83</v>
      </c>
      <c r="AJ195" s="179">
        <v>0</v>
      </c>
      <c r="AK195" s="179">
        <v>2</v>
      </c>
      <c r="AL195" s="179">
        <f>0.1*AL192</f>
        <v>0.26</v>
      </c>
      <c r="AM195" s="179">
        <f>AM192</f>
        <v>2.7E-2</v>
      </c>
      <c r="AN195" s="179">
        <f>ROUNDUP(AN192/3,0)</f>
        <v>1</v>
      </c>
      <c r="AQ195" s="182">
        <f>AM195*I195+AL195</f>
        <v>0.27514700000000003</v>
      </c>
      <c r="AR195" s="182">
        <f t="shared" si="209"/>
        <v>2.7514700000000003E-2</v>
      </c>
      <c r="AS195" s="183">
        <f t="shared" si="210"/>
        <v>0.5</v>
      </c>
      <c r="AT195" s="183">
        <f t="shared" si="211"/>
        <v>0.20066542500000001</v>
      </c>
      <c r="AU195" s="182">
        <f>10068.2*J195*POWER(10,-6)</f>
        <v>5.6482602000000005E-3</v>
      </c>
      <c r="AV195" s="183">
        <f t="shared" si="212"/>
        <v>1.0089753852000001</v>
      </c>
      <c r="AW195" s="184">
        <f t="shared" si="213"/>
        <v>0</v>
      </c>
      <c r="AX195" s="184">
        <f t="shared" si="214"/>
        <v>2.0000000000000003E-6</v>
      </c>
      <c r="AY195" s="184">
        <f t="shared" si="215"/>
        <v>1.0089753852000003E-6</v>
      </c>
      <c r="AZ195" s="227">
        <v>1</v>
      </c>
      <c r="BA195" s="227">
        <v>1</v>
      </c>
    </row>
    <row r="196" spans="1:53" s="179" customFormat="1" x14ac:dyDescent="0.3">
      <c r="A196" s="169" t="s">
        <v>22</v>
      </c>
      <c r="B196" s="169" t="str">
        <f>B192</f>
        <v>Емкость для приема ТЭГ Е-303/1</v>
      </c>
      <c r="C196" s="171" t="s">
        <v>200</v>
      </c>
      <c r="D196" s="172" t="s">
        <v>165</v>
      </c>
      <c r="E196" s="185">
        <f>E195</f>
        <v>1.0000000000000001E-5</v>
      </c>
      <c r="F196" s="186">
        <f>F192</f>
        <v>1</v>
      </c>
      <c r="G196" s="169">
        <v>4.5000000000000005E-2</v>
      </c>
      <c r="H196" s="174">
        <f t="shared" si="206"/>
        <v>4.5000000000000009E-7</v>
      </c>
      <c r="I196" s="187">
        <f>0.15*I192</f>
        <v>0.56100000000000005</v>
      </c>
      <c r="J196" s="176">
        <f>0.15*J193</f>
        <v>7.4999999999999997E-2</v>
      </c>
      <c r="K196" s="190" t="s">
        <v>180</v>
      </c>
      <c r="L196" s="191">
        <v>3</v>
      </c>
      <c r="M196" s="179" t="str">
        <f t="shared" si="207"/>
        <v>С5</v>
      </c>
      <c r="N196" s="179" t="str">
        <f t="shared" si="207"/>
        <v>Емкость для приема ТЭГ Е-303/1</v>
      </c>
      <c r="O196" s="179" t="str">
        <f t="shared" si="208"/>
        <v>Частичное-пожар-вспышка</v>
      </c>
      <c r="P196" s="179" t="s">
        <v>83</v>
      </c>
      <c r="Q196" s="179" t="s">
        <v>83</v>
      </c>
      <c r="R196" s="179" t="s">
        <v>83</v>
      </c>
      <c r="S196" s="179" t="s">
        <v>83</v>
      </c>
      <c r="T196" s="179" t="s">
        <v>83</v>
      </c>
      <c r="U196" s="179" t="s">
        <v>83</v>
      </c>
      <c r="V196" s="179" t="s">
        <v>83</v>
      </c>
      <c r="W196" s="179" t="s">
        <v>83</v>
      </c>
      <c r="X196" s="179" t="s">
        <v>83</v>
      </c>
      <c r="Y196" s="179" t="s">
        <v>83</v>
      </c>
      <c r="Z196" s="179" t="s">
        <v>83</v>
      </c>
      <c r="AA196" s="179">
        <v>14.26</v>
      </c>
      <c r="AB196" s="179">
        <v>17.11</v>
      </c>
      <c r="AC196" s="179" t="s">
        <v>83</v>
      </c>
      <c r="AD196" s="179" t="s">
        <v>83</v>
      </c>
      <c r="AE196" s="179" t="s">
        <v>83</v>
      </c>
      <c r="AF196" s="179" t="s">
        <v>83</v>
      </c>
      <c r="AG196" s="179" t="s">
        <v>83</v>
      </c>
      <c r="AH196" s="179" t="s">
        <v>83</v>
      </c>
      <c r="AI196" s="179" t="s">
        <v>83</v>
      </c>
      <c r="AJ196" s="179">
        <v>0</v>
      </c>
      <c r="AK196" s="179">
        <v>1</v>
      </c>
      <c r="AL196" s="179">
        <f t="shared" ref="AL196:AL197" si="216">0.1*AL193</f>
        <v>0.26</v>
      </c>
      <c r="AM196" s="179">
        <f>AM192</f>
        <v>2.7E-2</v>
      </c>
      <c r="AN196" s="179">
        <f>ROUNDUP(AN192/3,0)</f>
        <v>1</v>
      </c>
      <c r="AQ196" s="182">
        <f>AM196*I196+AL196</f>
        <v>0.27514700000000003</v>
      </c>
      <c r="AR196" s="182">
        <f t="shared" si="209"/>
        <v>2.7514700000000003E-2</v>
      </c>
      <c r="AS196" s="183">
        <f t="shared" si="210"/>
        <v>0.25</v>
      </c>
      <c r="AT196" s="183">
        <f t="shared" si="211"/>
        <v>0.13816542500000001</v>
      </c>
      <c r="AU196" s="182">
        <f>10068.2*J196*POWER(10,-6)*10</f>
        <v>7.5511499999999995E-3</v>
      </c>
      <c r="AV196" s="183">
        <f t="shared" si="212"/>
        <v>0.69837827500000005</v>
      </c>
      <c r="AW196" s="184">
        <f t="shared" si="213"/>
        <v>0</v>
      </c>
      <c r="AX196" s="184">
        <f t="shared" si="214"/>
        <v>4.5000000000000009E-7</v>
      </c>
      <c r="AY196" s="184">
        <f t="shared" si="215"/>
        <v>3.1427022375000006E-7</v>
      </c>
      <c r="AZ196" s="227">
        <v>1</v>
      </c>
      <c r="BA196" s="227">
        <v>1</v>
      </c>
    </row>
    <row r="197" spans="1:53" s="179" customFormat="1" ht="15" thickBot="1" x14ac:dyDescent="0.35">
      <c r="A197" s="169" t="s">
        <v>23</v>
      </c>
      <c r="B197" s="169" t="str">
        <f>B192</f>
        <v>Емкость для приема ТЭГ Е-303/1</v>
      </c>
      <c r="C197" s="171" t="s">
        <v>201</v>
      </c>
      <c r="D197" s="172" t="s">
        <v>61</v>
      </c>
      <c r="E197" s="185">
        <f>E195</f>
        <v>1.0000000000000001E-5</v>
      </c>
      <c r="F197" s="186">
        <f>F192</f>
        <v>1</v>
      </c>
      <c r="G197" s="169">
        <v>0.85499999999999998</v>
      </c>
      <c r="H197" s="174">
        <f t="shared" si="206"/>
        <v>8.5500000000000011E-6</v>
      </c>
      <c r="I197" s="187">
        <f>0.15*I192</f>
        <v>0.56100000000000005</v>
      </c>
      <c r="J197" s="189">
        <v>0</v>
      </c>
      <c r="K197" s="192" t="s">
        <v>191</v>
      </c>
      <c r="L197" s="192">
        <v>9</v>
      </c>
      <c r="M197" s="179" t="str">
        <f t="shared" si="207"/>
        <v>С6</v>
      </c>
      <c r="N197" s="179" t="str">
        <f t="shared" si="207"/>
        <v>Емкость для приема ТЭГ Е-303/1</v>
      </c>
      <c r="O197" s="179" t="str">
        <f t="shared" si="208"/>
        <v>Частичное-ликвидация</v>
      </c>
      <c r="P197" s="179" t="s">
        <v>83</v>
      </c>
      <c r="Q197" s="179" t="s">
        <v>83</v>
      </c>
      <c r="R197" s="179" t="s">
        <v>83</v>
      </c>
      <c r="S197" s="179" t="s">
        <v>83</v>
      </c>
      <c r="T197" s="179" t="s">
        <v>83</v>
      </c>
      <c r="U197" s="179" t="s">
        <v>83</v>
      </c>
      <c r="V197" s="179" t="s">
        <v>83</v>
      </c>
      <c r="W197" s="179" t="s">
        <v>83</v>
      </c>
      <c r="X197" s="179" t="s">
        <v>83</v>
      </c>
      <c r="Y197" s="179" t="s">
        <v>83</v>
      </c>
      <c r="Z197" s="179" t="s">
        <v>83</v>
      </c>
      <c r="AA197" s="179" t="s">
        <v>83</v>
      </c>
      <c r="AB197" s="179" t="s">
        <v>83</v>
      </c>
      <c r="AC197" s="179" t="s">
        <v>83</v>
      </c>
      <c r="AD197" s="179" t="s">
        <v>83</v>
      </c>
      <c r="AE197" s="179" t="s">
        <v>83</v>
      </c>
      <c r="AF197" s="179" t="s">
        <v>83</v>
      </c>
      <c r="AG197" s="179" t="s">
        <v>83</v>
      </c>
      <c r="AH197" s="179" t="s">
        <v>83</v>
      </c>
      <c r="AI197" s="179" t="s">
        <v>83</v>
      </c>
      <c r="AJ197" s="179">
        <v>0</v>
      </c>
      <c r="AK197" s="179">
        <v>0</v>
      </c>
      <c r="AL197" s="179">
        <f t="shared" si="216"/>
        <v>0.26</v>
      </c>
      <c r="AM197" s="179">
        <f>AM192</f>
        <v>2.7E-2</v>
      </c>
      <c r="AN197" s="179">
        <f>ROUNDUP(AN192/3,0)</f>
        <v>1</v>
      </c>
      <c r="AQ197" s="182">
        <f>AM197*I197*0.1+AL197</f>
        <v>0.26151469999999999</v>
      </c>
      <c r="AR197" s="182">
        <f t="shared" si="209"/>
        <v>2.615147E-2</v>
      </c>
      <c r="AS197" s="183">
        <f t="shared" si="210"/>
        <v>0</v>
      </c>
      <c r="AT197" s="183">
        <f t="shared" si="211"/>
        <v>7.19165425E-2</v>
      </c>
      <c r="AU197" s="182">
        <f>1333*J196*POWER(10,-6)</f>
        <v>9.9974999999999991E-5</v>
      </c>
      <c r="AV197" s="183">
        <f t="shared" si="212"/>
        <v>0.35968268749999999</v>
      </c>
      <c r="AW197" s="184">
        <f t="shared" si="213"/>
        <v>0</v>
      </c>
      <c r="AX197" s="184">
        <f t="shared" si="214"/>
        <v>0</v>
      </c>
      <c r="AY197" s="184">
        <f t="shared" si="215"/>
        <v>3.0752869781250005E-6</v>
      </c>
      <c r="AZ197" s="227">
        <v>1</v>
      </c>
      <c r="BA197" s="227">
        <v>1</v>
      </c>
    </row>
    <row r="198" spans="1:53" s="179" customFormat="1" x14ac:dyDescent="0.3">
      <c r="A198" s="180"/>
      <c r="B198" s="180"/>
      <c r="D198" s="271"/>
      <c r="E198" s="272"/>
      <c r="F198" s="273"/>
      <c r="G198" s="180"/>
      <c r="H198" s="184"/>
      <c r="I198" s="183"/>
      <c r="J198" s="180"/>
      <c r="K198" s="180"/>
      <c r="L198" s="180"/>
      <c r="P198" s="179" t="s">
        <v>83</v>
      </c>
      <c r="Q198" s="179" t="s">
        <v>83</v>
      </c>
      <c r="R198" s="179" t="s">
        <v>83</v>
      </c>
      <c r="S198" s="179" t="s">
        <v>83</v>
      </c>
      <c r="T198" s="179" t="s">
        <v>83</v>
      </c>
      <c r="U198" s="179" t="s">
        <v>83</v>
      </c>
      <c r="V198" s="179" t="s">
        <v>83</v>
      </c>
      <c r="W198" s="179" t="s">
        <v>83</v>
      </c>
      <c r="X198" s="179" t="s">
        <v>83</v>
      </c>
      <c r="Y198" s="179" t="s">
        <v>83</v>
      </c>
      <c r="Z198" s="179" t="s">
        <v>83</v>
      </c>
      <c r="AA198" s="179" t="s">
        <v>83</v>
      </c>
      <c r="AB198" s="179" t="s">
        <v>83</v>
      </c>
      <c r="AC198" s="179" t="s">
        <v>83</v>
      </c>
      <c r="AD198" s="179" t="s">
        <v>83</v>
      </c>
      <c r="AE198" s="179" t="s">
        <v>83</v>
      </c>
      <c r="AF198" s="179" t="s">
        <v>83</v>
      </c>
      <c r="AG198" s="179" t="s">
        <v>83</v>
      </c>
      <c r="AH198" s="179" t="s">
        <v>83</v>
      </c>
      <c r="AI198" s="179" t="s">
        <v>83</v>
      </c>
      <c r="AQ198" s="182"/>
      <c r="AR198" s="182"/>
      <c r="AS198" s="183"/>
      <c r="AT198" s="183"/>
      <c r="AU198" s="182"/>
      <c r="AV198" s="183"/>
      <c r="AW198" s="184"/>
      <c r="AX198" s="184"/>
      <c r="AY198" s="184"/>
      <c r="AZ198" s="227">
        <v>1</v>
      </c>
      <c r="BA198" s="227">
        <v>1</v>
      </c>
    </row>
    <row r="199" spans="1:53" s="179" customFormat="1" x14ac:dyDescent="0.3">
      <c r="A199" s="180"/>
      <c r="B199" s="180"/>
      <c r="D199" s="271"/>
      <c r="E199" s="272"/>
      <c r="F199" s="273"/>
      <c r="G199" s="180"/>
      <c r="H199" s="184"/>
      <c r="I199" s="183"/>
      <c r="J199" s="180"/>
      <c r="K199" s="180"/>
      <c r="L199" s="180"/>
      <c r="P199" s="179" t="s">
        <v>83</v>
      </c>
      <c r="Q199" s="179" t="s">
        <v>83</v>
      </c>
      <c r="R199" s="179" t="s">
        <v>83</v>
      </c>
      <c r="S199" s="179" t="s">
        <v>83</v>
      </c>
      <c r="T199" s="179" t="s">
        <v>83</v>
      </c>
      <c r="U199" s="179" t="s">
        <v>83</v>
      </c>
      <c r="V199" s="179" t="s">
        <v>83</v>
      </c>
      <c r="W199" s="179" t="s">
        <v>83</v>
      </c>
      <c r="X199" s="179" t="s">
        <v>83</v>
      </c>
      <c r="Y199" s="179" t="s">
        <v>83</v>
      </c>
      <c r="Z199" s="179" t="s">
        <v>83</v>
      </c>
      <c r="AA199" s="179" t="s">
        <v>83</v>
      </c>
      <c r="AB199" s="179" t="s">
        <v>83</v>
      </c>
      <c r="AC199" s="179" t="s">
        <v>83</v>
      </c>
      <c r="AD199" s="179" t="s">
        <v>83</v>
      </c>
      <c r="AE199" s="179" t="s">
        <v>83</v>
      </c>
      <c r="AF199" s="179" t="s">
        <v>83</v>
      </c>
      <c r="AG199" s="179" t="s">
        <v>83</v>
      </c>
      <c r="AH199" s="179" t="s">
        <v>83</v>
      </c>
      <c r="AI199" s="179" t="s">
        <v>83</v>
      </c>
      <c r="AQ199" s="182"/>
      <c r="AR199" s="182"/>
      <c r="AS199" s="183"/>
      <c r="AT199" s="183"/>
      <c r="AU199" s="182"/>
      <c r="AV199" s="183"/>
      <c r="AW199" s="184"/>
      <c r="AX199" s="184"/>
      <c r="AY199" s="184"/>
      <c r="AZ199" s="227">
        <v>1</v>
      </c>
      <c r="BA199" s="227">
        <v>1</v>
      </c>
    </row>
    <row r="200" spans="1:53" s="179" customFormat="1" x14ac:dyDescent="0.3">
      <c r="A200" s="180"/>
      <c r="B200" s="180"/>
      <c r="D200" s="271"/>
      <c r="E200" s="272"/>
      <c r="F200" s="273"/>
      <c r="G200" s="180"/>
      <c r="H200" s="184"/>
      <c r="I200" s="183"/>
      <c r="J200" s="180"/>
      <c r="K200" s="180"/>
      <c r="L200" s="180"/>
      <c r="P200" s="179" t="s">
        <v>83</v>
      </c>
      <c r="Q200" s="179" t="s">
        <v>83</v>
      </c>
      <c r="R200" s="179" t="s">
        <v>83</v>
      </c>
      <c r="S200" s="179" t="s">
        <v>83</v>
      </c>
      <c r="T200" s="179" t="s">
        <v>83</v>
      </c>
      <c r="U200" s="179" t="s">
        <v>83</v>
      </c>
      <c r="V200" s="179" t="s">
        <v>83</v>
      </c>
      <c r="W200" s="179" t="s">
        <v>83</v>
      </c>
      <c r="X200" s="179" t="s">
        <v>83</v>
      </c>
      <c r="Y200" s="179" t="s">
        <v>83</v>
      </c>
      <c r="Z200" s="179" t="s">
        <v>83</v>
      </c>
      <c r="AA200" s="179" t="s">
        <v>83</v>
      </c>
      <c r="AB200" s="179" t="s">
        <v>83</v>
      </c>
      <c r="AC200" s="179" t="s">
        <v>83</v>
      </c>
      <c r="AD200" s="179" t="s">
        <v>83</v>
      </c>
      <c r="AE200" s="179" t="s">
        <v>83</v>
      </c>
      <c r="AF200" s="179" t="s">
        <v>83</v>
      </c>
      <c r="AG200" s="179" t="s">
        <v>83</v>
      </c>
      <c r="AH200" s="179" t="s">
        <v>83</v>
      </c>
      <c r="AI200" s="179" t="s">
        <v>83</v>
      </c>
      <c r="AQ200" s="182"/>
      <c r="AR200" s="182"/>
      <c r="AS200" s="183"/>
      <c r="AT200" s="183"/>
      <c r="AU200" s="182"/>
      <c r="AV200" s="183"/>
      <c r="AW200" s="184"/>
      <c r="AX200" s="184"/>
      <c r="AY200" s="184"/>
      <c r="AZ200" s="227">
        <v>1</v>
      </c>
      <c r="BA200" s="227">
        <v>1</v>
      </c>
    </row>
    <row r="201" spans="1:53" ht="15" thickBot="1" x14ac:dyDescent="0.35"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Z201" s="227">
        <v>1</v>
      </c>
      <c r="BA201" s="227">
        <v>1</v>
      </c>
    </row>
    <row r="202" spans="1:53" s="179" customFormat="1" ht="15" thickBot="1" x14ac:dyDescent="0.35">
      <c r="A202" s="169" t="s">
        <v>18</v>
      </c>
      <c r="B202" s="312" t="s">
        <v>440</v>
      </c>
      <c r="C202" s="171" t="s">
        <v>196</v>
      </c>
      <c r="D202" s="172" t="s">
        <v>59</v>
      </c>
      <c r="E202" s="173">
        <v>9.9999999999999995E-7</v>
      </c>
      <c r="F202" s="170">
        <v>1</v>
      </c>
      <c r="G202" s="169">
        <v>0.1</v>
      </c>
      <c r="H202" s="174">
        <f t="shared" ref="H202:H207" si="217">E202*F202*G202</f>
        <v>9.9999999999999995E-8</v>
      </c>
      <c r="I202" s="175">
        <v>2.37</v>
      </c>
      <c r="J202" s="176">
        <f>I202</f>
        <v>2.37</v>
      </c>
      <c r="K202" s="177" t="s">
        <v>175</v>
      </c>
      <c r="L202" s="178">
        <v>70</v>
      </c>
      <c r="M202" s="179" t="str">
        <f t="shared" ref="M202:N207" si="218">A202</f>
        <v>С1</v>
      </c>
      <c r="N202" s="179" t="str">
        <f t="shared" si="218"/>
        <v xml:space="preserve">Емкость для освобождения аппаратов 304/1 </v>
      </c>
      <c r="O202" s="179" t="str">
        <f t="shared" ref="O202:O207" si="219">D202</f>
        <v>Полное-пожар</v>
      </c>
      <c r="P202" s="179">
        <v>13.8</v>
      </c>
      <c r="Q202" s="179">
        <v>18.3</v>
      </c>
      <c r="R202" s="179">
        <v>25.1</v>
      </c>
      <c r="S202" s="179">
        <v>45.1</v>
      </c>
      <c r="T202" s="179" t="s">
        <v>83</v>
      </c>
      <c r="U202" s="179" t="s">
        <v>83</v>
      </c>
      <c r="V202" s="179" t="s">
        <v>83</v>
      </c>
      <c r="W202" s="179" t="s">
        <v>83</v>
      </c>
      <c r="X202" s="179" t="s">
        <v>83</v>
      </c>
      <c r="Y202" s="179" t="s">
        <v>83</v>
      </c>
      <c r="Z202" s="179" t="s">
        <v>83</v>
      </c>
      <c r="AA202" s="179" t="s">
        <v>83</v>
      </c>
      <c r="AB202" s="179" t="s">
        <v>83</v>
      </c>
      <c r="AC202" s="179" t="s">
        <v>83</v>
      </c>
      <c r="AD202" s="179" t="s">
        <v>83</v>
      </c>
      <c r="AE202" s="179" t="s">
        <v>83</v>
      </c>
      <c r="AF202" s="179" t="s">
        <v>83</v>
      </c>
      <c r="AG202" s="179" t="s">
        <v>83</v>
      </c>
      <c r="AH202" s="179" t="s">
        <v>83</v>
      </c>
      <c r="AI202" s="179" t="s">
        <v>83</v>
      </c>
      <c r="AJ202" s="180">
        <v>1</v>
      </c>
      <c r="AK202" s="180">
        <v>2</v>
      </c>
      <c r="AL202" s="181">
        <v>2.2999999999999998</v>
      </c>
      <c r="AM202" s="181">
        <v>2.7E-2</v>
      </c>
      <c r="AN202" s="181">
        <v>3</v>
      </c>
      <c r="AQ202" s="182">
        <f>AM202*I202+AL202</f>
        <v>2.3639899999999998</v>
      </c>
      <c r="AR202" s="182">
        <f t="shared" ref="AR202:AR207" si="220">0.1*AQ202</f>
        <v>0.236399</v>
      </c>
      <c r="AS202" s="183">
        <f t="shared" ref="AS202:AS207" si="221">AJ202*3+0.25*AK202</f>
        <v>3.5</v>
      </c>
      <c r="AT202" s="183">
        <f t="shared" ref="AT202:AT207" si="222">SUM(AQ202:AS202)/4</f>
        <v>1.52509725</v>
      </c>
      <c r="AU202" s="182">
        <f>10068.2*J202*POWER(10,-6)</f>
        <v>2.3861634E-2</v>
      </c>
      <c r="AV202" s="183">
        <f t="shared" ref="AV202:AV207" si="223">AU202+AT202+AS202+AR202+AQ202</f>
        <v>7.6493478839999991</v>
      </c>
      <c r="AW202" s="184">
        <f t="shared" ref="AW202:AW207" si="224">AJ202*H202</f>
        <v>9.9999999999999995E-8</v>
      </c>
      <c r="AX202" s="184">
        <f t="shared" ref="AX202:AX207" si="225">H202*AK202</f>
        <v>1.9999999999999999E-7</v>
      </c>
      <c r="AY202" s="184">
        <f t="shared" ref="AY202:AY207" si="226">H202*AV202</f>
        <v>7.6493478839999983E-7</v>
      </c>
      <c r="AZ202" s="227">
        <v>1</v>
      </c>
      <c r="BA202" s="227">
        <v>1</v>
      </c>
    </row>
    <row r="203" spans="1:53" s="179" customFormat="1" ht="15" thickBot="1" x14ac:dyDescent="0.35">
      <c r="A203" s="169" t="s">
        <v>19</v>
      </c>
      <c r="B203" s="169" t="str">
        <f>B202</f>
        <v xml:space="preserve">Емкость для освобождения аппаратов 304/1 </v>
      </c>
      <c r="C203" s="171" t="s">
        <v>197</v>
      </c>
      <c r="D203" s="172" t="s">
        <v>62</v>
      </c>
      <c r="E203" s="185">
        <f>E202</f>
        <v>9.9999999999999995E-7</v>
      </c>
      <c r="F203" s="186">
        <f>F202</f>
        <v>1</v>
      </c>
      <c r="G203" s="169">
        <v>0.18000000000000002</v>
      </c>
      <c r="H203" s="174">
        <f t="shared" si="217"/>
        <v>1.8000000000000002E-7</v>
      </c>
      <c r="I203" s="187">
        <f>I202</f>
        <v>2.37</v>
      </c>
      <c r="J203" s="188">
        <v>0.4</v>
      </c>
      <c r="K203" s="177" t="s">
        <v>176</v>
      </c>
      <c r="L203" s="178">
        <v>0</v>
      </c>
      <c r="M203" s="179" t="str">
        <f t="shared" si="218"/>
        <v>С2</v>
      </c>
      <c r="N203" s="179" t="str">
        <f t="shared" si="218"/>
        <v xml:space="preserve">Емкость для освобождения аппаратов 304/1 </v>
      </c>
      <c r="O203" s="179" t="str">
        <f t="shared" si="219"/>
        <v>Полное-взрыв</v>
      </c>
      <c r="P203" s="179" t="s">
        <v>83</v>
      </c>
      <c r="Q203" s="179" t="s">
        <v>83</v>
      </c>
      <c r="R203" s="179" t="s">
        <v>83</v>
      </c>
      <c r="S203" s="179" t="s">
        <v>83</v>
      </c>
      <c r="T203" s="179">
        <v>0</v>
      </c>
      <c r="U203" s="179">
        <v>0</v>
      </c>
      <c r="V203" s="179">
        <v>56.1</v>
      </c>
      <c r="W203" s="179">
        <v>186.1</v>
      </c>
      <c r="X203" s="179">
        <v>484.6</v>
      </c>
      <c r="Y203" s="179" t="s">
        <v>83</v>
      </c>
      <c r="Z203" s="179" t="s">
        <v>83</v>
      </c>
      <c r="AA203" s="179" t="s">
        <v>83</v>
      </c>
      <c r="AB203" s="179" t="s">
        <v>83</v>
      </c>
      <c r="AC203" s="179" t="s">
        <v>83</v>
      </c>
      <c r="AD203" s="179" t="s">
        <v>83</v>
      </c>
      <c r="AE203" s="179" t="s">
        <v>83</v>
      </c>
      <c r="AF203" s="179" t="s">
        <v>83</v>
      </c>
      <c r="AG203" s="179" t="s">
        <v>83</v>
      </c>
      <c r="AH203" s="179" t="s">
        <v>83</v>
      </c>
      <c r="AI203" s="179" t="s">
        <v>83</v>
      </c>
      <c r="AJ203" s="180">
        <v>2</v>
      </c>
      <c r="AK203" s="180">
        <v>2</v>
      </c>
      <c r="AL203" s="179">
        <f>AL202</f>
        <v>2.2999999999999998</v>
      </c>
      <c r="AM203" s="179">
        <f>AM202</f>
        <v>2.7E-2</v>
      </c>
      <c r="AN203" s="179">
        <f>AN202</f>
        <v>3</v>
      </c>
      <c r="AQ203" s="182">
        <f>AM203*I203+AL203</f>
        <v>2.3639899999999998</v>
      </c>
      <c r="AR203" s="182">
        <f t="shared" si="220"/>
        <v>0.236399</v>
      </c>
      <c r="AS203" s="183">
        <f t="shared" si="221"/>
        <v>6.5</v>
      </c>
      <c r="AT203" s="183">
        <f t="shared" si="222"/>
        <v>2.27509725</v>
      </c>
      <c r="AU203" s="182">
        <f>10068.2*J203*POWER(10,-6)*10</f>
        <v>4.0272800000000004E-2</v>
      </c>
      <c r="AV203" s="183">
        <f t="shared" si="223"/>
        <v>11.41575905</v>
      </c>
      <c r="AW203" s="184">
        <f t="shared" si="224"/>
        <v>3.6000000000000005E-7</v>
      </c>
      <c r="AX203" s="184">
        <f t="shared" si="225"/>
        <v>3.6000000000000005E-7</v>
      </c>
      <c r="AY203" s="184">
        <f t="shared" si="226"/>
        <v>2.0548366290000004E-6</v>
      </c>
      <c r="AZ203" s="227">
        <v>1</v>
      </c>
      <c r="BA203" s="227">
        <v>1</v>
      </c>
    </row>
    <row r="204" spans="1:53" s="179" customFormat="1" x14ac:dyDescent="0.3">
      <c r="A204" s="169" t="s">
        <v>20</v>
      </c>
      <c r="B204" s="169" t="str">
        <f>B202</f>
        <v xml:space="preserve">Емкость для освобождения аппаратов 304/1 </v>
      </c>
      <c r="C204" s="171" t="s">
        <v>198</v>
      </c>
      <c r="D204" s="172" t="s">
        <v>60</v>
      </c>
      <c r="E204" s="185">
        <f>E202</f>
        <v>9.9999999999999995E-7</v>
      </c>
      <c r="F204" s="186">
        <f>F202</f>
        <v>1</v>
      </c>
      <c r="G204" s="169">
        <v>0.72000000000000008</v>
      </c>
      <c r="H204" s="174">
        <f t="shared" si="217"/>
        <v>7.2000000000000009E-7</v>
      </c>
      <c r="I204" s="187">
        <f>I202</f>
        <v>2.37</v>
      </c>
      <c r="J204" s="189">
        <v>0</v>
      </c>
      <c r="K204" s="177" t="s">
        <v>177</v>
      </c>
      <c r="L204" s="178">
        <v>0</v>
      </c>
      <c r="M204" s="179" t="str">
        <f t="shared" si="218"/>
        <v>С3</v>
      </c>
      <c r="N204" s="179" t="str">
        <f t="shared" si="218"/>
        <v xml:space="preserve">Емкость для освобождения аппаратов 304/1 </v>
      </c>
      <c r="O204" s="179" t="str">
        <f t="shared" si="219"/>
        <v>Полное-ликвидация</v>
      </c>
      <c r="P204" s="179" t="s">
        <v>83</v>
      </c>
      <c r="Q204" s="179" t="s">
        <v>83</v>
      </c>
      <c r="R204" s="179" t="s">
        <v>83</v>
      </c>
      <c r="S204" s="179" t="s">
        <v>83</v>
      </c>
      <c r="T204" s="179" t="s">
        <v>83</v>
      </c>
      <c r="U204" s="179" t="s">
        <v>83</v>
      </c>
      <c r="V204" s="179" t="s">
        <v>83</v>
      </c>
      <c r="W204" s="179" t="s">
        <v>83</v>
      </c>
      <c r="X204" s="179" t="s">
        <v>83</v>
      </c>
      <c r="Y204" s="179" t="s">
        <v>83</v>
      </c>
      <c r="Z204" s="179" t="s">
        <v>83</v>
      </c>
      <c r="AA204" s="179" t="s">
        <v>83</v>
      </c>
      <c r="AB204" s="179" t="s">
        <v>83</v>
      </c>
      <c r="AC204" s="179" t="s">
        <v>83</v>
      </c>
      <c r="AD204" s="179" t="s">
        <v>83</v>
      </c>
      <c r="AE204" s="179" t="s">
        <v>83</v>
      </c>
      <c r="AF204" s="179" t="s">
        <v>83</v>
      </c>
      <c r="AG204" s="179" t="s">
        <v>83</v>
      </c>
      <c r="AH204" s="179" t="s">
        <v>83</v>
      </c>
      <c r="AI204" s="179" t="s">
        <v>83</v>
      </c>
      <c r="AJ204" s="179">
        <v>0</v>
      </c>
      <c r="AK204" s="179">
        <v>0</v>
      </c>
      <c r="AL204" s="179">
        <f>AL202</f>
        <v>2.2999999999999998</v>
      </c>
      <c r="AM204" s="179">
        <f>AM202</f>
        <v>2.7E-2</v>
      </c>
      <c r="AN204" s="179">
        <f>AN202</f>
        <v>3</v>
      </c>
      <c r="AQ204" s="182">
        <f>AM204*I204*0.1+AL204</f>
        <v>2.3063989999999999</v>
      </c>
      <c r="AR204" s="182">
        <f t="shared" si="220"/>
        <v>0.23063990000000001</v>
      </c>
      <c r="AS204" s="183">
        <f t="shared" si="221"/>
        <v>0</v>
      </c>
      <c r="AT204" s="183">
        <f t="shared" si="222"/>
        <v>0.63425972499999994</v>
      </c>
      <c r="AU204" s="182">
        <f>1333*J203*POWER(10,-6)</f>
        <v>5.3320000000000006E-4</v>
      </c>
      <c r="AV204" s="183">
        <f t="shared" si="223"/>
        <v>3.1718318249999999</v>
      </c>
      <c r="AW204" s="184">
        <f t="shared" si="224"/>
        <v>0</v>
      </c>
      <c r="AX204" s="184">
        <f t="shared" si="225"/>
        <v>0</v>
      </c>
      <c r="AY204" s="184">
        <f t="shared" si="226"/>
        <v>2.283718914E-6</v>
      </c>
      <c r="AZ204" s="227">
        <v>1</v>
      </c>
      <c r="BA204" s="227">
        <v>1</v>
      </c>
    </row>
    <row r="205" spans="1:53" s="179" customFormat="1" x14ac:dyDescent="0.3">
      <c r="A205" s="169" t="s">
        <v>21</v>
      </c>
      <c r="B205" s="169" t="str">
        <f>B202</f>
        <v xml:space="preserve">Емкость для освобождения аппаратов 304/1 </v>
      </c>
      <c r="C205" s="171" t="s">
        <v>199</v>
      </c>
      <c r="D205" s="172" t="s">
        <v>84</v>
      </c>
      <c r="E205" s="173">
        <v>1.0000000000000001E-5</v>
      </c>
      <c r="F205" s="186">
        <f>F202</f>
        <v>1</v>
      </c>
      <c r="G205" s="169">
        <v>0.1</v>
      </c>
      <c r="H205" s="174">
        <f t="shared" si="217"/>
        <v>1.0000000000000002E-6</v>
      </c>
      <c r="I205" s="187">
        <f>0.15*I202</f>
        <v>0.35549999999999998</v>
      </c>
      <c r="J205" s="176">
        <f>I205</f>
        <v>0.35549999999999998</v>
      </c>
      <c r="K205" s="190" t="s">
        <v>179</v>
      </c>
      <c r="L205" s="191">
        <v>45390</v>
      </c>
      <c r="M205" s="179" t="str">
        <f t="shared" si="218"/>
        <v>С4</v>
      </c>
      <c r="N205" s="179" t="str">
        <f t="shared" si="218"/>
        <v xml:space="preserve">Емкость для освобождения аппаратов 304/1 </v>
      </c>
      <c r="O205" s="179" t="str">
        <f t="shared" si="219"/>
        <v>Частичное-пожар</v>
      </c>
      <c r="P205" s="179">
        <v>9.6999999999999993</v>
      </c>
      <c r="Q205" s="179">
        <v>11.9</v>
      </c>
      <c r="R205" s="179">
        <v>15.1</v>
      </c>
      <c r="S205" s="179">
        <v>24.7</v>
      </c>
      <c r="T205" s="179" t="s">
        <v>83</v>
      </c>
      <c r="U205" s="179" t="s">
        <v>83</v>
      </c>
      <c r="V205" s="179" t="s">
        <v>83</v>
      </c>
      <c r="W205" s="179" t="s">
        <v>83</v>
      </c>
      <c r="X205" s="179" t="s">
        <v>83</v>
      </c>
      <c r="Y205" s="179" t="s">
        <v>83</v>
      </c>
      <c r="Z205" s="179" t="s">
        <v>83</v>
      </c>
      <c r="AA205" s="179" t="s">
        <v>83</v>
      </c>
      <c r="AB205" s="179" t="s">
        <v>83</v>
      </c>
      <c r="AC205" s="179" t="s">
        <v>83</v>
      </c>
      <c r="AD205" s="179" t="s">
        <v>83</v>
      </c>
      <c r="AE205" s="179" t="s">
        <v>83</v>
      </c>
      <c r="AF205" s="179" t="s">
        <v>83</v>
      </c>
      <c r="AG205" s="179" t="s">
        <v>83</v>
      </c>
      <c r="AH205" s="179" t="s">
        <v>83</v>
      </c>
      <c r="AI205" s="179" t="s">
        <v>83</v>
      </c>
      <c r="AJ205" s="179">
        <v>0</v>
      </c>
      <c r="AK205" s="179">
        <v>2</v>
      </c>
      <c r="AL205" s="179">
        <f>0.1*AL202</f>
        <v>0.22999999999999998</v>
      </c>
      <c r="AM205" s="179">
        <f>AM202</f>
        <v>2.7E-2</v>
      </c>
      <c r="AN205" s="179">
        <f>ROUNDUP(AN202/3,0)</f>
        <v>1</v>
      </c>
      <c r="AQ205" s="182">
        <f>AM205*I205+AL205</f>
        <v>0.23959849999999999</v>
      </c>
      <c r="AR205" s="182">
        <f t="shared" si="220"/>
        <v>2.3959850000000001E-2</v>
      </c>
      <c r="AS205" s="183">
        <f t="shared" si="221"/>
        <v>0.5</v>
      </c>
      <c r="AT205" s="183">
        <f t="shared" si="222"/>
        <v>0.19088958750000001</v>
      </c>
      <c r="AU205" s="182">
        <f>10068.2*J205*POWER(10,-6)</f>
        <v>3.5792451E-3</v>
      </c>
      <c r="AV205" s="183">
        <f t="shared" si="223"/>
        <v>0.95802718259999997</v>
      </c>
      <c r="AW205" s="184">
        <f t="shared" si="224"/>
        <v>0</v>
      </c>
      <c r="AX205" s="184">
        <f t="shared" si="225"/>
        <v>2.0000000000000003E-6</v>
      </c>
      <c r="AY205" s="184">
        <f t="shared" si="226"/>
        <v>9.5802718260000013E-7</v>
      </c>
      <c r="AZ205" s="227">
        <v>1</v>
      </c>
      <c r="BA205" s="227">
        <v>1</v>
      </c>
    </row>
    <row r="206" spans="1:53" s="179" customFormat="1" x14ac:dyDescent="0.3">
      <c r="A206" s="169" t="s">
        <v>22</v>
      </c>
      <c r="B206" s="169" t="str">
        <f>B202</f>
        <v xml:space="preserve">Емкость для освобождения аппаратов 304/1 </v>
      </c>
      <c r="C206" s="171" t="s">
        <v>200</v>
      </c>
      <c r="D206" s="172" t="s">
        <v>165</v>
      </c>
      <c r="E206" s="185">
        <f>E205</f>
        <v>1.0000000000000001E-5</v>
      </c>
      <c r="F206" s="186">
        <f>F202</f>
        <v>1</v>
      </c>
      <c r="G206" s="169">
        <v>4.5000000000000005E-2</v>
      </c>
      <c r="H206" s="174">
        <f t="shared" si="217"/>
        <v>4.5000000000000009E-7</v>
      </c>
      <c r="I206" s="187">
        <f>0.15*I202</f>
        <v>0.35549999999999998</v>
      </c>
      <c r="J206" s="176">
        <f>0.15*J203</f>
        <v>0.06</v>
      </c>
      <c r="K206" s="190" t="s">
        <v>180</v>
      </c>
      <c r="L206" s="191">
        <v>3</v>
      </c>
      <c r="M206" s="179" t="str">
        <f t="shared" si="218"/>
        <v>С5</v>
      </c>
      <c r="N206" s="179" t="str">
        <f t="shared" si="218"/>
        <v xml:space="preserve">Емкость для освобождения аппаратов 304/1 </v>
      </c>
      <c r="O206" s="179" t="str">
        <f t="shared" si="219"/>
        <v>Частичное-пожар-вспышка</v>
      </c>
      <c r="P206" s="179" t="s">
        <v>83</v>
      </c>
      <c r="Q206" s="179" t="s">
        <v>83</v>
      </c>
      <c r="R206" s="179" t="s">
        <v>83</v>
      </c>
      <c r="S206" s="179" t="s">
        <v>83</v>
      </c>
      <c r="T206" s="179" t="s">
        <v>83</v>
      </c>
      <c r="U206" s="179" t="s">
        <v>83</v>
      </c>
      <c r="V206" s="179" t="s">
        <v>83</v>
      </c>
      <c r="W206" s="179" t="s">
        <v>83</v>
      </c>
      <c r="X206" s="179" t="s">
        <v>83</v>
      </c>
      <c r="Y206" s="179" t="s">
        <v>83</v>
      </c>
      <c r="Z206" s="179" t="s">
        <v>83</v>
      </c>
      <c r="AA206" s="179">
        <v>13.25</v>
      </c>
      <c r="AB206" s="179">
        <v>15.9</v>
      </c>
      <c r="AC206" s="179" t="s">
        <v>83</v>
      </c>
      <c r="AD206" s="179" t="s">
        <v>83</v>
      </c>
      <c r="AE206" s="179" t="s">
        <v>83</v>
      </c>
      <c r="AF206" s="179" t="s">
        <v>83</v>
      </c>
      <c r="AG206" s="179" t="s">
        <v>83</v>
      </c>
      <c r="AH206" s="179" t="s">
        <v>83</v>
      </c>
      <c r="AI206" s="179" t="s">
        <v>83</v>
      </c>
      <c r="AJ206" s="179">
        <v>0</v>
      </c>
      <c r="AK206" s="179">
        <v>1</v>
      </c>
      <c r="AL206" s="179">
        <f t="shared" ref="AL206:AL207" si="227">0.1*AL203</f>
        <v>0.22999999999999998</v>
      </c>
      <c r="AM206" s="179">
        <f>AM202</f>
        <v>2.7E-2</v>
      </c>
      <c r="AN206" s="179">
        <f>ROUNDUP(AN202/3,0)</f>
        <v>1</v>
      </c>
      <c r="AQ206" s="182">
        <f>AM206*I206+AL206</f>
        <v>0.23959849999999999</v>
      </c>
      <c r="AR206" s="182">
        <f t="shared" si="220"/>
        <v>2.3959850000000001E-2</v>
      </c>
      <c r="AS206" s="183">
        <f t="shared" si="221"/>
        <v>0.25</v>
      </c>
      <c r="AT206" s="183">
        <f t="shared" si="222"/>
        <v>0.12838958750000001</v>
      </c>
      <c r="AU206" s="182">
        <f>10068.2*J206*POWER(10,-6)*10</f>
        <v>6.04092E-3</v>
      </c>
      <c r="AV206" s="183">
        <f t="shared" si="223"/>
        <v>0.64798885750000002</v>
      </c>
      <c r="AW206" s="184">
        <f t="shared" si="224"/>
        <v>0</v>
      </c>
      <c r="AX206" s="184">
        <f t="shared" si="225"/>
        <v>4.5000000000000009E-7</v>
      </c>
      <c r="AY206" s="184">
        <f t="shared" si="226"/>
        <v>2.9159498587500008E-7</v>
      </c>
      <c r="AZ206" s="227">
        <v>1</v>
      </c>
      <c r="BA206" s="227">
        <v>1</v>
      </c>
    </row>
    <row r="207" spans="1:53" s="179" customFormat="1" ht="15" thickBot="1" x14ac:dyDescent="0.35">
      <c r="A207" s="169" t="s">
        <v>23</v>
      </c>
      <c r="B207" s="169" t="str">
        <f>B202</f>
        <v xml:space="preserve">Емкость для освобождения аппаратов 304/1 </v>
      </c>
      <c r="C207" s="171" t="s">
        <v>201</v>
      </c>
      <c r="D207" s="172" t="s">
        <v>61</v>
      </c>
      <c r="E207" s="185">
        <f>E205</f>
        <v>1.0000000000000001E-5</v>
      </c>
      <c r="F207" s="186">
        <f>F202</f>
        <v>1</v>
      </c>
      <c r="G207" s="169">
        <v>0.85499999999999998</v>
      </c>
      <c r="H207" s="174">
        <f t="shared" si="217"/>
        <v>8.5500000000000011E-6</v>
      </c>
      <c r="I207" s="187">
        <f>0.15*I202</f>
        <v>0.35549999999999998</v>
      </c>
      <c r="J207" s="189">
        <v>0</v>
      </c>
      <c r="K207" s="192" t="s">
        <v>191</v>
      </c>
      <c r="L207" s="192">
        <v>9</v>
      </c>
      <c r="M207" s="179" t="str">
        <f t="shared" si="218"/>
        <v>С6</v>
      </c>
      <c r="N207" s="179" t="str">
        <f t="shared" si="218"/>
        <v xml:space="preserve">Емкость для освобождения аппаратов 304/1 </v>
      </c>
      <c r="O207" s="179" t="str">
        <f t="shared" si="219"/>
        <v>Частичное-ликвидация</v>
      </c>
      <c r="P207" s="179" t="s">
        <v>83</v>
      </c>
      <c r="Q207" s="179" t="s">
        <v>83</v>
      </c>
      <c r="R207" s="179" t="s">
        <v>83</v>
      </c>
      <c r="S207" s="179" t="s">
        <v>83</v>
      </c>
      <c r="T207" s="179" t="s">
        <v>83</v>
      </c>
      <c r="U207" s="179" t="s">
        <v>83</v>
      </c>
      <c r="V207" s="179" t="s">
        <v>83</v>
      </c>
      <c r="W207" s="179" t="s">
        <v>83</v>
      </c>
      <c r="X207" s="179" t="s">
        <v>83</v>
      </c>
      <c r="Y207" s="179" t="s">
        <v>83</v>
      </c>
      <c r="Z207" s="179" t="s">
        <v>83</v>
      </c>
      <c r="AA207" s="179" t="s">
        <v>83</v>
      </c>
      <c r="AB207" s="179" t="s">
        <v>83</v>
      </c>
      <c r="AC207" s="179" t="s">
        <v>83</v>
      </c>
      <c r="AD207" s="179" t="s">
        <v>83</v>
      </c>
      <c r="AE207" s="179" t="s">
        <v>83</v>
      </c>
      <c r="AF207" s="179" t="s">
        <v>83</v>
      </c>
      <c r="AG207" s="179" t="s">
        <v>83</v>
      </c>
      <c r="AH207" s="179" t="s">
        <v>83</v>
      </c>
      <c r="AI207" s="179" t="s">
        <v>83</v>
      </c>
      <c r="AJ207" s="179">
        <v>0</v>
      </c>
      <c r="AK207" s="179">
        <v>0</v>
      </c>
      <c r="AL207" s="179">
        <f t="shared" si="227"/>
        <v>0.22999999999999998</v>
      </c>
      <c r="AM207" s="179">
        <f>AM202</f>
        <v>2.7E-2</v>
      </c>
      <c r="AN207" s="179">
        <f>ROUNDUP(AN202/3,0)</f>
        <v>1</v>
      </c>
      <c r="AQ207" s="182">
        <f>AM207*I207*0.1+AL207</f>
        <v>0.23095984999999999</v>
      </c>
      <c r="AR207" s="182">
        <f t="shared" si="220"/>
        <v>2.3095984999999999E-2</v>
      </c>
      <c r="AS207" s="183">
        <f t="shared" si="221"/>
        <v>0</v>
      </c>
      <c r="AT207" s="183">
        <f t="shared" si="222"/>
        <v>6.3513958750000002E-2</v>
      </c>
      <c r="AU207" s="182">
        <f>1333*J206*POWER(10,-6)</f>
        <v>7.9980000000000003E-5</v>
      </c>
      <c r="AV207" s="183">
        <f t="shared" si="223"/>
        <v>0.31764977374999998</v>
      </c>
      <c r="AW207" s="184">
        <f t="shared" si="224"/>
        <v>0</v>
      </c>
      <c r="AX207" s="184">
        <f t="shared" si="225"/>
        <v>0</v>
      </c>
      <c r="AY207" s="184">
        <f t="shared" si="226"/>
        <v>2.7159055655625001E-6</v>
      </c>
      <c r="AZ207" s="227">
        <v>1</v>
      </c>
      <c r="BA207" s="227">
        <v>1</v>
      </c>
    </row>
    <row r="208" spans="1:53" s="179" customFormat="1" x14ac:dyDescent="0.3">
      <c r="A208" s="180"/>
      <c r="B208" s="180"/>
      <c r="D208" s="271"/>
      <c r="E208" s="272"/>
      <c r="F208" s="273"/>
      <c r="G208" s="180"/>
      <c r="H208" s="184"/>
      <c r="I208" s="183"/>
      <c r="J208" s="180"/>
      <c r="K208" s="180"/>
      <c r="L208" s="180"/>
      <c r="P208" s="179" t="s">
        <v>83</v>
      </c>
      <c r="Q208" s="179" t="s">
        <v>83</v>
      </c>
      <c r="R208" s="179" t="s">
        <v>83</v>
      </c>
      <c r="S208" s="179" t="s">
        <v>83</v>
      </c>
      <c r="T208" s="179" t="s">
        <v>83</v>
      </c>
      <c r="U208" s="179" t="s">
        <v>83</v>
      </c>
      <c r="V208" s="179" t="s">
        <v>83</v>
      </c>
      <c r="W208" s="179" t="s">
        <v>83</v>
      </c>
      <c r="X208" s="179" t="s">
        <v>83</v>
      </c>
      <c r="Y208" s="179" t="s">
        <v>83</v>
      </c>
      <c r="Z208" s="179" t="s">
        <v>83</v>
      </c>
      <c r="AA208" s="179" t="s">
        <v>83</v>
      </c>
      <c r="AB208" s="179" t="s">
        <v>83</v>
      </c>
      <c r="AC208" s="179" t="s">
        <v>83</v>
      </c>
      <c r="AD208" s="179" t="s">
        <v>83</v>
      </c>
      <c r="AE208" s="179" t="s">
        <v>83</v>
      </c>
      <c r="AF208" s="179" t="s">
        <v>83</v>
      </c>
      <c r="AG208" s="179" t="s">
        <v>83</v>
      </c>
      <c r="AH208" s="179" t="s">
        <v>83</v>
      </c>
      <c r="AI208" s="179" t="s">
        <v>83</v>
      </c>
      <c r="AQ208" s="182"/>
      <c r="AR208" s="182"/>
      <c r="AS208" s="183"/>
      <c r="AT208" s="183"/>
      <c r="AU208" s="182"/>
      <c r="AV208" s="183"/>
      <c r="AW208" s="184"/>
      <c r="AX208" s="184"/>
      <c r="AY208" s="184"/>
      <c r="AZ208" s="227">
        <v>1</v>
      </c>
      <c r="BA208" s="227">
        <v>1</v>
      </c>
    </row>
    <row r="209" spans="1:53" s="179" customFormat="1" x14ac:dyDescent="0.3">
      <c r="A209" s="180"/>
      <c r="B209" s="180"/>
      <c r="D209" s="271"/>
      <c r="E209" s="272"/>
      <c r="F209" s="273"/>
      <c r="G209" s="180"/>
      <c r="H209" s="184"/>
      <c r="I209" s="183"/>
      <c r="J209" s="180"/>
      <c r="K209" s="180"/>
      <c r="L209" s="180"/>
      <c r="P209" s="179" t="s">
        <v>83</v>
      </c>
      <c r="Q209" s="179" t="s">
        <v>83</v>
      </c>
      <c r="R209" s="179" t="s">
        <v>83</v>
      </c>
      <c r="S209" s="179" t="s">
        <v>83</v>
      </c>
      <c r="T209" s="179" t="s">
        <v>83</v>
      </c>
      <c r="U209" s="179" t="s">
        <v>83</v>
      </c>
      <c r="V209" s="179" t="s">
        <v>83</v>
      </c>
      <c r="W209" s="179" t="s">
        <v>83</v>
      </c>
      <c r="X209" s="179" t="s">
        <v>83</v>
      </c>
      <c r="Y209" s="179" t="s">
        <v>83</v>
      </c>
      <c r="Z209" s="179" t="s">
        <v>83</v>
      </c>
      <c r="AA209" s="179" t="s">
        <v>83</v>
      </c>
      <c r="AB209" s="179" t="s">
        <v>83</v>
      </c>
      <c r="AC209" s="179" t="s">
        <v>83</v>
      </c>
      <c r="AD209" s="179" t="s">
        <v>83</v>
      </c>
      <c r="AE209" s="179" t="s">
        <v>83</v>
      </c>
      <c r="AF209" s="179" t="s">
        <v>83</v>
      </c>
      <c r="AG209" s="179" t="s">
        <v>83</v>
      </c>
      <c r="AH209" s="179" t="s">
        <v>83</v>
      </c>
      <c r="AI209" s="179" t="s">
        <v>83</v>
      </c>
      <c r="AQ209" s="182"/>
      <c r="AR209" s="182"/>
      <c r="AS209" s="183"/>
      <c r="AT209" s="183"/>
      <c r="AU209" s="182"/>
      <c r="AV209" s="183"/>
      <c r="AW209" s="184"/>
      <c r="AX209" s="184"/>
      <c r="AY209" s="184"/>
      <c r="AZ209" s="227">
        <v>1</v>
      </c>
      <c r="BA209" s="227">
        <v>1</v>
      </c>
    </row>
    <row r="210" spans="1:53" s="179" customFormat="1" x14ac:dyDescent="0.3">
      <c r="A210" s="180"/>
      <c r="B210" s="180"/>
      <c r="D210" s="271"/>
      <c r="E210" s="272"/>
      <c r="F210" s="273"/>
      <c r="G210" s="180"/>
      <c r="H210" s="184"/>
      <c r="I210" s="183"/>
      <c r="J210" s="180"/>
      <c r="K210" s="180"/>
      <c r="L210" s="180"/>
      <c r="P210" s="179" t="s">
        <v>83</v>
      </c>
      <c r="Q210" s="179" t="s">
        <v>83</v>
      </c>
      <c r="R210" s="179" t="s">
        <v>83</v>
      </c>
      <c r="S210" s="179" t="s">
        <v>83</v>
      </c>
      <c r="T210" s="179" t="s">
        <v>83</v>
      </c>
      <c r="U210" s="179" t="s">
        <v>83</v>
      </c>
      <c r="V210" s="179" t="s">
        <v>83</v>
      </c>
      <c r="W210" s="179" t="s">
        <v>83</v>
      </c>
      <c r="X210" s="179" t="s">
        <v>83</v>
      </c>
      <c r="Y210" s="179" t="s">
        <v>83</v>
      </c>
      <c r="Z210" s="179" t="s">
        <v>83</v>
      </c>
      <c r="AA210" s="179" t="s">
        <v>83</v>
      </c>
      <c r="AB210" s="179" t="s">
        <v>83</v>
      </c>
      <c r="AC210" s="179" t="s">
        <v>83</v>
      </c>
      <c r="AD210" s="179" t="s">
        <v>83</v>
      </c>
      <c r="AE210" s="179" t="s">
        <v>83</v>
      </c>
      <c r="AF210" s="179" t="s">
        <v>83</v>
      </c>
      <c r="AG210" s="179" t="s">
        <v>83</v>
      </c>
      <c r="AH210" s="179" t="s">
        <v>83</v>
      </c>
      <c r="AI210" s="179" t="s">
        <v>83</v>
      </c>
      <c r="AQ210" s="182"/>
      <c r="AR210" s="182"/>
      <c r="AS210" s="183"/>
      <c r="AT210" s="183"/>
      <c r="AU210" s="182"/>
      <c r="AV210" s="183"/>
      <c r="AW210" s="184"/>
      <c r="AX210" s="184"/>
      <c r="AY210" s="184"/>
      <c r="AZ210" s="227">
        <v>1</v>
      </c>
      <c r="BA210" s="227">
        <v>1</v>
      </c>
    </row>
    <row r="211" spans="1:53" ht="15" thickBot="1" x14ac:dyDescent="0.35"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  <c r="W211" t="s">
        <v>83</v>
      </c>
      <c r="X211" t="s">
        <v>83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Z211" s="227">
        <v>1</v>
      </c>
      <c r="BA211" s="227">
        <v>1</v>
      </c>
    </row>
    <row r="212" spans="1:53" s="179" customFormat="1" ht="15" thickBot="1" x14ac:dyDescent="0.35">
      <c r="A212" s="169" t="s">
        <v>18</v>
      </c>
      <c r="B212" s="312" t="s">
        <v>441</v>
      </c>
      <c r="C212" s="171" t="s">
        <v>196</v>
      </c>
      <c r="D212" s="172" t="s">
        <v>59</v>
      </c>
      <c r="E212" s="173">
        <v>9.9999999999999995E-7</v>
      </c>
      <c r="F212" s="170">
        <v>1</v>
      </c>
      <c r="G212" s="169">
        <v>0.1</v>
      </c>
      <c r="H212" s="174">
        <f t="shared" ref="H212:H217" si="228">E212*F212*G212</f>
        <v>9.9999999999999995E-8</v>
      </c>
      <c r="I212" s="175">
        <v>19.36</v>
      </c>
      <c r="J212" s="176">
        <f>I212</f>
        <v>19.36</v>
      </c>
      <c r="K212" s="177" t="s">
        <v>175</v>
      </c>
      <c r="L212" s="178">
        <v>360</v>
      </c>
      <c r="M212" s="179" t="str">
        <f t="shared" ref="M212:N217" si="229">A212</f>
        <v>С1</v>
      </c>
      <c r="N212" s="179" t="str">
        <f t="shared" si="229"/>
        <v>Емкость керосина Е- 305/1</v>
      </c>
      <c r="O212" s="179" t="str">
        <f t="shared" ref="O212:O217" si="230">D212</f>
        <v>Полное-пожар</v>
      </c>
      <c r="P212" s="179">
        <v>17.5</v>
      </c>
      <c r="Q212" s="179">
        <v>24.2</v>
      </c>
      <c r="R212" s="179">
        <v>34.299999999999997</v>
      </c>
      <c r="S212" s="179">
        <v>63.7</v>
      </c>
      <c r="T212" s="179" t="s">
        <v>83</v>
      </c>
      <c r="U212" s="179" t="s">
        <v>83</v>
      </c>
      <c r="V212" s="179" t="s">
        <v>83</v>
      </c>
      <c r="W212" s="179" t="s">
        <v>83</v>
      </c>
      <c r="X212" s="179" t="s">
        <v>83</v>
      </c>
      <c r="Y212" s="179" t="s">
        <v>83</v>
      </c>
      <c r="Z212" s="179" t="s">
        <v>83</v>
      </c>
      <c r="AA212" s="179" t="s">
        <v>83</v>
      </c>
      <c r="AB212" s="179" t="s">
        <v>83</v>
      </c>
      <c r="AC212" s="179" t="s">
        <v>83</v>
      </c>
      <c r="AD212" s="179" t="s">
        <v>83</v>
      </c>
      <c r="AE212" s="179" t="s">
        <v>83</v>
      </c>
      <c r="AF212" s="179" t="s">
        <v>83</v>
      </c>
      <c r="AG212" s="179" t="s">
        <v>83</v>
      </c>
      <c r="AH212" s="179" t="s">
        <v>83</v>
      </c>
      <c r="AI212" s="179" t="s">
        <v>83</v>
      </c>
      <c r="AJ212" s="180">
        <v>1</v>
      </c>
      <c r="AK212" s="180">
        <v>2</v>
      </c>
      <c r="AL212" s="181">
        <v>2.1</v>
      </c>
      <c r="AM212" s="181">
        <v>2.7E-2</v>
      </c>
      <c r="AN212" s="181">
        <v>3</v>
      </c>
      <c r="AQ212" s="182">
        <f>AM212*I212+AL212</f>
        <v>2.6227200000000002</v>
      </c>
      <c r="AR212" s="182">
        <f t="shared" ref="AR212:AR217" si="231">0.1*AQ212</f>
        <v>0.26227200000000001</v>
      </c>
      <c r="AS212" s="183">
        <f t="shared" ref="AS212:AS217" si="232">AJ212*3+0.25*AK212</f>
        <v>3.5</v>
      </c>
      <c r="AT212" s="183">
        <f t="shared" ref="AT212:AT217" si="233">SUM(AQ212:AS212)/4</f>
        <v>1.5962480000000001</v>
      </c>
      <c r="AU212" s="182">
        <f>10068.2*J212*POWER(10,-6)</f>
        <v>0.19492035199999999</v>
      </c>
      <c r="AV212" s="183">
        <f t="shared" ref="AV212:AV217" si="234">AU212+AT212+AS212+AR212+AQ212</f>
        <v>8.1761603520000001</v>
      </c>
      <c r="AW212" s="184">
        <f t="shared" ref="AW212:AW217" si="235">AJ212*H212</f>
        <v>9.9999999999999995E-8</v>
      </c>
      <c r="AX212" s="184">
        <f t="shared" ref="AX212:AX217" si="236">H212*AK212</f>
        <v>1.9999999999999999E-7</v>
      </c>
      <c r="AY212" s="184">
        <f t="shared" ref="AY212:AY217" si="237">H212*AV212</f>
        <v>8.1761603519999999E-7</v>
      </c>
      <c r="AZ212" s="227">
        <v>1</v>
      </c>
      <c r="BA212" s="227">
        <v>1</v>
      </c>
    </row>
    <row r="213" spans="1:53" s="323" customFormat="1" ht="15" thickBot="1" x14ac:dyDescent="0.35">
      <c r="A213" s="313" t="s">
        <v>19</v>
      </c>
      <c r="B213" s="313" t="str">
        <f>B212</f>
        <v>Емкость керосина Е- 305/1</v>
      </c>
      <c r="C213" s="314" t="s">
        <v>197</v>
      </c>
      <c r="D213" s="315" t="s">
        <v>62</v>
      </c>
      <c r="E213" s="316">
        <f>E212</f>
        <v>9.9999999999999995E-7</v>
      </c>
      <c r="F213" s="317">
        <f>F212</f>
        <v>1</v>
      </c>
      <c r="G213" s="313">
        <v>0.18000000000000002</v>
      </c>
      <c r="H213" s="318">
        <f t="shared" si="228"/>
        <v>1.8000000000000002E-7</v>
      </c>
      <c r="I213" s="319">
        <f>I212</f>
        <v>19.36</v>
      </c>
      <c r="J213" s="320">
        <v>0.89</v>
      </c>
      <c r="K213" s="321" t="s">
        <v>176</v>
      </c>
      <c r="L213" s="322">
        <v>0</v>
      </c>
      <c r="M213" s="323" t="str">
        <f t="shared" si="229"/>
        <v>С2</v>
      </c>
      <c r="N213" s="323" t="str">
        <f t="shared" si="229"/>
        <v>Емкость керосина Е- 305/1</v>
      </c>
      <c r="O213" s="323" t="str">
        <f t="shared" si="230"/>
        <v>Полное-взрыв</v>
      </c>
      <c r="P213" s="323" t="s">
        <v>83</v>
      </c>
      <c r="Q213" s="323" t="s">
        <v>83</v>
      </c>
      <c r="R213" s="323" t="s">
        <v>83</v>
      </c>
      <c r="S213" s="323" t="s">
        <v>83</v>
      </c>
      <c r="T213" s="323">
        <v>0</v>
      </c>
      <c r="U213" s="323">
        <v>0</v>
      </c>
      <c r="V213" s="323">
        <v>73.099999999999994</v>
      </c>
      <c r="W213" s="323">
        <v>243.1</v>
      </c>
      <c r="X213" s="323">
        <v>632.6</v>
      </c>
      <c r="Y213" s="323" t="s">
        <v>83</v>
      </c>
      <c r="Z213" s="323" t="s">
        <v>83</v>
      </c>
      <c r="AA213" s="323" t="s">
        <v>83</v>
      </c>
      <c r="AB213" s="323" t="s">
        <v>83</v>
      </c>
      <c r="AC213" s="323" t="s">
        <v>83</v>
      </c>
      <c r="AD213" s="323" t="s">
        <v>83</v>
      </c>
      <c r="AE213" s="323" t="s">
        <v>83</v>
      </c>
      <c r="AF213" s="323" t="s">
        <v>83</v>
      </c>
      <c r="AG213" s="323" t="s">
        <v>83</v>
      </c>
      <c r="AH213" s="323" t="s">
        <v>83</v>
      </c>
      <c r="AI213" s="323" t="s">
        <v>83</v>
      </c>
      <c r="AJ213" s="324">
        <v>3</v>
      </c>
      <c r="AK213" s="324">
        <v>4</v>
      </c>
      <c r="AL213" s="323">
        <f>AL212</f>
        <v>2.1</v>
      </c>
      <c r="AM213" s="323">
        <f>AM212</f>
        <v>2.7E-2</v>
      </c>
      <c r="AN213" s="323">
        <f>AN212</f>
        <v>3</v>
      </c>
      <c r="AQ213" s="325">
        <f>AM213*I213+AL213</f>
        <v>2.6227200000000002</v>
      </c>
      <c r="AR213" s="325">
        <f t="shared" si="231"/>
        <v>0.26227200000000001</v>
      </c>
      <c r="AS213" s="326">
        <f t="shared" si="232"/>
        <v>10</v>
      </c>
      <c r="AT213" s="326">
        <f t="shared" si="233"/>
        <v>3.2212480000000001</v>
      </c>
      <c r="AU213" s="325">
        <f>10068.2*J213*POWER(10,-6)*10</f>
        <v>8.9606980000000003E-2</v>
      </c>
      <c r="AV213" s="326">
        <f t="shared" si="234"/>
        <v>16.195846979999999</v>
      </c>
      <c r="AW213" s="327">
        <f t="shared" si="235"/>
        <v>5.4000000000000012E-7</v>
      </c>
      <c r="AX213" s="327">
        <f t="shared" si="236"/>
        <v>7.2000000000000009E-7</v>
      </c>
      <c r="AY213" s="327">
        <f t="shared" si="237"/>
        <v>2.9152524564000001E-6</v>
      </c>
      <c r="AZ213" s="305">
        <v>1</v>
      </c>
      <c r="BA213" s="305">
        <v>1</v>
      </c>
    </row>
    <row r="214" spans="1:53" s="179" customFormat="1" x14ac:dyDescent="0.3">
      <c r="A214" s="169" t="s">
        <v>20</v>
      </c>
      <c r="B214" s="169" t="str">
        <f>B212</f>
        <v>Емкость керосина Е- 305/1</v>
      </c>
      <c r="C214" s="171" t="s">
        <v>198</v>
      </c>
      <c r="D214" s="172" t="s">
        <v>60</v>
      </c>
      <c r="E214" s="185">
        <f>E212</f>
        <v>9.9999999999999995E-7</v>
      </c>
      <c r="F214" s="186">
        <f>F212</f>
        <v>1</v>
      </c>
      <c r="G214" s="169">
        <v>0.72000000000000008</v>
      </c>
      <c r="H214" s="174">
        <f t="shared" si="228"/>
        <v>7.2000000000000009E-7</v>
      </c>
      <c r="I214" s="187">
        <f>I212</f>
        <v>19.36</v>
      </c>
      <c r="J214" s="189">
        <v>0</v>
      </c>
      <c r="K214" s="177" t="s">
        <v>177</v>
      </c>
      <c r="L214" s="178">
        <v>0</v>
      </c>
      <c r="M214" s="179" t="str">
        <f t="shared" si="229"/>
        <v>С3</v>
      </c>
      <c r="N214" s="179" t="str">
        <f t="shared" si="229"/>
        <v>Емкость керосина Е- 305/1</v>
      </c>
      <c r="O214" s="179" t="str">
        <f t="shared" si="230"/>
        <v>Полное-ликвидация</v>
      </c>
      <c r="P214" s="179" t="s">
        <v>83</v>
      </c>
      <c r="Q214" s="179" t="s">
        <v>83</v>
      </c>
      <c r="R214" s="179" t="s">
        <v>83</v>
      </c>
      <c r="S214" s="179" t="s">
        <v>83</v>
      </c>
      <c r="T214" s="179" t="s">
        <v>83</v>
      </c>
      <c r="U214" s="179" t="s">
        <v>83</v>
      </c>
      <c r="V214" s="179" t="s">
        <v>83</v>
      </c>
      <c r="W214" s="179" t="s">
        <v>83</v>
      </c>
      <c r="X214" s="179" t="s">
        <v>83</v>
      </c>
      <c r="Y214" s="179" t="s">
        <v>83</v>
      </c>
      <c r="Z214" s="179" t="s">
        <v>83</v>
      </c>
      <c r="AA214" s="179" t="s">
        <v>83</v>
      </c>
      <c r="AB214" s="179" t="s">
        <v>83</v>
      </c>
      <c r="AC214" s="179" t="s">
        <v>83</v>
      </c>
      <c r="AD214" s="179" t="s">
        <v>83</v>
      </c>
      <c r="AE214" s="179" t="s">
        <v>83</v>
      </c>
      <c r="AF214" s="179" t="s">
        <v>83</v>
      </c>
      <c r="AG214" s="179" t="s">
        <v>83</v>
      </c>
      <c r="AH214" s="179" t="s">
        <v>83</v>
      </c>
      <c r="AI214" s="179" t="s">
        <v>83</v>
      </c>
      <c r="AJ214" s="179">
        <v>0</v>
      </c>
      <c r="AK214" s="179">
        <v>0</v>
      </c>
      <c r="AL214" s="179">
        <f>AL212</f>
        <v>2.1</v>
      </c>
      <c r="AM214" s="179">
        <f>AM212</f>
        <v>2.7E-2</v>
      </c>
      <c r="AN214" s="179">
        <f>AN212</f>
        <v>3</v>
      </c>
      <c r="AQ214" s="182">
        <f>AM214*I214*0.1+AL214</f>
        <v>2.152272</v>
      </c>
      <c r="AR214" s="182">
        <f t="shared" si="231"/>
        <v>0.21522720000000001</v>
      </c>
      <c r="AS214" s="183">
        <f t="shared" si="232"/>
        <v>0</v>
      </c>
      <c r="AT214" s="183">
        <f t="shared" si="233"/>
        <v>0.59187480000000003</v>
      </c>
      <c r="AU214" s="182">
        <f>1333*J213*POWER(10,-6)</f>
        <v>1.18637E-3</v>
      </c>
      <c r="AV214" s="183">
        <f t="shared" si="234"/>
        <v>2.9605603700000001</v>
      </c>
      <c r="AW214" s="184">
        <f t="shared" si="235"/>
        <v>0</v>
      </c>
      <c r="AX214" s="184">
        <f t="shared" si="236"/>
        <v>0</v>
      </c>
      <c r="AY214" s="184">
        <f t="shared" si="237"/>
        <v>2.1316034664000004E-6</v>
      </c>
      <c r="AZ214" s="227">
        <v>1</v>
      </c>
      <c r="BA214" s="227">
        <v>1</v>
      </c>
    </row>
    <row r="215" spans="1:53" s="179" customFormat="1" x14ac:dyDescent="0.3">
      <c r="A215" s="169" t="s">
        <v>21</v>
      </c>
      <c r="B215" s="169" t="str">
        <f>B212</f>
        <v>Емкость керосина Е- 305/1</v>
      </c>
      <c r="C215" s="171" t="s">
        <v>199</v>
      </c>
      <c r="D215" s="172" t="s">
        <v>84</v>
      </c>
      <c r="E215" s="173">
        <v>1.0000000000000001E-5</v>
      </c>
      <c r="F215" s="186">
        <f>F212</f>
        <v>1</v>
      </c>
      <c r="G215" s="169">
        <v>0.1</v>
      </c>
      <c r="H215" s="174">
        <f t="shared" si="228"/>
        <v>1.0000000000000002E-6</v>
      </c>
      <c r="I215" s="187">
        <f>0.15*I212</f>
        <v>2.9039999999999999</v>
      </c>
      <c r="J215" s="176">
        <f>I215</f>
        <v>2.9039999999999999</v>
      </c>
      <c r="K215" s="190" t="s">
        <v>179</v>
      </c>
      <c r="L215" s="191">
        <v>45390</v>
      </c>
      <c r="M215" s="179" t="str">
        <f t="shared" si="229"/>
        <v>С4</v>
      </c>
      <c r="N215" s="179" t="str">
        <f t="shared" si="229"/>
        <v>Емкость керосина Е- 305/1</v>
      </c>
      <c r="O215" s="179" t="str">
        <f t="shared" si="230"/>
        <v>Частичное-пожар</v>
      </c>
      <c r="P215" s="179">
        <v>12.7</v>
      </c>
      <c r="Q215" s="179">
        <v>16.5</v>
      </c>
      <c r="R215" s="179">
        <v>22</v>
      </c>
      <c r="S215" s="179">
        <v>38.6</v>
      </c>
      <c r="T215" s="179" t="s">
        <v>83</v>
      </c>
      <c r="U215" s="179" t="s">
        <v>83</v>
      </c>
      <c r="V215" s="179" t="s">
        <v>83</v>
      </c>
      <c r="W215" s="179" t="s">
        <v>83</v>
      </c>
      <c r="X215" s="179" t="s">
        <v>83</v>
      </c>
      <c r="Y215" s="179" t="s">
        <v>83</v>
      </c>
      <c r="Z215" s="179" t="s">
        <v>83</v>
      </c>
      <c r="AA215" s="179" t="s">
        <v>83</v>
      </c>
      <c r="AB215" s="179" t="s">
        <v>83</v>
      </c>
      <c r="AC215" s="179" t="s">
        <v>83</v>
      </c>
      <c r="AD215" s="179" t="s">
        <v>83</v>
      </c>
      <c r="AE215" s="179" t="s">
        <v>83</v>
      </c>
      <c r="AF215" s="179" t="s">
        <v>83</v>
      </c>
      <c r="AG215" s="179" t="s">
        <v>83</v>
      </c>
      <c r="AH215" s="179" t="s">
        <v>83</v>
      </c>
      <c r="AI215" s="179" t="s">
        <v>83</v>
      </c>
      <c r="AJ215" s="179">
        <v>0</v>
      </c>
      <c r="AK215" s="179">
        <v>2</v>
      </c>
      <c r="AL215" s="179">
        <f>0.1*AL212</f>
        <v>0.21000000000000002</v>
      </c>
      <c r="AM215" s="179">
        <f>AM212</f>
        <v>2.7E-2</v>
      </c>
      <c r="AN215" s="179">
        <f>ROUNDUP(AN212/3,0)</f>
        <v>1</v>
      </c>
      <c r="AQ215" s="182">
        <f>AM215*I215+AL215</f>
        <v>0.288408</v>
      </c>
      <c r="AR215" s="182">
        <f t="shared" si="231"/>
        <v>2.88408E-2</v>
      </c>
      <c r="AS215" s="183">
        <f t="shared" si="232"/>
        <v>0.5</v>
      </c>
      <c r="AT215" s="183">
        <f t="shared" si="233"/>
        <v>0.2043122</v>
      </c>
      <c r="AU215" s="182">
        <f>10068.2*J215*POWER(10,-6)</f>
        <v>2.9238052800000001E-2</v>
      </c>
      <c r="AV215" s="183">
        <f t="shared" si="234"/>
        <v>1.0507990528</v>
      </c>
      <c r="AW215" s="184">
        <f t="shared" si="235"/>
        <v>0</v>
      </c>
      <c r="AX215" s="184">
        <f t="shared" si="236"/>
        <v>2.0000000000000003E-6</v>
      </c>
      <c r="AY215" s="184">
        <f t="shared" si="237"/>
        <v>1.0507990528000001E-6</v>
      </c>
      <c r="AZ215" s="227">
        <v>1</v>
      </c>
      <c r="BA215" s="227">
        <v>1</v>
      </c>
    </row>
    <row r="216" spans="1:53" s="179" customFormat="1" x14ac:dyDescent="0.3">
      <c r="A216" s="169" t="s">
        <v>22</v>
      </c>
      <c r="B216" s="169" t="str">
        <f>B212</f>
        <v>Емкость керосина Е- 305/1</v>
      </c>
      <c r="C216" s="171" t="s">
        <v>200</v>
      </c>
      <c r="D216" s="172" t="s">
        <v>165</v>
      </c>
      <c r="E216" s="185">
        <f>E215</f>
        <v>1.0000000000000001E-5</v>
      </c>
      <c r="F216" s="186">
        <f>F212</f>
        <v>1</v>
      </c>
      <c r="G216" s="169">
        <v>4.5000000000000005E-2</v>
      </c>
      <c r="H216" s="174">
        <f t="shared" si="228"/>
        <v>4.5000000000000009E-7</v>
      </c>
      <c r="I216" s="187">
        <f>0.15*I212</f>
        <v>2.9039999999999999</v>
      </c>
      <c r="J216" s="176">
        <f>0.15*J213</f>
        <v>0.13350000000000001</v>
      </c>
      <c r="K216" s="190" t="s">
        <v>180</v>
      </c>
      <c r="L216" s="191">
        <v>3</v>
      </c>
      <c r="M216" s="179" t="str">
        <f t="shared" si="229"/>
        <v>С5</v>
      </c>
      <c r="N216" s="179" t="str">
        <f t="shared" si="229"/>
        <v>Емкость керосина Е- 305/1</v>
      </c>
      <c r="O216" s="179" t="str">
        <f t="shared" si="230"/>
        <v>Частичное-пожар-вспышка</v>
      </c>
      <c r="P216" s="179" t="s">
        <v>83</v>
      </c>
      <c r="Q216" s="179" t="s">
        <v>83</v>
      </c>
      <c r="R216" s="179" t="s">
        <v>83</v>
      </c>
      <c r="S216" s="179" t="s">
        <v>83</v>
      </c>
      <c r="T216" s="179" t="s">
        <v>83</v>
      </c>
      <c r="U216" s="179" t="s">
        <v>83</v>
      </c>
      <c r="V216" s="179" t="s">
        <v>83</v>
      </c>
      <c r="W216" s="179" t="s">
        <v>83</v>
      </c>
      <c r="X216" s="179" t="s">
        <v>83</v>
      </c>
      <c r="Y216" s="179" t="s">
        <v>83</v>
      </c>
      <c r="Z216" s="179" t="s">
        <v>83</v>
      </c>
      <c r="AA216" s="179">
        <v>17.25</v>
      </c>
      <c r="AB216" s="179">
        <v>20.7</v>
      </c>
      <c r="AC216" s="179" t="s">
        <v>83</v>
      </c>
      <c r="AD216" s="179" t="s">
        <v>83</v>
      </c>
      <c r="AE216" s="179" t="s">
        <v>83</v>
      </c>
      <c r="AF216" s="179" t="s">
        <v>83</v>
      </c>
      <c r="AG216" s="179" t="s">
        <v>83</v>
      </c>
      <c r="AH216" s="179" t="s">
        <v>83</v>
      </c>
      <c r="AI216" s="179" t="s">
        <v>83</v>
      </c>
      <c r="AJ216" s="179">
        <v>0</v>
      </c>
      <c r="AK216" s="179">
        <v>1</v>
      </c>
      <c r="AL216" s="179">
        <f t="shared" ref="AL216:AL217" si="238">0.1*AL213</f>
        <v>0.21000000000000002</v>
      </c>
      <c r="AM216" s="179">
        <f>AM212</f>
        <v>2.7E-2</v>
      </c>
      <c r="AN216" s="179">
        <f>ROUNDUP(AN212/3,0)</f>
        <v>1</v>
      </c>
      <c r="AQ216" s="182">
        <f>AM216*I216+AL216</f>
        <v>0.288408</v>
      </c>
      <c r="AR216" s="182">
        <f t="shared" si="231"/>
        <v>2.88408E-2</v>
      </c>
      <c r="AS216" s="183">
        <f t="shared" si="232"/>
        <v>0.25</v>
      </c>
      <c r="AT216" s="183">
        <f t="shared" si="233"/>
        <v>0.1418122</v>
      </c>
      <c r="AU216" s="182">
        <f>10068.2*J216*POWER(10,-6)*10</f>
        <v>1.3441047000000001E-2</v>
      </c>
      <c r="AV216" s="183">
        <f t="shared" si="234"/>
        <v>0.72250204699999998</v>
      </c>
      <c r="AW216" s="184">
        <f t="shared" si="235"/>
        <v>0</v>
      </c>
      <c r="AX216" s="184">
        <f t="shared" si="236"/>
        <v>4.5000000000000009E-7</v>
      </c>
      <c r="AY216" s="184">
        <f t="shared" si="237"/>
        <v>3.2512592115000003E-7</v>
      </c>
      <c r="AZ216" s="227">
        <v>1</v>
      </c>
      <c r="BA216" s="227">
        <v>1</v>
      </c>
    </row>
    <row r="217" spans="1:53" s="179" customFormat="1" ht="15" thickBot="1" x14ac:dyDescent="0.35">
      <c r="A217" s="169" t="s">
        <v>23</v>
      </c>
      <c r="B217" s="169" t="str">
        <f>B212</f>
        <v>Емкость керосина Е- 305/1</v>
      </c>
      <c r="C217" s="171" t="s">
        <v>201</v>
      </c>
      <c r="D217" s="172" t="s">
        <v>61</v>
      </c>
      <c r="E217" s="185">
        <f>E215</f>
        <v>1.0000000000000001E-5</v>
      </c>
      <c r="F217" s="186">
        <f>F212</f>
        <v>1</v>
      </c>
      <c r="G217" s="169">
        <v>0.85499999999999998</v>
      </c>
      <c r="H217" s="174">
        <f t="shared" si="228"/>
        <v>8.5500000000000011E-6</v>
      </c>
      <c r="I217" s="187">
        <f>0.15*I212</f>
        <v>2.9039999999999999</v>
      </c>
      <c r="J217" s="189">
        <v>0</v>
      </c>
      <c r="K217" s="192" t="s">
        <v>191</v>
      </c>
      <c r="L217" s="192">
        <v>9</v>
      </c>
      <c r="M217" s="179" t="str">
        <f t="shared" si="229"/>
        <v>С6</v>
      </c>
      <c r="N217" s="179" t="str">
        <f t="shared" si="229"/>
        <v>Емкость керосина Е- 305/1</v>
      </c>
      <c r="O217" s="179" t="str">
        <f t="shared" si="230"/>
        <v>Частичное-ликвидация</v>
      </c>
      <c r="P217" s="179" t="s">
        <v>83</v>
      </c>
      <c r="Q217" s="179" t="s">
        <v>83</v>
      </c>
      <c r="R217" s="179" t="s">
        <v>83</v>
      </c>
      <c r="S217" s="179" t="s">
        <v>83</v>
      </c>
      <c r="T217" s="179" t="s">
        <v>83</v>
      </c>
      <c r="U217" s="179" t="s">
        <v>83</v>
      </c>
      <c r="V217" s="179" t="s">
        <v>83</v>
      </c>
      <c r="W217" s="179" t="s">
        <v>83</v>
      </c>
      <c r="X217" s="179" t="s">
        <v>83</v>
      </c>
      <c r="Y217" s="179" t="s">
        <v>83</v>
      </c>
      <c r="Z217" s="179" t="s">
        <v>83</v>
      </c>
      <c r="AA217" s="179" t="s">
        <v>83</v>
      </c>
      <c r="AB217" s="179" t="s">
        <v>83</v>
      </c>
      <c r="AC217" s="179" t="s">
        <v>83</v>
      </c>
      <c r="AD217" s="179" t="s">
        <v>83</v>
      </c>
      <c r="AE217" s="179" t="s">
        <v>83</v>
      </c>
      <c r="AF217" s="179" t="s">
        <v>83</v>
      </c>
      <c r="AG217" s="179" t="s">
        <v>83</v>
      </c>
      <c r="AH217" s="179" t="s">
        <v>83</v>
      </c>
      <c r="AI217" s="179" t="s">
        <v>83</v>
      </c>
      <c r="AJ217" s="179">
        <v>0</v>
      </c>
      <c r="AK217" s="179">
        <v>0</v>
      </c>
      <c r="AL217" s="179">
        <f t="shared" si="238"/>
        <v>0.21000000000000002</v>
      </c>
      <c r="AM217" s="179">
        <f>AM212</f>
        <v>2.7E-2</v>
      </c>
      <c r="AN217" s="179">
        <f>ROUNDUP(AN212/3,0)</f>
        <v>1</v>
      </c>
      <c r="AQ217" s="182">
        <f>AM217*I217*0.1+AL217</f>
        <v>0.21784080000000003</v>
      </c>
      <c r="AR217" s="182">
        <f t="shared" si="231"/>
        <v>2.1784080000000004E-2</v>
      </c>
      <c r="AS217" s="183">
        <f t="shared" si="232"/>
        <v>0</v>
      </c>
      <c r="AT217" s="183">
        <f t="shared" si="233"/>
        <v>5.990622000000001E-2</v>
      </c>
      <c r="AU217" s="182">
        <f>1333*J216*POWER(10,-6)</f>
        <v>1.7795549999999999E-4</v>
      </c>
      <c r="AV217" s="183">
        <f t="shared" si="234"/>
        <v>0.29970905550000004</v>
      </c>
      <c r="AW217" s="184">
        <f t="shared" si="235"/>
        <v>0</v>
      </c>
      <c r="AX217" s="184">
        <f t="shared" si="236"/>
        <v>0</v>
      </c>
      <c r="AY217" s="184">
        <f t="shared" si="237"/>
        <v>2.5625124245250005E-6</v>
      </c>
      <c r="AZ217" s="227">
        <v>1</v>
      </c>
      <c r="BA217" s="227">
        <v>1</v>
      </c>
    </row>
    <row r="218" spans="1:53" s="179" customFormat="1" x14ac:dyDescent="0.3">
      <c r="A218" s="180"/>
      <c r="B218" s="180"/>
      <c r="D218" s="271"/>
      <c r="E218" s="272"/>
      <c r="F218" s="273"/>
      <c r="G218" s="180"/>
      <c r="H218" s="184"/>
      <c r="I218" s="183"/>
      <c r="J218" s="180"/>
      <c r="K218" s="180"/>
      <c r="L218" s="180"/>
      <c r="P218" s="179" t="s">
        <v>83</v>
      </c>
      <c r="Q218" s="179" t="s">
        <v>83</v>
      </c>
      <c r="R218" s="179" t="s">
        <v>83</v>
      </c>
      <c r="S218" s="179" t="s">
        <v>83</v>
      </c>
      <c r="T218" s="179" t="s">
        <v>83</v>
      </c>
      <c r="U218" s="179" t="s">
        <v>83</v>
      </c>
      <c r="V218" s="179" t="s">
        <v>83</v>
      </c>
      <c r="W218" s="179" t="s">
        <v>83</v>
      </c>
      <c r="X218" s="179" t="s">
        <v>83</v>
      </c>
      <c r="Y218" s="179" t="s">
        <v>83</v>
      </c>
      <c r="Z218" s="179" t="s">
        <v>83</v>
      </c>
      <c r="AA218" s="179" t="s">
        <v>83</v>
      </c>
      <c r="AB218" s="179" t="s">
        <v>83</v>
      </c>
      <c r="AC218" s="179" t="s">
        <v>83</v>
      </c>
      <c r="AD218" s="179" t="s">
        <v>83</v>
      </c>
      <c r="AE218" s="179" t="s">
        <v>83</v>
      </c>
      <c r="AF218" s="179" t="s">
        <v>83</v>
      </c>
      <c r="AG218" s="179" t="s">
        <v>83</v>
      </c>
      <c r="AH218" s="179" t="s">
        <v>83</v>
      </c>
      <c r="AI218" s="179" t="s">
        <v>83</v>
      </c>
      <c r="AQ218" s="182"/>
      <c r="AR218" s="182"/>
      <c r="AS218" s="183"/>
      <c r="AT218" s="183"/>
      <c r="AU218" s="182"/>
      <c r="AV218" s="183"/>
      <c r="AW218" s="184"/>
      <c r="AX218" s="184"/>
      <c r="AY218" s="184"/>
      <c r="AZ218" s="227">
        <v>1</v>
      </c>
      <c r="BA218" s="227">
        <v>1</v>
      </c>
    </row>
    <row r="219" spans="1:53" s="179" customFormat="1" x14ac:dyDescent="0.3">
      <c r="A219" s="180"/>
      <c r="B219" s="180"/>
      <c r="D219" s="271"/>
      <c r="E219" s="272"/>
      <c r="F219" s="273"/>
      <c r="G219" s="180"/>
      <c r="H219" s="184"/>
      <c r="I219" s="183"/>
      <c r="J219" s="180"/>
      <c r="K219" s="180"/>
      <c r="L219" s="180"/>
      <c r="P219" s="179" t="s">
        <v>83</v>
      </c>
      <c r="Q219" s="179" t="s">
        <v>83</v>
      </c>
      <c r="R219" s="179" t="s">
        <v>83</v>
      </c>
      <c r="S219" s="179" t="s">
        <v>83</v>
      </c>
      <c r="T219" s="179" t="s">
        <v>83</v>
      </c>
      <c r="U219" s="179" t="s">
        <v>83</v>
      </c>
      <c r="V219" s="179" t="s">
        <v>83</v>
      </c>
      <c r="W219" s="179" t="s">
        <v>83</v>
      </c>
      <c r="X219" s="179" t="s">
        <v>83</v>
      </c>
      <c r="Y219" s="179" t="s">
        <v>83</v>
      </c>
      <c r="Z219" s="179" t="s">
        <v>83</v>
      </c>
      <c r="AA219" s="179" t="s">
        <v>83</v>
      </c>
      <c r="AB219" s="179" t="s">
        <v>83</v>
      </c>
      <c r="AC219" s="179" t="s">
        <v>83</v>
      </c>
      <c r="AD219" s="179" t="s">
        <v>83</v>
      </c>
      <c r="AE219" s="179" t="s">
        <v>83</v>
      </c>
      <c r="AF219" s="179" t="s">
        <v>83</v>
      </c>
      <c r="AG219" s="179" t="s">
        <v>83</v>
      </c>
      <c r="AH219" s="179" t="s">
        <v>83</v>
      </c>
      <c r="AI219" s="179" t="s">
        <v>83</v>
      </c>
      <c r="AQ219" s="182"/>
      <c r="AR219" s="182"/>
      <c r="AS219" s="183"/>
      <c r="AT219" s="183"/>
      <c r="AU219" s="182"/>
      <c r="AV219" s="183"/>
      <c r="AW219" s="184"/>
      <c r="AX219" s="184"/>
      <c r="AY219" s="184"/>
      <c r="AZ219" s="227">
        <v>1</v>
      </c>
      <c r="BA219" s="227">
        <v>1</v>
      </c>
    </row>
    <row r="220" spans="1:53" s="179" customFormat="1" x14ac:dyDescent="0.3">
      <c r="A220" s="180"/>
      <c r="B220" s="180"/>
      <c r="D220" s="271"/>
      <c r="E220" s="272"/>
      <c r="F220" s="273"/>
      <c r="G220" s="180"/>
      <c r="H220" s="184"/>
      <c r="I220" s="183"/>
      <c r="J220" s="180"/>
      <c r="K220" s="180"/>
      <c r="L220" s="180"/>
      <c r="P220" s="179" t="s">
        <v>83</v>
      </c>
      <c r="Q220" s="179" t="s">
        <v>83</v>
      </c>
      <c r="R220" s="179" t="s">
        <v>83</v>
      </c>
      <c r="S220" s="179" t="s">
        <v>83</v>
      </c>
      <c r="T220" s="179" t="s">
        <v>83</v>
      </c>
      <c r="U220" s="179" t="s">
        <v>83</v>
      </c>
      <c r="V220" s="179" t="s">
        <v>83</v>
      </c>
      <c r="W220" s="179" t="s">
        <v>83</v>
      </c>
      <c r="X220" s="179" t="s">
        <v>83</v>
      </c>
      <c r="Y220" s="179" t="s">
        <v>83</v>
      </c>
      <c r="Z220" s="179" t="s">
        <v>83</v>
      </c>
      <c r="AA220" s="179" t="s">
        <v>83</v>
      </c>
      <c r="AB220" s="179" t="s">
        <v>83</v>
      </c>
      <c r="AC220" s="179" t="s">
        <v>83</v>
      </c>
      <c r="AD220" s="179" t="s">
        <v>83</v>
      </c>
      <c r="AE220" s="179" t="s">
        <v>83</v>
      </c>
      <c r="AF220" s="179" t="s">
        <v>83</v>
      </c>
      <c r="AG220" s="179" t="s">
        <v>83</v>
      </c>
      <c r="AH220" s="179" t="s">
        <v>83</v>
      </c>
      <c r="AI220" s="179" t="s">
        <v>83</v>
      </c>
      <c r="AQ220" s="182"/>
      <c r="AR220" s="182"/>
      <c r="AS220" s="183"/>
      <c r="AT220" s="183"/>
      <c r="AU220" s="182"/>
      <c r="AV220" s="183"/>
      <c r="AW220" s="184"/>
      <c r="AX220" s="184"/>
      <c r="AY220" s="184"/>
      <c r="AZ220" s="227">
        <v>1</v>
      </c>
      <c r="BA220" s="227">
        <v>1</v>
      </c>
    </row>
    <row r="221" spans="1:53" ht="15" thickBot="1" x14ac:dyDescent="0.35"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Z221" s="227">
        <v>1</v>
      </c>
      <c r="BA221" s="227">
        <v>1</v>
      </c>
    </row>
    <row r="222" spans="1:53" s="179" customFormat="1" ht="15" thickBot="1" x14ac:dyDescent="0.35">
      <c r="A222" s="169" t="s">
        <v>18</v>
      </c>
      <c r="B222" s="312" t="s">
        <v>442</v>
      </c>
      <c r="C222" s="171" t="s">
        <v>196</v>
      </c>
      <c r="D222" s="172" t="s">
        <v>59</v>
      </c>
      <c r="E222" s="173">
        <v>9.9999999999999995E-7</v>
      </c>
      <c r="F222" s="170">
        <v>1</v>
      </c>
      <c r="G222" s="169">
        <v>0.1</v>
      </c>
      <c r="H222" s="174">
        <f t="shared" ref="H222:H227" si="239">E222*F222*G222</f>
        <v>9.9999999999999995E-8</v>
      </c>
      <c r="I222" s="175">
        <v>3.7</v>
      </c>
      <c r="J222" s="176">
        <f>I222</f>
        <v>3.7</v>
      </c>
      <c r="K222" s="177" t="s">
        <v>175</v>
      </c>
      <c r="L222" s="178">
        <v>160</v>
      </c>
      <c r="M222" s="179" t="str">
        <f t="shared" ref="M222:N227" si="240">A222</f>
        <v>С1</v>
      </c>
      <c r="N222" s="179" t="str">
        <f t="shared" si="240"/>
        <v>Сборник дренажный V-404N</v>
      </c>
      <c r="O222" s="179" t="str">
        <f t="shared" ref="O222:O227" si="241">D222</f>
        <v>Полное-пожар</v>
      </c>
      <c r="P222" s="179">
        <v>15.8</v>
      </c>
      <c r="Q222" s="179">
        <v>21.3</v>
      </c>
      <c r="R222" s="179">
        <v>29.6</v>
      </c>
      <c r="S222" s="179">
        <v>54</v>
      </c>
      <c r="T222" s="179" t="s">
        <v>83</v>
      </c>
      <c r="U222" s="179" t="s">
        <v>83</v>
      </c>
      <c r="V222" s="179" t="s">
        <v>83</v>
      </c>
      <c r="W222" s="179" t="s">
        <v>83</v>
      </c>
      <c r="X222" s="179" t="s">
        <v>83</v>
      </c>
      <c r="Y222" s="179" t="s">
        <v>83</v>
      </c>
      <c r="Z222" s="179" t="s">
        <v>83</v>
      </c>
      <c r="AA222" s="179" t="s">
        <v>83</v>
      </c>
      <c r="AB222" s="179" t="s">
        <v>83</v>
      </c>
      <c r="AC222" s="179" t="s">
        <v>83</v>
      </c>
      <c r="AD222" s="179" t="s">
        <v>83</v>
      </c>
      <c r="AE222" s="179" t="s">
        <v>83</v>
      </c>
      <c r="AF222" s="179" t="s">
        <v>83</v>
      </c>
      <c r="AG222" s="179" t="s">
        <v>83</v>
      </c>
      <c r="AH222" s="179" t="s">
        <v>83</v>
      </c>
      <c r="AI222" s="179" t="s">
        <v>83</v>
      </c>
      <c r="AJ222" s="180">
        <v>1</v>
      </c>
      <c r="AK222" s="180">
        <v>2</v>
      </c>
      <c r="AL222" s="181">
        <v>3.36</v>
      </c>
      <c r="AM222" s="181">
        <v>2.7E-2</v>
      </c>
      <c r="AN222" s="181">
        <v>3</v>
      </c>
      <c r="AQ222" s="182">
        <f>AM222*I222+AL222</f>
        <v>3.4598999999999998</v>
      </c>
      <c r="AR222" s="182">
        <f t="shared" ref="AR222:AR227" si="242">0.1*AQ222</f>
        <v>0.34599000000000002</v>
      </c>
      <c r="AS222" s="183">
        <f t="shared" ref="AS222:AS227" si="243">AJ222*3+0.25*AK222</f>
        <v>3.5</v>
      </c>
      <c r="AT222" s="183">
        <f t="shared" ref="AT222:AT227" si="244">SUM(AQ222:AS222)/4</f>
        <v>1.8264724999999999</v>
      </c>
      <c r="AU222" s="182">
        <f>10068.2*J222*POWER(10,-6)</f>
        <v>3.7252340000000002E-2</v>
      </c>
      <c r="AV222" s="183">
        <f t="shared" ref="AV222:AV227" si="245">AU222+AT222+AS222+AR222+AQ222</f>
        <v>9.1696148399999995</v>
      </c>
      <c r="AW222" s="184">
        <f t="shared" ref="AW222:AW227" si="246">AJ222*H222</f>
        <v>9.9999999999999995E-8</v>
      </c>
      <c r="AX222" s="184">
        <f t="shared" ref="AX222:AX227" si="247">H222*AK222</f>
        <v>1.9999999999999999E-7</v>
      </c>
      <c r="AY222" s="184">
        <f t="shared" ref="AY222:AY227" si="248">H222*AV222</f>
        <v>9.169614839999999E-7</v>
      </c>
      <c r="AZ222" s="227">
        <v>1</v>
      </c>
      <c r="BA222" s="227">
        <v>1</v>
      </c>
    </row>
    <row r="223" spans="1:53" s="179" customFormat="1" ht="15" thickBot="1" x14ac:dyDescent="0.35">
      <c r="A223" s="169" t="s">
        <v>19</v>
      </c>
      <c r="B223" s="169" t="str">
        <f>B222</f>
        <v>Сборник дренажный V-404N</v>
      </c>
      <c r="C223" s="171" t="s">
        <v>197</v>
      </c>
      <c r="D223" s="172" t="s">
        <v>62</v>
      </c>
      <c r="E223" s="185">
        <f>E222</f>
        <v>9.9999999999999995E-7</v>
      </c>
      <c r="F223" s="186">
        <f>F222</f>
        <v>1</v>
      </c>
      <c r="G223" s="169">
        <v>0.18000000000000002</v>
      </c>
      <c r="H223" s="174">
        <f t="shared" si="239"/>
        <v>1.8000000000000002E-7</v>
      </c>
      <c r="I223" s="187">
        <f>I222</f>
        <v>3.7</v>
      </c>
      <c r="J223" s="188">
        <v>0.4</v>
      </c>
      <c r="K223" s="177" t="s">
        <v>176</v>
      </c>
      <c r="L223" s="178">
        <v>0</v>
      </c>
      <c r="M223" s="179" t="str">
        <f t="shared" si="240"/>
        <v>С2</v>
      </c>
      <c r="N223" s="179" t="str">
        <f t="shared" si="240"/>
        <v>Сборник дренажный V-404N</v>
      </c>
      <c r="O223" s="179" t="str">
        <f t="shared" si="241"/>
        <v>Полное-взрыв</v>
      </c>
      <c r="P223" s="179" t="s">
        <v>83</v>
      </c>
      <c r="Q223" s="179" t="s">
        <v>83</v>
      </c>
      <c r="R223" s="179" t="s">
        <v>83</v>
      </c>
      <c r="S223" s="179" t="s">
        <v>83</v>
      </c>
      <c r="T223" s="179">
        <v>0</v>
      </c>
      <c r="U223" s="179">
        <v>0</v>
      </c>
      <c r="V223" s="179">
        <v>56.1</v>
      </c>
      <c r="W223" s="179">
        <v>186.1</v>
      </c>
      <c r="X223" s="179">
        <v>484.6</v>
      </c>
      <c r="Y223" s="179" t="s">
        <v>83</v>
      </c>
      <c r="Z223" s="179" t="s">
        <v>83</v>
      </c>
      <c r="AA223" s="179" t="s">
        <v>83</v>
      </c>
      <c r="AB223" s="179" t="s">
        <v>83</v>
      </c>
      <c r="AC223" s="179" t="s">
        <v>83</v>
      </c>
      <c r="AD223" s="179" t="s">
        <v>83</v>
      </c>
      <c r="AE223" s="179" t="s">
        <v>83</v>
      </c>
      <c r="AF223" s="179" t="s">
        <v>83</v>
      </c>
      <c r="AG223" s="179" t="s">
        <v>83</v>
      </c>
      <c r="AH223" s="179" t="s">
        <v>83</v>
      </c>
      <c r="AI223" s="179" t="s">
        <v>83</v>
      </c>
      <c r="AJ223" s="180">
        <v>2</v>
      </c>
      <c r="AK223" s="180">
        <v>2</v>
      </c>
      <c r="AL223" s="179">
        <f>AL222</f>
        <v>3.36</v>
      </c>
      <c r="AM223" s="179">
        <f>AM222</f>
        <v>2.7E-2</v>
      </c>
      <c r="AN223" s="179">
        <f>AN222</f>
        <v>3</v>
      </c>
      <c r="AQ223" s="182">
        <f>AM223*I223+AL223</f>
        <v>3.4598999999999998</v>
      </c>
      <c r="AR223" s="182">
        <f t="shared" si="242"/>
        <v>0.34599000000000002</v>
      </c>
      <c r="AS223" s="183">
        <f t="shared" si="243"/>
        <v>6.5</v>
      </c>
      <c r="AT223" s="183">
        <f t="shared" si="244"/>
        <v>2.5764724999999999</v>
      </c>
      <c r="AU223" s="182">
        <f>10068.2*J223*POWER(10,-6)*10</f>
        <v>4.0272800000000004E-2</v>
      </c>
      <c r="AV223" s="183">
        <f t="shared" si="245"/>
        <v>12.9226353</v>
      </c>
      <c r="AW223" s="184">
        <f t="shared" si="246"/>
        <v>3.6000000000000005E-7</v>
      </c>
      <c r="AX223" s="184">
        <f t="shared" si="247"/>
        <v>3.6000000000000005E-7</v>
      </c>
      <c r="AY223" s="184">
        <f t="shared" si="248"/>
        <v>2.3260743540000004E-6</v>
      </c>
      <c r="AZ223" s="227">
        <v>1</v>
      </c>
      <c r="BA223" s="227">
        <v>1</v>
      </c>
    </row>
    <row r="224" spans="1:53" s="179" customFormat="1" x14ac:dyDescent="0.3">
      <c r="A224" s="169" t="s">
        <v>20</v>
      </c>
      <c r="B224" s="169" t="str">
        <f>B222</f>
        <v>Сборник дренажный V-404N</v>
      </c>
      <c r="C224" s="171" t="s">
        <v>198</v>
      </c>
      <c r="D224" s="172" t="s">
        <v>60</v>
      </c>
      <c r="E224" s="185">
        <f>E222</f>
        <v>9.9999999999999995E-7</v>
      </c>
      <c r="F224" s="186">
        <f>F222</f>
        <v>1</v>
      </c>
      <c r="G224" s="169">
        <v>0.72000000000000008</v>
      </c>
      <c r="H224" s="174">
        <f t="shared" si="239"/>
        <v>7.2000000000000009E-7</v>
      </c>
      <c r="I224" s="187">
        <f>I222</f>
        <v>3.7</v>
      </c>
      <c r="J224" s="189">
        <v>0</v>
      </c>
      <c r="K224" s="177" t="s">
        <v>177</v>
      </c>
      <c r="L224" s="178">
        <v>0</v>
      </c>
      <c r="M224" s="179" t="str">
        <f t="shared" si="240"/>
        <v>С3</v>
      </c>
      <c r="N224" s="179" t="str">
        <f t="shared" si="240"/>
        <v>Сборник дренажный V-404N</v>
      </c>
      <c r="O224" s="179" t="str">
        <f t="shared" si="241"/>
        <v>Полное-ликвидация</v>
      </c>
      <c r="P224" s="179" t="s">
        <v>83</v>
      </c>
      <c r="Q224" s="179" t="s">
        <v>83</v>
      </c>
      <c r="R224" s="179" t="s">
        <v>83</v>
      </c>
      <c r="S224" s="179" t="s">
        <v>83</v>
      </c>
      <c r="T224" s="179" t="s">
        <v>83</v>
      </c>
      <c r="U224" s="179" t="s">
        <v>83</v>
      </c>
      <c r="V224" s="179" t="s">
        <v>83</v>
      </c>
      <c r="W224" s="179" t="s">
        <v>83</v>
      </c>
      <c r="X224" s="179" t="s">
        <v>83</v>
      </c>
      <c r="Y224" s="179" t="s">
        <v>83</v>
      </c>
      <c r="Z224" s="179" t="s">
        <v>83</v>
      </c>
      <c r="AA224" s="179" t="s">
        <v>83</v>
      </c>
      <c r="AB224" s="179" t="s">
        <v>83</v>
      </c>
      <c r="AC224" s="179" t="s">
        <v>83</v>
      </c>
      <c r="AD224" s="179" t="s">
        <v>83</v>
      </c>
      <c r="AE224" s="179" t="s">
        <v>83</v>
      </c>
      <c r="AF224" s="179" t="s">
        <v>83</v>
      </c>
      <c r="AG224" s="179" t="s">
        <v>83</v>
      </c>
      <c r="AH224" s="179" t="s">
        <v>83</v>
      </c>
      <c r="AI224" s="179" t="s">
        <v>83</v>
      </c>
      <c r="AJ224" s="179">
        <v>0</v>
      </c>
      <c r="AK224" s="179">
        <v>0</v>
      </c>
      <c r="AL224" s="179">
        <f>AL222</f>
        <v>3.36</v>
      </c>
      <c r="AM224" s="179">
        <f>AM222</f>
        <v>2.7E-2</v>
      </c>
      <c r="AN224" s="179">
        <f>AN222</f>
        <v>3</v>
      </c>
      <c r="AQ224" s="182">
        <f>AM224*I224*0.1+AL224</f>
        <v>3.36999</v>
      </c>
      <c r="AR224" s="182">
        <f t="shared" si="242"/>
        <v>0.33699900000000005</v>
      </c>
      <c r="AS224" s="183">
        <f t="shared" si="243"/>
        <v>0</v>
      </c>
      <c r="AT224" s="183">
        <f t="shared" si="244"/>
        <v>0.92674725000000002</v>
      </c>
      <c r="AU224" s="182">
        <f>1333*J223*POWER(10,-6)</f>
        <v>5.3320000000000006E-4</v>
      </c>
      <c r="AV224" s="183">
        <f t="shared" si="245"/>
        <v>4.6342694499999997</v>
      </c>
      <c r="AW224" s="184">
        <f t="shared" si="246"/>
        <v>0</v>
      </c>
      <c r="AX224" s="184">
        <f t="shared" si="247"/>
        <v>0</v>
      </c>
      <c r="AY224" s="184">
        <f t="shared" si="248"/>
        <v>3.3366740040000003E-6</v>
      </c>
      <c r="AZ224" s="227">
        <v>1</v>
      </c>
      <c r="BA224" s="227">
        <v>1</v>
      </c>
    </row>
    <row r="225" spans="1:53" s="179" customFormat="1" x14ac:dyDescent="0.3">
      <c r="A225" s="169" t="s">
        <v>21</v>
      </c>
      <c r="B225" s="169" t="str">
        <f>B222</f>
        <v>Сборник дренажный V-404N</v>
      </c>
      <c r="C225" s="171" t="s">
        <v>199</v>
      </c>
      <c r="D225" s="172" t="s">
        <v>84</v>
      </c>
      <c r="E225" s="173">
        <v>1.0000000000000001E-5</v>
      </c>
      <c r="F225" s="186">
        <f>F222</f>
        <v>1</v>
      </c>
      <c r="G225" s="169">
        <v>0.1</v>
      </c>
      <c r="H225" s="174">
        <f t="shared" si="239"/>
        <v>1.0000000000000002E-6</v>
      </c>
      <c r="I225" s="187">
        <f>0.15*I222</f>
        <v>0.55500000000000005</v>
      </c>
      <c r="J225" s="176">
        <f>I225</f>
        <v>0.55500000000000005</v>
      </c>
      <c r="K225" s="190" t="s">
        <v>179</v>
      </c>
      <c r="L225" s="191">
        <v>45390</v>
      </c>
      <c r="M225" s="179" t="str">
        <f t="shared" si="240"/>
        <v>С4</v>
      </c>
      <c r="N225" s="179" t="str">
        <f t="shared" si="240"/>
        <v>Сборник дренажный V-404N</v>
      </c>
      <c r="O225" s="179" t="str">
        <f t="shared" si="241"/>
        <v>Частичное-пожар</v>
      </c>
      <c r="P225" s="179">
        <v>11.8</v>
      </c>
      <c r="Q225" s="179">
        <v>14.7</v>
      </c>
      <c r="R225" s="179">
        <v>19</v>
      </c>
      <c r="S225" s="179">
        <v>31.8</v>
      </c>
      <c r="T225" s="179" t="s">
        <v>83</v>
      </c>
      <c r="U225" s="179" t="s">
        <v>83</v>
      </c>
      <c r="V225" s="179" t="s">
        <v>83</v>
      </c>
      <c r="W225" s="179" t="s">
        <v>83</v>
      </c>
      <c r="X225" s="179" t="s">
        <v>83</v>
      </c>
      <c r="Y225" s="179" t="s">
        <v>83</v>
      </c>
      <c r="Z225" s="179" t="s">
        <v>83</v>
      </c>
      <c r="AA225" s="179" t="s">
        <v>83</v>
      </c>
      <c r="AB225" s="179" t="s">
        <v>83</v>
      </c>
      <c r="AC225" s="179" t="s">
        <v>83</v>
      </c>
      <c r="AD225" s="179" t="s">
        <v>83</v>
      </c>
      <c r="AE225" s="179" t="s">
        <v>83</v>
      </c>
      <c r="AF225" s="179" t="s">
        <v>83</v>
      </c>
      <c r="AG225" s="179" t="s">
        <v>83</v>
      </c>
      <c r="AH225" s="179" t="s">
        <v>83</v>
      </c>
      <c r="AI225" s="179" t="s">
        <v>83</v>
      </c>
      <c r="AJ225" s="179">
        <v>0</v>
      </c>
      <c r="AK225" s="179">
        <v>2</v>
      </c>
      <c r="AL225" s="179">
        <f>0.1*AL222</f>
        <v>0.33600000000000002</v>
      </c>
      <c r="AM225" s="179">
        <f>AM222</f>
        <v>2.7E-2</v>
      </c>
      <c r="AN225" s="179">
        <f>ROUNDUP(AN222/3,0)</f>
        <v>1</v>
      </c>
      <c r="AQ225" s="182">
        <f>AM225*I225+AL225</f>
        <v>0.35098500000000005</v>
      </c>
      <c r="AR225" s="182">
        <f t="shared" si="242"/>
        <v>3.5098500000000005E-2</v>
      </c>
      <c r="AS225" s="183">
        <f t="shared" si="243"/>
        <v>0.5</v>
      </c>
      <c r="AT225" s="183">
        <f t="shared" si="244"/>
        <v>0.22152087500000001</v>
      </c>
      <c r="AU225" s="182">
        <f>10068.2*J225*POWER(10,-6)</f>
        <v>5.5878510000000004E-3</v>
      </c>
      <c r="AV225" s="183">
        <f t="shared" si="245"/>
        <v>1.113192226</v>
      </c>
      <c r="AW225" s="184">
        <f t="shared" si="246"/>
        <v>0</v>
      </c>
      <c r="AX225" s="184">
        <f t="shared" si="247"/>
        <v>2.0000000000000003E-6</v>
      </c>
      <c r="AY225" s="184">
        <f t="shared" si="248"/>
        <v>1.1131922260000002E-6</v>
      </c>
      <c r="AZ225" s="227">
        <v>1</v>
      </c>
      <c r="BA225" s="227">
        <v>1</v>
      </c>
    </row>
    <row r="226" spans="1:53" s="179" customFormat="1" x14ac:dyDescent="0.3">
      <c r="A226" s="169" t="s">
        <v>22</v>
      </c>
      <c r="B226" s="169" t="str">
        <f>B222</f>
        <v>Сборник дренажный V-404N</v>
      </c>
      <c r="C226" s="171" t="s">
        <v>200</v>
      </c>
      <c r="D226" s="172" t="s">
        <v>165</v>
      </c>
      <c r="E226" s="185">
        <f>E225</f>
        <v>1.0000000000000001E-5</v>
      </c>
      <c r="F226" s="186">
        <f>F222</f>
        <v>1</v>
      </c>
      <c r="G226" s="169">
        <v>4.5000000000000005E-2</v>
      </c>
      <c r="H226" s="174">
        <f t="shared" si="239"/>
        <v>4.5000000000000009E-7</v>
      </c>
      <c r="I226" s="187">
        <f>0.15*I222</f>
        <v>0.55500000000000005</v>
      </c>
      <c r="J226" s="176">
        <f>0.15*J223</f>
        <v>0.06</v>
      </c>
      <c r="K226" s="190" t="s">
        <v>180</v>
      </c>
      <c r="L226" s="191">
        <v>3</v>
      </c>
      <c r="M226" s="179" t="str">
        <f t="shared" si="240"/>
        <v>С5</v>
      </c>
      <c r="N226" s="179" t="str">
        <f t="shared" si="240"/>
        <v>Сборник дренажный V-404N</v>
      </c>
      <c r="O226" s="179" t="str">
        <f t="shared" si="241"/>
        <v>Частичное-пожар-вспышка</v>
      </c>
      <c r="P226" s="179" t="s">
        <v>83</v>
      </c>
      <c r="Q226" s="179" t="s">
        <v>83</v>
      </c>
      <c r="R226" s="179" t="s">
        <v>83</v>
      </c>
      <c r="S226" s="179" t="s">
        <v>83</v>
      </c>
      <c r="T226" s="179" t="s">
        <v>83</v>
      </c>
      <c r="U226" s="179" t="s">
        <v>83</v>
      </c>
      <c r="V226" s="179" t="s">
        <v>83</v>
      </c>
      <c r="W226" s="179" t="s">
        <v>83</v>
      </c>
      <c r="X226" s="179" t="s">
        <v>83</v>
      </c>
      <c r="Y226" s="179" t="s">
        <v>83</v>
      </c>
      <c r="Z226" s="179" t="s">
        <v>83</v>
      </c>
      <c r="AA226" s="179">
        <v>13.25</v>
      </c>
      <c r="AB226" s="179">
        <v>15.9</v>
      </c>
      <c r="AC226" s="179" t="s">
        <v>83</v>
      </c>
      <c r="AD226" s="179" t="s">
        <v>83</v>
      </c>
      <c r="AE226" s="179" t="s">
        <v>83</v>
      </c>
      <c r="AF226" s="179" t="s">
        <v>83</v>
      </c>
      <c r="AG226" s="179" t="s">
        <v>83</v>
      </c>
      <c r="AH226" s="179" t="s">
        <v>83</v>
      </c>
      <c r="AI226" s="179" t="s">
        <v>83</v>
      </c>
      <c r="AJ226" s="179">
        <v>0</v>
      </c>
      <c r="AK226" s="179">
        <v>1</v>
      </c>
      <c r="AL226" s="179">
        <f t="shared" ref="AL226:AL227" si="249">0.1*AL223</f>
        <v>0.33600000000000002</v>
      </c>
      <c r="AM226" s="179">
        <f>AM222</f>
        <v>2.7E-2</v>
      </c>
      <c r="AN226" s="179">
        <f>ROUNDUP(AN222/3,0)</f>
        <v>1</v>
      </c>
      <c r="AQ226" s="182">
        <f>AM226*I226+AL226</f>
        <v>0.35098500000000005</v>
      </c>
      <c r="AR226" s="182">
        <f t="shared" si="242"/>
        <v>3.5098500000000005E-2</v>
      </c>
      <c r="AS226" s="183">
        <f t="shared" si="243"/>
        <v>0.25</v>
      </c>
      <c r="AT226" s="183">
        <f t="shared" si="244"/>
        <v>0.15902087500000001</v>
      </c>
      <c r="AU226" s="182">
        <f>10068.2*J226*POWER(10,-6)*10</f>
        <v>6.04092E-3</v>
      </c>
      <c r="AV226" s="183">
        <f t="shared" si="245"/>
        <v>0.80114529499999998</v>
      </c>
      <c r="AW226" s="184">
        <f t="shared" si="246"/>
        <v>0</v>
      </c>
      <c r="AX226" s="184">
        <f t="shared" si="247"/>
        <v>4.5000000000000009E-7</v>
      </c>
      <c r="AY226" s="184">
        <f t="shared" si="248"/>
        <v>3.6051538275000006E-7</v>
      </c>
      <c r="AZ226" s="227">
        <v>1</v>
      </c>
      <c r="BA226" s="227">
        <v>1</v>
      </c>
    </row>
    <row r="227" spans="1:53" s="179" customFormat="1" ht="15" thickBot="1" x14ac:dyDescent="0.35">
      <c r="A227" s="169" t="s">
        <v>23</v>
      </c>
      <c r="B227" s="169" t="str">
        <f>B222</f>
        <v>Сборник дренажный V-404N</v>
      </c>
      <c r="C227" s="171" t="s">
        <v>201</v>
      </c>
      <c r="D227" s="172" t="s">
        <v>61</v>
      </c>
      <c r="E227" s="185">
        <f>E225</f>
        <v>1.0000000000000001E-5</v>
      </c>
      <c r="F227" s="186">
        <f>F222</f>
        <v>1</v>
      </c>
      <c r="G227" s="169">
        <v>0.85499999999999998</v>
      </c>
      <c r="H227" s="174">
        <f t="shared" si="239"/>
        <v>8.5500000000000011E-6</v>
      </c>
      <c r="I227" s="187">
        <f>0.15*I222</f>
        <v>0.55500000000000005</v>
      </c>
      <c r="J227" s="189">
        <v>0</v>
      </c>
      <c r="K227" s="192" t="s">
        <v>191</v>
      </c>
      <c r="L227" s="192">
        <v>9</v>
      </c>
      <c r="M227" s="179" t="str">
        <f t="shared" si="240"/>
        <v>С6</v>
      </c>
      <c r="N227" s="179" t="str">
        <f t="shared" si="240"/>
        <v>Сборник дренажный V-404N</v>
      </c>
      <c r="O227" s="179" t="str">
        <f t="shared" si="241"/>
        <v>Частичное-ликвидация</v>
      </c>
      <c r="P227" s="179" t="s">
        <v>83</v>
      </c>
      <c r="Q227" s="179" t="s">
        <v>83</v>
      </c>
      <c r="R227" s="179" t="s">
        <v>83</v>
      </c>
      <c r="S227" s="179" t="s">
        <v>83</v>
      </c>
      <c r="T227" s="179" t="s">
        <v>83</v>
      </c>
      <c r="U227" s="179" t="s">
        <v>83</v>
      </c>
      <c r="V227" s="179" t="s">
        <v>83</v>
      </c>
      <c r="W227" s="179" t="s">
        <v>83</v>
      </c>
      <c r="X227" s="179" t="s">
        <v>83</v>
      </c>
      <c r="Y227" s="179" t="s">
        <v>83</v>
      </c>
      <c r="Z227" s="179" t="s">
        <v>83</v>
      </c>
      <c r="AA227" s="179" t="s">
        <v>83</v>
      </c>
      <c r="AB227" s="179" t="s">
        <v>83</v>
      </c>
      <c r="AC227" s="179" t="s">
        <v>83</v>
      </c>
      <c r="AD227" s="179" t="s">
        <v>83</v>
      </c>
      <c r="AE227" s="179" t="s">
        <v>83</v>
      </c>
      <c r="AF227" s="179" t="s">
        <v>83</v>
      </c>
      <c r="AG227" s="179" t="s">
        <v>83</v>
      </c>
      <c r="AH227" s="179" t="s">
        <v>83</v>
      </c>
      <c r="AI227" s="179" t="s">
        <v>83</v>
      </c>
      <c r="AJ227" s="179">
        <v>0</v>
      </c>
      <c r="AK227" s="179">
        <v>0</v>
      </c>
      <c r="AL227" s="179">
        <f t="shared" si="249"/>
        <v>0.33600000000000002</v>
      </c>
      <c r="AM227" s="179">
        <f>AM222</f>
        <v>2.7E-2</v>
      </c>
      <c r="AN227" s="179">
        <f>ROUNDUP(AN222/3,0)</f>
        <v>1</v>
      </c>
      <c r="AQ227" s="182">
        <f>AM227*I227*0.1+AL227</f>
        <v>0.33749850000000003</v>
      </c>
      <c r="AR227" s="182">
        <f t="shared" si="242"/>
        <v>3.3749850000000005E-2</v>
      </c>
      <c r="AS227" s="183">
        <f t="shared" si="243"/>
        <v>0</v>
      </c>
      <c r="AT227" s="183">
        <f t="shared" si="244"/>
        <v>9.2812087500000015E-2</v>
      </c>
      <c r="AU227" s="182">
        <f>1333*J226*POWER(10,-6)</f>
        <v>7.9980000000000003E-5</v>
      </c>
      <c r="AV227" s="183">
        <f t="shared" si="245"/>
        <v>0.46414041750000001</v>
      </c>
      <c r="AW227" s="184">
        <f t="shared" si="246"/>
        <v>0</v>
      </c>
      <c r="AX227" s="184">
        <f t="shared" si="247"/>
        <v>0</v>
      </c>
      <c r="AY227" s="184">
        <f t="shared" si="248"/>
        <v>3.9684005696250009E-6</v>
      </c>
      <c r="AZ227" s="227">
        <v>1</v>
      </c>
      <c r="BA227" s="227">
        <v>1</v>
      </c>
    </row>
    <row r="228" spans="1:53" s="179" customFormat="1" x14ac:dyDescent="0.3">
      <c r="A228" s="180"/>
      <c r="B228" s="180"/>
      <c r="D228" s="271"/>
      <c r="E228" s="272"/>
      <c r="F228" s="273"/>
      <c r="G228" s="180"/>
      <c r="H228" s="184"/>
      <c r="I228" s="183"/>
      <c r="J228" s="180"/>
      <c r="K228" s="180"/>
      <c r="L228" s="180"/>
      <c r="P228" s="179" t="s">
        <v>83</v>
      </c>
      <c r="Q228" s="179" t="s">
        <v>83</v>
      </c>
      <c r="R228" s="179" t="s">
        <v>83</v>
      </c>
      <c r="S228" s="179" t="s">
        <v>83</v>
      </c>
      <c r="T228" s="179" t="s">
        <v>83</v>
      </c>
      <c r="U228" s="179" t="s">
        <v>83</v>
      </c>
      <c r="V228" s="179" t="s">
        <v>83</v>
      </c>
      <c r="W228" s="179" t="s">
        <v>83</v>
      </c>
      <c r="X228" s="179" t="s">
        <v>83</v>
      </c>
      <c r="Y228" s="179" t="s">
        <v>83</v>
      </c>
      <c r="Z228" s="179" t="s">
        <v>83</v>
      </c>
      <c r="AA228" s="179" t="s">
        <v>83</v>
      </c>
      <c r="AB228" s="179" t="s">
        <v>83</v>
      </c>
      <c r="AC228" s="179" t="s">
        <v>83</v>
      </c>
      <c r="AD228" s="179" t="s">
        <v>83</v>
      </c>
      <c r="AE228" s="179" t="s">
        <v>83</v>
      </c>
      <c r="AF228" s="179" t="s">
        <v>83</v>
      </c>
      <c r="AG228" s="179" t="s">
        <v>83</v>
      </c>
      <c r="AH228" s="179" t="s">
        <v>83</v>
      </c>
      <c r="AI228" s="179" t="s">
        <v>83</v>
      </c>
      <c r="AQ228" s="182"/>
      <c r="AR228" s="182"/>
      <c r="AS228" s="183"/>
      <c r="AT228" s="183"/>
      <c r="AU228" s="182"/>
      <c r="AV228" s="183"/>
      <c r="AW228" s="184"/>
      <c r="AX228" s="184"/>
      <c r="AY228" s="184"/>
      <c r="AZ228" s="227">
        <v>1</v>
      </c>
      <c r="BA228" s="227">
        <v>1</v>
      </c>
    </row>
    <row r="229" spans="1:53" s="179" customFormat="1" x14ac:dyDescent="0.3">
      <c r="A229" s="180"/>
      <c r="B229" s="180"/>
      <c r="D229" s="271"/>
      <c r="E229" s="272"/>
      <c r="F229" s="273"/>
      <c r="G229" s="180"/>
      <c r="H229" s="184"/>
      <c r="I229" s="183"/>
      <c r="J229" s="180"/>
      <c r="K229" s="180"/>
      <c r="L229" s="180"/>
      <c r="P229" s="179" t="s">
        <v>83</v>
      </c>
      <c r="Q229" s="179" t="s">
        <v>83</v>
      </c>
      <c r="R229" s="179" t="s">
        <v>83</v>
      </c>
      <c r="S229" s="179" t="s">
        <v>83</v>
      </c>
      <c r="T229" s="179" t="s">
        <v>83</v>
      </c>
      <c r="U229" s="179" t="s">
        <v>83</v>
      </c>
      <c r="V229" s="179" t="s">
        <v>83</v>
      </c>
      <c r="W229" s="179" t="s">
        <v>83</v>
      </c>
      <c r="X229" s="179" t="s">
        <v>83</v>
      </c>
      <c r="Y229" s="179" t="s">
        <v>83</v>
      </c>
      <c r="Z229" s="179" t="s">
        <v>83</v>
      </c>
      <c r="AA229" s="179" t="s">
        <v>83</v>
      </c>
      <c r="AB229" s="179" t="s">
        <v>83</v>
      </c>
      <c r="AC229" s="179" t="s">
        <v>83</v>
      </c>
      <c r="AD229" s="179" t="s">
        <v>83</v>
      </c>
      <c r="AE229" s="179" t="s">
        <v>83</v>
      </c>
      <c r="AF229" s="179" t="s">
        <v>83</v>
      </c>
      <c r="AG229" s="179" t="s">
        <v>83</v>
      </c>
      <c r="AH229" s="179" t="s">
        <v>83</v>
      </c>
      <c r="AI229" s="179" t="s">
        <v>83</v>
      </c>
      <c r="AQ229" s="182"/>
      <c r="AR229" s="182"/>
      <c r="AS229" s="183"/>
      <c r="AT229" s="183"/>
      <c r="AU229" s="182"/>
      <c r="AV229" s="183"/>
      <c r="AW229" s="184"/>
      <c r="AX229" s="184"/>
      <c r="AY229" s="184"/>
      <c r="AZ229" s="227">
        <v>1</v>
      </c>
      <c r="BA229" s="227">
        <v>1</v>
      </c>
    </row>
    <row r="230" spans="1:53" s="179" customFormat="1" x14ac:dyDescent="0.3">
      <c r="A230" s="180"/>
      <c r="B230" s="180"/>
      <c r="D230" s="271"/>
      <c r="E230" s="272"/>
      <c r="F230" s="273"/>
      <c r="G230" s="180"/>
      <c r="H230" s="184"/>
      <c r="I230" s="183"/>
      <c r="J230" s="180"/>
      <c r="K230" s="180"/>
      <c r="L230" s="180"/>
      <c r="P230" s="179" t="s">
        <v>83</v>
      </c>
      <c r="Q230" s="179" t="s">
        <v>83</v>
      </c>
      <c r="R230" s="179" t="s">
        <v>83</v>
      </c>
      <c r="S230" s="179" t="s">
        <v>83</v>
      </c>
      <c r="T230" s="179" t="s">
        <v>83</v>
      </c>
      <c r="U230" s="179" t="s">
        <v>83</v>
      </c>
      <c r="V230" s="179" t="s">
        <v>83</v>
      </c>
      <c r="W230" s="179" t="s">
        <v>83</v>
      </c>
      <c r="X230" s="179" t="s">
        <v>83</v>
      </c>
      <c r="Y230" s="179" t="s">
        <v>83</v>
      </c>
      <c r="Z230" s="179" t="s">
        <v>83</v>
      </c>
      <c r="AA230" s="179" t="s">
        <v>83</v>
      </c>
      <c r="AB230" s="179" t="s">
        <v>83</v>
      </c>
      <c r="AC230" s="179" t="s">
        <v>83</v>
      </c>
      <c r="AD230" s="179" t="s">
        <v>83</v>
      </c>
      <c r="AE230" s="179" t="s">
        <v>83</v>
      </c>
      <c r="AF230" s="179" t="s">
        <v>83</v>
      </c>
      <c r="AG230" s="179" t="s">
        <v>83</v>
      </c>
      <c r="AH230" s="179" t="s">
        <v>83</v>
      </c>
      <c r="AI230" s="179" t="s">
        <v>83</v>
      </c>
      <c r="AQ230" s="182"/>
      <c r="AR230" s="182"/>
      <c r="AS230" s="183"/>
      <c r="AT230" s="183"/>
      <c r="AU230" s="182"/>
      <c r="AV230" s="183"/>
      <c r="AW230" s="184"/>
      <c r="AX230" s="184"/>
      <c r="AY230" s="184"/>
      <c r="AZ230" s="227">
        <v>1</v>
      </c>
      <c r="BA230" s="227">
        <v>1</v>
      </c>
    </row>
    <row r="231" spans="1:53" ht="15" thickBot="1" x14ac:dyDescent="0.35">
      <c r="P231" t="s">
        <v>83</v>
      </c>
      <c r="Q231" t="s">
        <v>83</v>
      </c>
      <c r="R231" t="s">
        <v>83</v>
      </c>
      <c r="S231" t="s">
        <v>83</v>
      </c>
      <c r="T231" t="s">
        <v>83</v>
      </c>
      <c r="U231" t="s">
        <v>83</v>
      </c>
      <c r="V231" t="s">
        <v>83</v>
      </c>
      <c r="W231" t="s">
        <v>83</v>
      </c>
      <c r="X231" t="s">
        <v>83</v>
      </c>
      <c r="Y231" t="s">
        <v>83</v>
      </c>
      <c r="Z231" t="s">
        <v>83</v>
      </c>
      <c r="AA231" t="s">
        <v>83</v>
      </c>
      <c r="AB231" t="s">
        <v>83</v>
      </c>
      <c r="AC231" t="s">
        <v>83</v>
      </c>
      <c r="AD231" t="s">
        <v>83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  <c r="AZ231" s="227">
        <v>1</v>
      </c>
      <c r="BA231" s="227">
        <v>1</v>
      </c>
    </row>
    <row r="232" spans="1:53" ht="18" customHeight="1" x14ac:dyDescent="0.3">
      <c r="A232" s="48" t="s">
        <v>18</v>
      </c>
      <c r="B232" s="150" t="s">
        <v>443</v>
      </c>
      <c r="C232" s="166" t="s">
        <v>432</v>
      </c>
      <c r="D232" s="49" t="s">
        <v>183</v>
      </c>
      <c r="E232" s="153">
        <v>9.9999999999999995E-8</v>
      </c>
      <c r="F232" s="150">
        <v>1</v>
      </c>
      <c r="G232" s="48">
        <v>0.2</v>
      </c>
      <c r="H232" s="50">
        <f>E232*F232*G232</f>
        <v>2E-8</v>
      </c>
      <c r="I232" s="151">
        <v>0.57999999999999996</v>
      </c>
      <c r="J232" s="156">
        <f>I232</f>
        <v>0.57999999999999996</v>
      </c>
      <c r="K232" s="159" t="s">
        <v>175</v>
      </c>
      <c r="L232" s="164">
        <v>0</v>
      </c>
      <c r="M232" s="92" t="str">
        <f t="shared" ref="M232:N239" si="250">A232</f>
        <v>С1</v>
      </c>
      <c r="N232" s="92" t="str">
        <f t="shared" si="250"/>
        <v>Конвектор трехступенчатый R- 401AN;BN;CN</v>
      </c>
      <c r="O232" s="92" t="str">
        <f t="shared" ref="O232:O239" si="251">D232</f>
        <v>Полное-факел</v>
      </c>
      <c r="P232" s="92" t="s">
        <v>83</v>
      </c>
      <c r="Q232" s="92" t="s">
        <v>83</v>
      </c>
      <c r="R232" s="92" t="s">
        <v>83</v>
      </c>
      <c r="S232" s="92" t="s">
        <v>83</v>
      </c>
      <c r="T232" s="92" t="s">
        <v>83</v>
      </c>
      <c r="U232" s="92" t="s">
        <v>83</v>
      </c>
      <c r="V232" s="92" t="s">
        <v>83</v>
      </c>
      <c r="W232" s="92" t="s">
        <v>83</v>
      </c>
      <c r="X232" s="92" t="s">
        <v>83</v>
      </c>
      <c r="Y232" s="92">
        <v>27</v>
      </c>
      <c r="Z232" s="92">
        <v>5</v>
      </c>
      <c r="AA232" s="92" t="s">
        <v>83</v>
      </c>
      <c r="AB232" s="92" t="s">
        <v>83</v>
      </c>
      <c r="AC232" s="92" t="s">
        <v>83</v>
      </c>
      <c r="AD232" s="92" t="s">
        <v>83</v>
      </c>
      <c r="AE232" s="92" t="s">
        <v>83</v>
      </c>
      <c r="AF232" s="92" t="s">
        <v>83</v>
      </c>
      <c r="AG232" s="92" t="s">
        <v>83</v>
      </c>
      <c r="AH232" s="92" t="s">
        <v>83</v>
      </c>
      <c r="AI232" t="s">
        <v>83</v>
      </c>
      <c r="AJ232" s="52">
        <v>2</v>
      </c>
      <c r="AK232" s="52">
        <v>3</v>
      </c>
      <c r="AL232" s="152">
        <v>3.3</v>
      </c>
      <c r="AM232" s="152">
        <v>2.7E-2</v>
      </c>
      <c r="AN232" s="152">
        <v>6</v>
      </c>
      <c r="AO232" s="92"/>
      <c r="AP232" s="92"/>
      <c r="AQ232" s="93">
        <f>AM232*I232+AL232</f>
        <v>3.3156599999999998</v>
      </c>
      <c r="AR232" s="93">
        <f>0.1*AQ232</f>
        <v>0.33156600000000003</v>
      </c>
      <c r="AS232" s="94">
        <f>AJ232*3+0.25*AK232</f>
        <v>6.75</v>
      </c>
      <c r="AT232" s="94">
        <f>SUM(AQ232:AS232)/4</f>
        <v>2.5993065</v>
      </c>
      <c r="AU232" s="93">
        <f>10068.2*J232*POWER(10,-6)</f>
        <v>5.8395559999999992E-3</v>
      </c>
      <c r="AV232" s="94">
        <f t="shared" ref="AV232:AV239" si="252">AU232+AT232+AS232+AR232+AQ232</f>
        <v>13.002372056</v>
      </c>
      <c r="AW232" s="95">
        <f>AJ232*H232</f>
        <v>4.0000000000000001E-8</v>
      </c>
      <c r="AX232" s="95">
        <f>H232*AK232</f>
        <v>6.0000000000000008E-8</v>
      </c>
      <c r="AY232" s="95">
        <f>H232*AV232</f>
        <v>2.6004744111999999E-7</v>
      </c>
      <c r="AZ232" s="227">
        <v>1</v>
      </c>
      <c r="BA232" s="227">
        <v>1</v>
      </c>
    </row>
    <row r="233" spans="1:53" x14ac:dyDescent="0.3">
      <c r="A233" s="48" t="s">
        <v>19</v>
      </c>
      <c r="B233" s="48" t="str">
        <f>B232</f>
        <v>Конвектор трехступенчатый R- 401AN;BN;CN</v>
      </c>
      <c r="C233" s="166" t="s">
        <v>202</v>
      </c>
      <c r="D233" s="49" t="s">
        <v>62</v>
      </c>
      <c r="E233" s="154">
        <f>E232</f>
        <v>9.9999999999999995E-8</v>
      </c>
      <c r="F233" s="155">
        <f>F232</f>
        <v>1</v>
      </c>
      <c r="G233" s="48">
        <v>0.1152</v>
      </c>
      <c r="H233" s="50">
        <f t="shared" ref="H233:H239" si="253">E233*F233*G233</f>
        <v>1.152E-8</v>
      </c>
      <c r="I233" s="149">
        <f>I232</f>
        <v>0.57999999999999996</v>
      </c>
      <c r="J233" s="167">
        <f>0.067*I232</f>
        <v>3.8859999999999999E-2</v>
      </c>
      <c r="K233" s="161" t="s">
        <v>176</v>
      </c>
      <c r="L233" s="165">
        <v>6</v>
      </c>
      <c r="M233" s="92" t="str">
        <f t="shared" si="250"/>
        <v>С2</v>
      </c>
      <c r="N233" s="92" t="str">
        <f t="shared" si="250"/>
        <v>Конвектор трехступенчатый R- 401AN;BN;CN</v>
      </c>
      <c r="O233" s="92" t="str">
        <f t="shared" si="251"/>
        <v>Полное-взрыв</v>
      </c>
      <c r="P233" s="92" t="s">
        <v>83</v>
      </c>
      <c r="Q233" s="92" t="s">
        <v>83</v>
      </c>
      <c r="R233" s="92" t="s">
        <v>83</v>
      </c>
      <c r="S233" s="92" t="s">
        <v>83</v>
      </c>
      <c r="T233" s="92">
        <v>0</v>
      </c>
      <c r="U233" s="92">
        <v>0</v>
      </c>
      <c r="V233" s="92">
        <v>25.6</v>
      </c>
      <c r="W233" s="92">
        <v>85.6</v>
      </c>
      <c r="X233" s="92">
        <v>223.1</v>
      </c>
      <c r="Y233" s="92" t="s">
        <v>83</v>
      </c>
      <c r="Z233" s="92" t="s">
        <v>83</v>
      </c>
      <c r="AA233" s="92" t="s">
        <v>83</v>
      </c>
      <c r="AB233" s="92" t="s">
        <v>83</v>
      </c>
      <c r="AC233" s="92" t="s">
        <v>83</v>
      </c>
      <c r="AD233" s="92" t="s">
        <v>83</v>
      </c>
      <c r="AE233" s="92" t="s">
        <v>83</v>
      </c>
      <c r="AF233" s="92" t="s">
        <v>83</v>
      </c>
      <c r="AG233" s="92" t="s">
        <v>83</v>
      </c>
      <c r="AH233" s="92" t="s">
        <v>83</v>
      </c>
      <c r="AI233" t="s">
        <v>83</v>
      </c>
      <c r="AJ233" s="52">
        <v>2</v>
      </c>
      <c r="AK233" s="52">
        <v>3</v>
      </c>
      <c r="AL233" s="92">
        <f>AL232</f>
        <v>3.3</v>
      </c>
      <c r="AM233" s="92">
        <f>AM232</f>
        <v>2.7E-2</v>
      </c>
      <c r="AN233" s="92">
        <f>AN232</f>
        <v>6</v>
      </c>
      <c r="AO233" s="92"/>
      <c r="AP233" s="92"/>
      <c r="AQ233" s="93">
        <f>AM233*I233+AL233</f>
        <v>3.3156599999999998</v>
      </c>
      <c r="AR233" s="93">
        <f t="shared" ref="AR233:AR239" si="254">0.1*AQ233</f>
        <v>0.33156600000000003</v>
      </c>
      <c r="AS233" s="94">
        <f t="shared" ref="AS233:AS239" si="255">AJ233*3+0.25*AK233</f>
        <v>6.75</v>
      </c>
      <c r="AT233" s="94">
        <f t="shared" ref="AT233:AT239" si="256">SUM(AQ233:AS233)/4</f>
        <v>2.5993065</v>
      </c>
      <c r="AU233" s="93">
        <f>10068.2*J233*POWER(10,-6)*10</f>
        <v>3.9125025199999997E-3</v>
      </c>
      <c r="AV233" s="94">
        <f t="shared" si="252"/>
        <v>13.000445002519999</v>
      </c>
      <c r="AW233" s="95">
        <f t="shared" ref="AW233:AW239" si="257">AJ233*H233</f>
        <v>2.304E-8</v>
      </c>
      <c r="AX233" s="95">
        <f t="shared" ref="AX233:AX239" si="258">H233*AK233</f>
        <v>3.456E-8</v>
      </c>
      <c r="AY233" s="95">
        <f t="shared" ref="AY233:AY239" si="259">H233*AV233</f>
        <v>1.4976512642903039E-7</v>
      </c>
      <c r="AZ233" s="227">
        <v>1</v>
      </c>
      <c r="BA233" s="227">
        <v>1</v>
      </c>
    </row>
    <row r="234" spans="1:53" x14ac:dyDescent="0.3">
      <c r="A234" s="48" t="s">
        <v>20</v>
      </c>
      <c r="B234" s="48" t="str">
        <f>B232</f>
        <v>Конвектор трехступенчатый R- 401AN;BN;CN</v>
      </c>
      <c r="C234" s="166" t="s">
        <v>433</v>
      </c>
      <c r="D234" s="49" t="s">
        <v>185</v>
      </c>
      <c r="E234" s="154">
        <f>E232</f>
        <v>9.9999999999999995E-8</v>
      </c>
      <c r="F234" s="155">
        <f>F232</f>
        <v>1</v>
      </c>
      <c r="G234" s="48">
        <v>7.6799999999999993E-2</v>
      </c>
      <c r="H234" s="50">
        <f t="shared" si="253"/>
        <v>7.6799999999999983E-9</v>
      </c>
      <c r="I234" s="149">
        <f>I232</f>
        <v>0.57999999999999996</v>
      </c>
      <c r="J234" s="156">
        <f>I232</f>
        <v>0.57999999999999996</v>
      </c>
      <c r="K234" s="161" t="s">
        <v>177</v>
      </c>
      <c r="L234" s="165">
        <v>0</v>
      </c>
      <c r="M234" s="92" t="str">
        <f t="shared" si="250"/>
        <v>С3</v>
      </c>
      <c r="N234" s="92" t="str">
        <f t="shared" si="250"/>
        <v>Конвектор трехступенчатый R- 401AN;BN;CN</v>
      </c>
      <c r="O234" s="92" t="str">
        <f t="shared" si="251"/>
        <v>Полное-вспышка</v>
      </c>
      <c r="P234" s="92" t="s">
        <v>83</v>
      </c>
      <c r="Q234" s="92" t="s">
        <v>83</v>
      </c>
      <c r="R234" s="92" t="s">
        <v>83</v>
      </c>
      <c r="S234" s="92" t="s">
        <v>83</v>
      </c>
      <c r="T234" s="92" t="s">
        <v>83</v>
      </c>
      <c r="U234" s="92" t="s">
        <v>83</v>
      </c>
      <c r="V234" s="92" t="s">
        <v>83</v>
      </c>
      <c r="W234" s="92" t="s">
        <v>83</v>
      </c>
      <c r="X234" s="92" t="s">
        <v>83</v>
      </c>
      <c r="Y234" s="92" t="s">
        <v>83</v>
      </c>
      <c r="Z234" s="92" t="s">
        <v>83</v>
      </c>
      <c r="AA234" s="92">
        <v>28</v>
      </c>
      <c r="AB234" s="92">
        <v>33.6</v>
      </c>
      <c r="AC234" s="92" t="s">
        <v>83</v>
      </c>
      <c r="AD234" s="92" t="s">
        <v>83</v>
      </c>
      <c r="AE234" s="92" t="s">
        <v>83</v>
      </c>
      <c r="AF234" s="92" t="s">
        <v>83</v>
      </c>
      <c r="AG234" s="92" t="s">
        <v>83</v>
      </c>
      <c r="AH234" s="92" t="s">
        <v>83</v>
      </c>
      <c r="AI234" t="s">
        <v>83</v>
      </c>
      <c r="AJ234" s="92">
        <v>0</v>
      </c>
      <c r="AK234" s="92">
        <v>0</v>
      </c>
      <c r="AL234" s="92">
        <f>AL232</f>
        <v>3.3</v>
      </c>
      <c r="AM234" s="92">
        <f>AM232</f>
        <v>2.7E-2</v>
      </c>
      <c r="AN234" s="92">
        <f>AN232</f>
        <v>6</v>
      </c>
      <c r="AO234" s="92"/>
      <c r="AP234" s="92"/>
      <c r="AQ234" s="93">
        <f>AM234*I234*0.1+AL234</f>
        <v>3.3015659999999998</v>
      </c>
      <c r="AR234" s="93">
        <f t="shared" si="254"/>
        <v>0.33015660000000002</v>
      </c>
      <c r="AS234" s="94">
        <f t="shared" si="255"/>
        <v>0</v>
      </c>
      <c r="AT234" s="94">
        <f t="shared" si="256"/>
        <v>0.90793064999999995</v>
      </c>
      <c r="AU234" s="93">
        <f>1333*J232*POWER(10,-6)</f>
        <v>7.7313999999999996E-4</v>
      </c>
      <c r="AV234" s="94">
        <f t="shared" si="252"/>
        <v>4.5404263899999995</v>
      </c>
      <c r="AW234" s="95">
        <f t="shared" si="257"/>
        <v>0</v>
      </c>
      <c r="AX234" s="95">
        <f t="shared" si="258"/>
        <v>0</v>
      </c>
      <c r="AY234" s="95">
        <f t="shared" si="259"/>
        <v>3.4870474675199985E-8</v>
      </c>
      <c r="AZ234" s="227">
        <v>1</v>
      </c>
      <c r="BA234" s="227">
        <v>1</v>
      </c>
    </row>
    <row r="235" spans="1:53" x14ac:dyDescent="0.3">
      <c r="A235" s="48" t="s">
        <v>21</v>
      </c>
      <c r="B235" s="48" t="str">
        <f>B232</f>
        <v>Конвектор трехступенчатый R- 401AN;BN;CN</v>
      </c>
      <c r="C235" s="166" t="s">
        <v>198</v>
      </c>
      <c r="D235" s="49" t="s">
        <v>60</v>
      </c>
      <c r="E235" s="154">
        <f>E232</f>
        <v>9.9999999999999995E-8</v>
      </c>
      <c r="F235" s="155">
        <f>F232</f>
        <v>1</v>
      </c>
      <c r="G235" s="48">
        <v>0.60799999999999998</v>
      </c>
      <c r="H235" s="50">
        <f t="shared" si="253"/>
        <v>6.0800000000000002E-8</v>
      </c>
      <c r="I235" s="149">
        <f>I232</f>
        <v>0.57999999999999996</v>
      </c>
      <c r="J235" s="158">
        <v>0</v>
      </c>
      <c r="K235" s="161" t="s">
        <v>179</v>
      </c>
      <c r="L235" s="165">
        <v>45390</v>
      </c>
      <c r="M235" s="92" t="str">
        <f t="shared" si="250"/>
        <v>С4</v>
      </c>
      <c r="N235" s="92" t="str">
        <f t="shared" si="250"/>
        <v>Конвектор трехступенчатый R- 401AN;BN;CN</v>
      </c>
      <c r="O235" s="92" t="str">
        <f t="shared" si="251"/>
        <v>Полное-ликвидация</v>
      </c>
      <c r="P235" s="92" t="s">
        <v>83</v>
      </c>
      <c r="Q235" s="92" t="s">
        <v>83</v>
      </c>
      <c r="R235" s="92" t="s">
        <v>83</v>
      </c>
      <c r="S235" s="92" t="s">
        <v>83</v>
      </c>
      <c r="T235" s="92" t="s">
        <v>83</v>
      </c>
      <c r="U235" s="92" t="s">
        <v>83</v>
      </c>
      <c r="V235" s="92" t="s">
        <v>83</v>
      </c>
      <c r="W235" s="92" t="s">
        <v>83</v>
      </c>
      <c r="X235" s="92" t="s">
        <v>83</v>
      </c>
      <c r="Y235" s="92" t="s">
        <v>83</v>
      </c>
      <c r="Z235" s="92" t="s">
        <v>83</v>
      </c>
      <c r="AA235" s="92" t="s">
        <v>83</v>
      </c>
      <c r="AB235" s="92" t="s">
        <v>83</v>
      </c>
      <c r="AC235" s="92" t="s">
        <v>83</v>
      </c>
      <c r="AD235" s="92" t="s">
        <v>83</v>
      </c>
      <c r="AE235" s="92" t="s">
        <v>83</v>
      </c>
      <c r="AF235" s="92" t="s">
        <v>83</v>
      </c>
      <c r="AG235" s="92" t="s">
        <v>83</v>
      </c>
      <c r="AH235" s="92" t="s">
        <v>83</v>
      </c>
      <c r="AI235" t="s">
        <v>83</v>
      </c>
      <c r="AJ235" s="92">
        <v>0</v>
      </c>
      <c r="AK235" s="92">
        <v>0</v>
      </c>
      <c r="AL235" s="92">
        <f>AL232</f>
        <v>3.3</v>
      </c>
      <c r="AM235" s="92">
        <f>AM232</f>
        <v>2.7E-2</v>
      </c>
      <c r="AN235" s="92">
        <f>AN232</f>
        <v>6</v>
      </c>
      <c r="AO235" s="92"/>
      <c r="AP235" s="92"/>
      <c r="AQ235" s="93">
        <f>AM235*I235*0.1+AL235</f>
        <v>3.3015659999999998</v>
      </c>
      <c r="AR235" s="93">
        <f t="shared" si="254"/>
        <v>0.33015660000000002</v>
      </c>
      <c r="AS235" s="94">
        <f t="shared" si="255"/>
        <v>0</v>
      </c>
      <c r="AT235" s="94">
        <f t="shared" si="256"/>
        <v>0.90793064999999995</v>
      </c>
      <c r="AU235" s="93">
        <f>1333*J233*POWER(10,-6)</f>
        <v>5.1800379999999991E-5</v>
      </c>
      <c r="AV235" s="94">
        <f t="shared" si="252"/>
        <v>4.5397050503800003</v>
      </c>
      <c r="AW235" s="95">
        <f t="shared" si="257"/>
        <v>0</v>
      </c>
      <c r="AX235" s="95">
        <f t="shared" si="258"/>
        <v>0</v>
      </c>
      <c r="AY235" s="95">
        <f t="shared" si="259"/>
        <v>2.7601406706310404E-7</v>
      </c>
      <c r="AZ235" s="227">
        <v>1</v>
      </c>
      <c r="BA235" s="227">
        <v>1</v>
      </c>
    </row>
    <row r="236" spans="1:53" x14ac:dyDescent="0.3">
      <c r="A236" s="48" t="s">
        <v>22</v>
      </c>
      <c r="B236" s="48" t="str">
        <f>B232</f>
        <v>Конвектор трехступенчатый R- 401AN;BN;CN</v>
      </c>
      <c r="C236" s="166" t="s">
        <v>434</v>
      </c>
      <c r="D236" s="49" t="s">
        <v>187</v>
      </c>
      <c r="E236" s="153">
        <v>4.9999999999999998E-7</v>
      </c>
      <c r="F236" s="155">
        <f>F232</f>
        <v>1</v>
      </c>
      <c r="G236" s="48">
        <v>3.5000000000000003E-2</v>
      </c>
      <c r="H236" s="50">
        <f t="shared" si="253"/>
        <v>1.7500000000000001E-8</v>
      </c>
      <c r="I236" s="149">
        <f>0.15*I232</f>
        <v>8.6999999999999994E-2</v>
      </c>
      <c r="J236" s="156">
        <f>I236</f>
        <v>8.6999999999999994E-2</v>
      </c>
      <c r="K236" s="161" t="s">
        <v>180</v>
      </c>
      <c r="L236" s="165">
        <v>3</v>
      </c>
      <c r="M236" s="92" t="str">
        <f t="shared" si="250"/>
        <v>С5</v>
      </c>
      <c r="N236" s="92" t="str">
        <f t="shared" si="250"/>
        <v>Конвектор трехступенчатый R- 401AN;BN;CN</v>
      </c>
      <c r="O236" s="92" t="str">
        <f t="shared" si="251"/>
        <v>Частичное-факел</v>
      </c>
      <c r="P236" s="92" t="s">
        <v>83</v>
      </c>
      <c r="Q236" s="92" t="s">
        <v>83</v>
      </c>
      <c r="R236" s="92" t="s">
        <v>83</v>
      </c>
      <c r="S236" s="92" t="s">
        <v>83</v>
      </c>
      <c r="T236" s="92" t="s">
        <v>83</v>
      </c>
      <c r="U236" s="92" t="s">
        <v>83</v>
      </c>
      <c r="V236" s="92" t="s">
        <v>83</v>
      </c>
      <c r="W236" s="92" t="s">
        <v>83</v>
      </c>
      <c r="X236" s="92" t="s">
        <v>83</v>
      </c>
      <c r="Y236" s="92">
        <v>17</v>
      </c>
      <c r="Z236" s="92">
        <v>3</v>
      </c>
      <c r="AA236" s="92" t="s">
        <v>83</v>
      </c>
      <c r="AB236" s="92" t="s">
        <v>83</v>
      </c>
      <c r="AC236" s="92" t="s">
        <v>83</v>
      </c>
      <c r="AD236" s="92" t="s">
        <v>83</v>
      </c>
      <c r="AE236" s="92" t="s">
        <v>83</v>
      </c>
      <c r="AF236" s="92" t="s">
        <v>83</v>
      </c>
      <c r="AG236" s="92" t="s">
        <v>83</v>
      </c>
      <c r="AH236" s="92" t="s">
        <v>83</v>
      </c>
      <c r="AI236" t="s">
        <v>83</v>
      </c>
      <c r="AJ236" s="92">
        <v>0</v>
      </c>
      <c r="AK236" s="92">
        <v>2</v>
      </c>
      <c r="AL236" s="92">
        <f>0.1*$AL$2</f>
        <v>7.5000000000000011E-2</v>
      </c>
      <c r="AM236" s="92">
        <f>AM232</f>
        <v>2.7E-2</v>
      </c>
      <c r="AN236" s="92">
        <f>ROUNDUP(AN232/3,0)</f>
        <v>2</v>
      </c>
      <c r="AO236" s="92"/>
      <c r="AP236" s="92"/>
      <c r="AQ236" s="93">
        <f>AM236*I236+AL236</f>
        <v>7.7349000000000015E-2</v>
      </c>
      <c r="AR236" s="93">
        <f t="shared" si="254"/>
        <v>7.734900000000002E-3</v>
      </c>
      <c r="AS236" s="94">
        <f t="shared" si="255"/>
        <v>0.5</v>
      </c>
      <c r="AT236" s="94">
        <f t="shared" si="256"/>
        <v>0.146270975</v>
      </c>
      <c r="AU236" s="93">
        <f>10068.2*J236*POWER(10,-6)</f>
        <v>8.7593339999999999E-4</v>
      </c>
      <c r="AV236" s="94">
        <f t="shared" si="252"/>
        <v>0.73223080839999999</v>
      </c>
      <c r="AW236" s="95">
        <f t="shared" si="257"/>
        <v>0</v>
      </c>
      <c r="AX236" s="95">
        <f t="shared" si="258"/>
        <v>3.5000000000000002E-8</v>
      </c>
      <c r="AY236" s="95">
        <f t="shared" si="259"/>
        <v>1.2814039147000001E-8</v>
      </c>
      <c r="AZ236" s="227">
        <v>1</v>
      </c>
      <c r="BA236" s="227">
        <v>1</v>
      </c>
    </row>
    <row r="237" spans="1:53" x14ac:dyDescent="0.3">
      <c r="A237" s="48" t="s">
        <v>23</v>
      </c>
      <c r="B237" s="48" t="str">
        <f>B232</f>
        <v>Конвектор трехступенчатый R- 401AN;BN;CN</v>
      </c>
      <c r="C237" s="166" t="s">
        <v>435</v>
      </c>
      <c r="D237" s="49" t="s">
        <v>189</v>
      </c>
      <c r="E237" s="154">
        <f>E236</f>
        <v>4.9999999999999998E-7</v>
      </c>
      <c r="F237" s="155">
        <f>F232</f>
        <v>1</v>
      </c>
      <c r="G237" s="48">
        <v>8.3000000000000001E-3</v>
      </c>
      <c r="H237" s="50">
        <f t="shared" si="253"/>
        <v>4.1499999999999999E-9</v>
      </c>
      <c r="I237" s="149">
        <f>I236</f>
        <v>8.6999999999999994E-2</v>
      </c>
      <c r="J237" s="156">
        <f>J233*0.15</f>
        <v>5.829E-3</v>
      </c>
      <c r="K237" s="160" t="s">
        <v>191</v>
      </c>
      <c r="L237" s="217">
        <v>4</v>
      </c>
      <c r="M237" s="92" t="str">
        <f t="shared" si="250"/>
        <v>С6</v>
      </c>
      <c r="N237" s="92" t="str">
        <f t="shared" si="250"/>
        <v>Конвектор трехступенчатый R- 401AN;BN;CN</v>
      </c>
      <c r="O237" s="92" t="str">
        <f t="shared" si="251"/>
        <v>Частичное-взрыв</v>
      </c>
      <c r="P237" s="92" t="s">
        <v>83</v>
      </c>
      <c r="Q237" s="92" t="s">
        <v>83</v>
      </c>
      <c r="R237" s="92" t="s">
        <v>83</v>
      </c>
      <c r="S237" s="92" t="s">
        <v>83</v>
      </c>
      <c r="T237" s="92">
        <v>0</v>
      </c>
      <c r="U237" s="92">
        <v>0</v>
      </c>
      <c r="V237" s="92">
        <v>13.6</v>
      </c>
      <c r="W237" s="92">
        <v>45.6</v>
      </c>
      <c r="X237" s="92">
        <v>118.6</v>
      </c>
      <c r="Y237" s="92" t="s">
        <v>83</v>
      </c>
      <c r="Z237" s="92" t="s">
        <v>83</v>
      </c>
      <c r="AA237" s="92" t="s">
        <v>83</v>
      </c>
      <c r="AB237" s="92" t="s">
        <v>83</v>
      </c>
      <c r="AC237" s="92" t="s">
        <v>83</v>
      </c>
      <c r="AD237" s="92" t="s">
        <v>83</v>
      </c>
      <c r="AE237" s="92" t="s">
        <v>83</v>
      </c>
      <c r="AF237" s="92" t="s">
        <v>83</v>
      </c>
      <c r="AG237" s="92" t="s">
        <v>83</v>
      </c>
      <c r="AH237" s="92" t="s">
        <v>83</v>
      </c>
      <c r="AI237" t="s">
        <v>83</v>
      </c>
      <c r="AJ237" s="92">
        <v>0</v>
      </c>
      <c r="AK237" s="92">
        <v>1</v>
      </c>
      <c r="AL237" s="92">
        <f>0.1*$AL$2</f>
        <v>7.5000000000000011E-2</v>
      </c>
      <c r="AM237" s="92">
        <f>AM232</f>
        <v>2.7E-2</v>
      </c>
      <c r="AN237" s="92">
        <f>AN236</f>
        <v>2</v>
      </c>
      <c r="AO237" s="92"/>
      <c r="AP237" s="92"/>
      <c r="AQ237" s="93">
        <f>AM237*I237+AL237</f>
        <v>7.7349000000000015E-2</v>
      </c>
      <c r="AR237" s="93">
        <f t="shared" si="254"/>
        <v>7.734900000000002E-3</v>
      </c>
      <c r="AS237" s="94">
        <f t="shared" si="255"/>
        <v>0.25</v>
      </c>
      <c r="AT237" s="94">
        <f t="shared" si="256"/>
        <v>8.3770974999999998E-2</v>
      </c>
      <c r="AU237" s="93">
        <f>10068.2*J237*POWER(10,-6)*10</f>
        <v>5.8687537799999995E-4</v>
      </c>
      <c r="AV237" s="94">
        <f t="shared" si="252"/>
        <v>0.41944175037800002</v>
      </c>
      <c r="AW237" s="95">
        <f t="shared" si="257"/>
        <v>0</v>
      </c>
      <c r="AX237" s="95">
        <f t="shared" si="258"/>
        <v>4.1499999999999999E-9</v>
      </c>
      <c r="AY237" s="95">
        <f t="shared" si="259"/>
        <v>1.7406832640687001E-9</v>
      </c>
      <c r="AZ237" s="227">
        <v>1</v>
      </c>
      <c r="BA237" s="227">
        <v>1</v>
      </c>
    </row>
    <row r="238" spans="1:53" x14ac:dyDescent="0.3">
      <c r="A238" s="48" t="s">
        <v>210</v>
      </c>
      <c r="B238" s="48" t="str">
        <f>B232</f>
        <v>Конвектор трехступенчатый R- 401AN;BN;CN</v>
      </c>
      <c r="C238" s="166" t="s">
        <v>436</v>
      </c>
      <c r="D238" s="49" t="s">
        <v>165</v>
      </c>
      <c r="E238" s="154">
        <f>E236</f>
        <v>4.9999999999999998E-7</v>
      </c>
      <c r="F238" s="155">
        <f>F232</f>
        <v>1</v>
      </c>
      <c r="G238" s="48">
        <v>2.64E-2</v>
      </c>
      <c r="H238" s="50">
        <f t="shared" si="253"/>
        <v>1.3199999999999999E-8</v>
      </c>
      <c r="I238" s="149">
        <f>0.15*I232</f>
        <v>8.6999999999999994E-2</v>
      </c>
      <c r="J238" s="156">
        <f>J234*0.15</f>
        <v>8.6999999999999994E-2</v>
      </c>
      <c r="K238" s="161"/>
      <c r="L238" s="165"/>
      <c r="M238" s="92" t="str">
        <f t="shared" si="250"/>
        <v>С7</v>
      </c>
      <c r="N238" s="92" t="str">
        <f t="shared" si="250"/>
        <v>Конвектор трехступенчатый R- 401AN;BN;CN</v>
      </c>
      <c r="O238" s="92" t="str">
        <f t="shared" si="251"/>
        <v>Частичное-пожар-вспышка</v>
      </c>
      <c r="P238" s="92" t="s">
        <v>83</v>
      </c>
      <c r="Q238" s="92" t="s">
        <v>83</v>
      </c>
      <c r="R238" s="92" t="s">
        <v>83</v>
      </c>
      <c r="S238" s="92" t="s">
        <v>83</v>
      </c>
      <c r="T238" s="92" t="s">
        <v>83</v>
      </c>
      <c r="U238" s="92" t="s">
        <v>83</v>
      </c>
      <c r="V238" s="92" t="s">
        <v>83</v>
      </c>
      <c r="W238" s="92" t="s">
        <v>83</v>
      </c>
      <c r="X238" s="92" t="s">
        <v>83</v>
      </c>
      <c r="Y238" s="92" t="s">
        <v>83</v>
      </c>
      <c r="Z238" s="92" t="s">
        <v>83</v>
      </c>
      <c r="AA238" s="92">
        <v>14.97</v>
      </c>
      <c r="AB238" s="92">
        <v>17.96</v>
      </c>
      <c r="AC238" s="92" t="s">
        <v>83</v>
      </c>
      <c r="AD238" s="92" t="s">
        <v>83</v>
      </c>
      <c r="AE238" s="92" t="s">
        <v>83</v>
      </c>
      <c r="AF238" s="92" t="s">
        <v>83</v>
      </c>
      <c r="AG238" s="92" t="s">
        <v>83</v>
      </c>
      <c r="AH238" s="92" t="s">
        <v>83</v>
      </c>
      <c r="AI238" t="s">
        <v>83</v>
      </c>
      <c r="AJ238" s="92">
        <v>0</v>
      </c>
      <c r="AK238" s="92">
        <v>1</v>
      </c>
      <c r="AL238" s="92">
        <f>0.1*$AL$2</f>
        <v>7.5000000000000011E-2</v>
      </c>
      <c r="AM238" s="92">
        <f>AM232</f>
        <v>2.7E-2</v>
      </c>
      <c r="AN238" s="92">
        <f>ROUNDUP(AN232/3,0)</f>
        <v>2</v>
      </c>
      <c r="AO238" s="92"/>
      <c r="AP238" s="92"/>
      <c r="AQ238" s="93">
        <f>AM238*I238+AL238</f>
        <v>7.7349000000000015E-2</v>
      </c>
      <c r="AR238" s="93">
        <f t="shared" si="254"/>
        <v>7.734900000000002E-3</v>
      </c>
      <c r="AS238" s="94">
        <f t="shared" si="255"/>
        <v>0.25</v>
      </c>
      <c r="AT238" s="94">
        <f t="shared" si="256"/>
        <v>8.3770974999999998E-2</v>
      </c>
      <c r="AU238" s="93">
        <f>10068.2*J238*POWER(10,-6)*10</f>
        <v>8.7593340000000006E-3</v>
      </c>
      <c r="AV238" s="94">
        <f t="shared" si="252"/>
        <v>0.42761420900000002</v>
      </c>
      <c r="AW238" s="95">
        <f t="shared" si="257"/>
        <v>0</v>
      </c>
      <c r="AX238" s="95">
        <f t="shared" si="258"/>
        <v>1.3199999999999999E-8</v>
      </c>
      <c r="AY238" s="95">
        <f t="shared" si="259"/>
        <v>5.6445075588000003E-9</v>
      </c>
      <c r="AZ238" s="227">
        <v>1</v>
      </c>
      <c r="BA238" s="227">
        <v>1</v>
      </c>
    </row>
    <row r="239" spans="1:53" ht="15" thickBot="1" x14ac:dyDescent="0.35">
      <c r="A239" s="48" t="s">
        <v>211</v>
      </c>
      <c r="B239" s="48" t="str">
        <f>B232</f>
        <v>Конвектор трехступенчатый R- 401AN;BN;CN</v>
      </c>
      <c r="C239" s="166" t="s">
        <v>310</v>
      </c>
      <c r="D239" s="49" t="s">
        <v>61</v>
      </c>
      <c r="E239" s="154">
        <f>E236</f>
        <v>4.9999999999999998E-7</v>
      </c>
      <c r="F239" s="155">
        <f>F232</f>
        <v>1</v>
      </c>
      <c r="G239" s="48">
        <v>0.93030000000000002</v>
      </c>
      <c r="H239" s="50">
        <f t="shared" si="253"/>
        <v>4.6515000000000001E-7</v>
      </c>
      <c r="I239" s="149">
        <f>0.15*I232</f>
        <v>8.6999999999999994E-2</v>
      </c>
      <c r="J239" s="158">
        <v>0</v>
      </c>
      <c r="K239" s="162"/>
      <c r="L239" s="163"/>
      <c r="M239" s="92" t="str">
        <f t="shared" si="250"/>
        <v>С8</v>
      </c>
      <c r="N239" s="92" t="str">
        <f t="shared" si="250"/>
        <v>Конвектор трехступенчатый R- 401AN;BN;CN</v>
      </c>
      <c r="O239" s="92" t="str">
        <f t="shared" si="251"/>
        <v>Частичное-ликвидация</v>
      </c>
      <c r="P239" s="92" t="s">
        <v>83</v>
      </c>
      <c r="Q239" s="92" t="s">
        <v>83</v>
      </c>
      <c r="R239" s="92" t="s">
        <v>83</v>
      </c>
      <c r="S239" s="92" t="s">
        <v>83</v>
      </c>
      <c r="T239" s="92" t="s">
        <v>83</v>
      </c>
      <c r="U239" s="92" t="s">
        <v>83</v>
      </c>
      <c r="V239" s="92" t="s">
        <v>83</v>
      </c>
      <c r="W239" s="92" t="s">
        <v>83</v>
      </c>
      <c r="X239" s="92" t="s">
        <v>83</v>
      </c>
      <c r="Y239" s="92" t="s">
        <v>83</v>
      </c>
      <c r="Z239" s="92" t="s">
        <v>83</v>
      </c>
      <c r="AA239" s="92" t="s">
        <v>83</v>
      </c>
      <c r="AB239" s="92" t="s">
        <v>83</v>
      </c>
      <c r="AC239" s="92" t="s">
        <v>83</v>
      </c>
      <c r="AD239" s="92" t="s">
        <v>83</v>
      </c>
      <c r="AE239" s="92" t="s">
        <v>83</v>
      </c>
      <c r="AF239" s="92" t="s">
        <v>83</v>
      </c>
      <c r="AG239" s="92" t="s">
        <v>83</v>
      </c>
      <c r="AH239" s="92" t="s">
        <v>83</v>
      </c>
      <c r="AI239" t="s">
        <v>83</v>
      </c>
      <c r="AJ239" s="92">
        <v>0</v>
      </c>
      <c r="AK239" s="92">
        <v>0</v>
      </c>
      <c r="AL239" s="92">
        <f>0.1*$AL$2</f>
        <v>7.5000000000000011E-2</v>
      </c>
      <c r="AM239" s="92">
        <f>AM232</f>
        <v>2.7E-2</v>
      </c>
      <c r="AN239" s="92">
        <f>ROUNDUP(AN232/3,0)</f>
        <v>2</v>
      </c>
      <c r="AO239" s="92"/>
      <c r="AP239" s="92"/>
      <c r="AQ239" s="93">
        <f>AM239*I239*0.1+AL239</f>
        <v>7.5234900000000007E-2</v>
      </c>
      <c r="AR239" s="93">
        <f t="shared" si="254"/>
        <v>7.5234900000000007E-3</v>
      </c>
      <c r="AS239" s="94">
        <f t="shared" si="255"/>
        <v>0</v>
      </c>
      <c r="AT239" s="94">
        <f t="shared" si="256"/>
        <v>2.0689597500000004E-2</v>
      </c>
      <c r="AU239" s="93">
        <f>1333*J238*POWER(10,-6)</f>
        <v>1.1597099999999998E-4</v>
      </c>
      <c r="AV239" s="94">
        <f t="shared" si="252"/>
        <v>0.10356395850000001</v>
      </c>
      <c r="AW239" s="95">
        <f t="shared" si="257"/>
        <v>0</v>
      </c>
      <c r="AX239" s="95">
        <f t="shared" si="258"/>
        <v>0</v>
      </c>
      <c r="AY239" s="95">
        <f t="shared" si="259"/>
        <v>4.8172775296275007E-8</v>
      </c>
      <c r="AZ239" s="227">
        <v>1</v>
      </c>
      <c r="BA239" s="227">
        <v>1</v>
      </c>
    </row>
    <row r="240" spans="1:53" x14ac:dyDescent="0.3">
      <c r="A240" s="52"/>
      <c r="B240" s="52"/>
      <c r="C240" s="92"/>
      <c r="D240" s="254"/>
      <c r="E240" s="255"/>
      <c r="F240" s="256"/>
      <c r="G240" s="52"/>
      <c r="H240" s="95"/>
      <c r="I240" s="94"/>
      <c r="J240" s="52"/>
      <c r="K240" s="52"/>
      <c r="L240" s="52"/>
      <c r="M240" s="92"/>
      <c r="N240" s="92"/>
      <c r="O240" s="92"/>
      <c r="P240" s="92" t="s">
        <v>83</v>
      </c>
      <c r="Q240" s="92" t="s">
        <v>83</v>
      </c>
      <c r="R240" s="92" t="s">
        <v>83</v>
      </c>
      <c r="S240" s="92" t="s">
        <v>83</v>
      </c>
      <c r="T240" s="92" t="s">
        <v>83</v>
      </c>
      <c r="U240" s="92" t="s">
        <v>83</v>
      </c>
      <c r="V240" s="92" t="s">
        <v>83</v>
      </c>
      <c r="W240" s="92" t="s">
        <v>83</v>
      </c>
      <c r="X240" s="92" t="s">
        <v>83</v>
      </c>
      <c r="Y240" s="92" t="s">
        <v>83</v>
      </c>
      <c r="Z240" s="92" t="s">
        <v>83</v>
      </c>
      <c r="AA240" s="92" t="s">
        <v>83</v>
      </c>
      <c r="AB240" s="92" t="s">
        <v>83</v>
      </c>
      <c r="AC240" s="92" t="s">
        <v>83</v>
      </c>
      <c r="AD240" s="92" t="s">
        <v>83</v>
      </c>
      <c r="AE240" s="92" t="s">
        <v>83</v>
      </c>
      <c r="AF240" s="92" t="s">
        <v>83</v>
      </c>
      <c r="AG240" s="92" t="s">
        <v>83</v>
      </c>
      <c r="AH240" s="92" t="s">
        <v>83</v>
      </c>
      <c r="AI240" t="s">
        <v>83</v>
      </c>
      <c r="AJ240" s="92"/>
      <c r="AK240" s="92"/>
      <c r="AL240" s="92"/>
      <c r="AM240" s="92"/>
      <c r="AN240" s="92"/>
      <c r="AO240" s="92"/>
      <c r="AP240" s="92"/>
      <c r="AQ240" s="93"/>
      <c r="AR240" s="93"/>
      <c r="AS240" s="94"/>
      <c r="AT240" s="94"/>
      <c r="AU240" s="93"/>
      <c r="AV240" s="94"/>
      <c r="AW240" s="95"/>
      <c r="AX240" s="95"/>
      <c r="AY240" s="95"/>
      <c r="AZ240" s="227">
        <v>1</v>
      </c>
      <c r="BA240" s="227">
        <v>1</v>
      </c>
    </row>
    <row r="246" spans="38:42" ht="15" thickBot="1" x14ac:dyDescent="0.35"/>
    <row r="247" spans="38:42" ht="16.2" thickBot="1" x14ac:dyDescent="0.35">
      <c r="AL247" s="404">
        <v>6.0699999999999998E-5</v>
      </c>
      <c r="AM247" s="405">
        <v>2.5599999999999999E-4</v>
      </c>
      <c r="AO247" s="98">
        <f>AL247/25</f>
        <v>2.4279999999999999E-6</v>
      </c>
      <c r="AP247" s="98">
        <f>AM247/25</f>
        <v>1.024E-5</v>
      </c>
    </row>
    <row r="248" spans="38:42" ht="16.2" thickBot="1" x14ac:dyDescent="0.35">
      <c r="AL248" s="406">
        <v>8.7499999999999999E-5</v>
      </c>
      <c r="AM248" s="407">
        <v>3.2400000000000001E-4</v>
      </c>
      <c r="AO248" s="98">
        <f t="shared" ref="AO248:AO250" si="260">AL248/25</f>
        <v>3.4999999999999999E-6</v>
      </c>
      <c r="AP248" s="98">
        <f t="shared" ref="AP248:AP250" si="261">AM248/25</f>
        <v>1.2960000000000001E-5</v>
      </c>
    </row>
    <row r="249" spans="38:42" ht="16.2" thickBot="1" x14ac:dyDescent="0.35">
      <c r="AL249" s="406">
        <v>2.9699999999999999E-6</v>
      </c>
      <c r="AM249" s="407">
        <v>3.3500000000000001E-5</v>
      </c>
      <c r="AO249" s="98">
        <f t="shared" si="260"/>
        <v>1.1879999999999999E-7</v>
      </c>
      <c r="AP249" s="98">
        <f t="shared" si="261"/>
        <v>1.3400000000000001E-6</v>
      </c>
    </row>
    <row r="250" spans="38:42" ht="16.2" thickBot="1" x14ac:dyDescent="0.35">
      <c r="AL250" s="406">
        <v>1.8600000000000001E-5</v>
      </c>
      <c r="AM250" s="407">
        <v>4.85E-5</v>
      </c>
      <c r="AO250" s="98">
        <f t="shared" si="260"/>
        <v>7.440000000000001E-7</v>
      </c>
      <c r="AP250" s="98">
        <f t="shared" si="261"/>
        <v>1.9400000000000001E-6</v>
      </c>
    </row>
  </sheetData>
  <conditionalFormatting sqref="H162:H1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2:H2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89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7889" r:id="rId4" name="Скрыть"/>
      </mc:Fallback>
    </mc:AlternateContent>
    <mc:AlternateContent xmlns:mc="http://schemas.openxmlformats.org/markup-compatibility/2006">
      <mc:Choice Requires="x14">
        <control shapeId="37890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7890" r:id="rId6" name="Показать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26C3-0AAE-430B-8506-F8A1BF0DCD56}">
  <sheetPr codeName="Лист31"/>
  <dimension ref="A1:BA20"/>
  <sheetViews>
    <sheetView topLeftCell="D1" zoomScale="85" zoomScaleNormal="85" workbookViewId="0">
      <pane ySplit="1" topLeftCell="A2" activePane="bottomLeft" state="frozen"/>
      <selection pane="bottomLeft" activeCell="J3" sqref="J3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43.8" thickBot="1" x14ac:dyDescent="0.35">
      <c r="A1" s="4" t="s">
        <v>10</v>
      </c>
      <c r="B1" s="4" t="s">
        <v>407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410</v>
      </c>
      <c r="U1" s="68" t="s">
        <v>315</v>
      </c>
      <c r="V1" s="68" t="s">
        <v>412</v>
      </c>
      <c r="W1" s="68" t="s">
        <v>71</v>
      </c>
      <c r="X1" s="68" t="s">
        <v>411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3" s="373" customFormat="1" ht="15" thickBot="1" x14ac:dyDescent="0.35">
      <c r="A2" s="363" t="s">
        <v>18</v>
      </c>
      <c r="B2" s="364" t="s">
        <v>565</v>
      </c>
      <c r="C2" s="365" t="s">
        <v>159</v>
      </c>
      <c r="D2" s="366" t="s">
        <v>59</v>
      </c>
      <c r="E2" s="367">
        <v>2.9999999999999999E-7</v>
      </c>
      <c r="F2" s="364">
        <v>157</v>
      </c>
      <c r="G2" s="363">
        <v>0.2</v>
      </c>
      <c r="H2" s="368">
        <f>E2*F2*G2</f>
        <v>9.4200000000000013E-6</v>
      </c>
      <c r="I2" s="397">
        <v>1.98</v>
      </c>
      <c r="J2" s="398">
        <f>I2</f>
        <v>1.98</v>
      </c>
      <c r="K2" s="371" t="s">
        <v>175</v>
      </c>
      <c r="L2" s="372">
        <f>I2*20</f>
        <v>39.6</v>
      </c>
      <c r="M2" s="373" t="str">
        <f t="shared" si="0"/>
        <v>С1</v>
      </c>
      <c r="N2" s="373" t="str">
        <f t="shared" si="0"/>
        <v>Выкидные трубопроводы К-643д</v>
      </c>
      <c r="O2" s="373" t="str">
        <f t="shared" si="1"/>
        <v>Полное-пожар</v>
      </c>
      <c r="P2" s="373">
        <v>12.2</v>
      </c>
      <c r="Q2" s="373">
        <v>16</v>
      </c>
      <c r="R2" s="373">
        <v>21.8</v>
      </c>
      <c r="S2" s="373">
        <v>39.1</v>
      </c>
      <c r="T2" s="373" t="s">
        <v>83</v>
      </c>
      <c r="U2" s="373" t="s">
        <v>83</v>
      </c>
      <c r="V2" s="373" t="s">
        <v>83</v>
      </c>
      <c r="W2" s="373" t="s">
        <v>83</v>
      </c>
      <c r="X2" s="373" t="s">
        <v>83</v>
      </c>
      <c r="Y2" s="373" t="s">
        <v>83</v>
      </c>
      <c r="Z2" s="373" t="s">
        <v>83</v>
      </c>
      <c r="AA2" s="373" t="s">
        <v>83</v>
      </c>
      <c r="AB2" s="373" t="s">
        <v>83</v>
      </c>
      <c r="AC2" s="373" t="s">
        <v>83</v>
      </c>
      <c r="AD2" s="373" t="s">
        <v>83</v>
      </c>
      <c r="AE2" s="373" t="s">
        <v>83</v>
      </c>
      <c r="AF2" s="373" t="s">
        <v>83</v>
      </c>
      <c r="AG2" s="373" t="s">
        <v>83</v>
      </c>
      <c r="AH2" s="373" t="s">
        <v>83</v>
      </c>
      <c r="AI2" s="373" t="s">
        <v>83</v>
      </c>
      <c r="AJ2" s="374">
        <v>1</v>
      </c>
      <c r="AK2" s="374">
        <v>1</v>
      </c>
      <c r="AL2" s="375">
        <v>0.75</v>
      </c>
      <c r="AM2" s="375">
        <v>2.7E-2</v>
      </c>
      <c r="AN2" s="375">
        <v>3</v>
      </c>
      <c r="AQ2" s="376">
        <f>AM2*I2+AL2</f>
        <v>0.80345999999999995</v>
      </c>
      <c r="AR2" s="376">
        <f t="shared" ref="AR2:AR7" si="2">0.1*AQ2</f>
        <v>8.0346000000000001E-2</v>
      </c>
      <c r="AS2" s="377">
        <f t="shared" ref="AS2:AS7" si="3">AJ2*3+0.25*AK2</f>
        <v>3.25</v>
      </c>
      <c r="AT2" s="377">
        <f t="shared" ref="AT2:AT7" si="4">SUM(AQ2:AS2)/4</f>
        <v>1.0334515</v>
      </c>
      <c r="AU2" s="376">
        <f>10068.2*J2*POWER(10,-6)</f>
        <v>1.9935036E-2</v>
      </c>
      <c r="AV2" s="377">
        <f t="shared" ref="AV2:AV7" si="5">AU2+AT2+AS2+AR2+AQ2</f>
        <v>5.1871925359999995</v>
      </c>
      <c r="AW2" s="378">
        <f t="shared" ref="AW2:AW7" si="6">AJ2*H2</f>
        <v>9.4200000000000013E-6</v>
      </c>
      <c r="AX2" s="378">
        <f t="shared" ref="AX2:AX7" si="7">H2*AK2</f>
        <v>9.4200000000000013E-6</v>
      </c>
      <c r="AY2" s="378">
        <f t="shared" ref="AY2:AY7" si="8">H2*AV2</f>
        <v>4.886335368912E-5</v>
      </c>
    </row>
    <row r="3" spans="1:53" s="373" customFormat="1" ht="15" thickBot="1" x14ac:dyDescent="0.35">
      <c r="A3" s="363" t="s">
        <v>19</v>
      </c>
      <c r="B3" s="363" t="str">
        <f>B2</f>
        <v>Выкидные трубопроводы К-643д</v>
      </c>
      <c r="C3" s="365" t="s">
        <v>160</v>
      </c>
      <c r="D3" s="366" t="s">
        <v>62</v>
      </c>
      <c r="E3" s="379">
        <f>E2</f>
        <v>2.9999999999999999E-7</v>
      </c>
      <c r="F3" s="380">
        <f>F2</f>
        <v>157</v>
      </c>
      <c r="G3" s="363">
        <v>0.04</v>
      </c>
      <c r="H3" s="368">
        <f t="shared" ref="H3:H7" si="9">E3*F3*G3</f>
        <v>1.8840000000000001E-6</v>
      </c>
      <c r="I3" s="398">
        <f>I2</f>
        <v>1.98</v>
      </c>
      <c r="J3" s="397">
        <f>POWER(10,-6)*35*SQRT(100)*3600*L2/1000*0.1</f>
        <v>4.9896000000000003E-3</v>
      </c>
      <c r="K3" s="371" t="s">
        <v>176</v>
      </c>
      <c r="L3" s="372">
        <v>0</v>
      </c>
      <c r="M3" s="373" t="str">
        <f t="shared" si="0"/>
        <v>С2</v>
      </c>
      <c r="N3" s="373" t="str">
        <f t="shared" si="0"/>
        <v>Выкидные трубопроводы К-643д</v>
      </c>
      <c r="O3" s="373" t="str">
        <f t="shared" si="1"/>
        <v>Полное-взрыв</v>
      </c>
      <c r="P3" s="373" t="s">
        <v>83</v>
      </c>
      <c r="Q3" s="373" t="s">
        <v>83</v>
      </c>
      <c r="R3" s="373" t="s">
        <v>83</v>
      </c>
      <c r="S3" s="373" t="s">
        <v>83</v>
      </c>
      <c r="T3" s="373">
        <v>0</v>
      </c>
      <c r="U3" s="373">
        <v>0</v>
      </c>
      <c r="V3" s="373">
        <v>0</v>
      </c>
      <c r="W3" s="373">
        <v>0</v>
      </c>
      <c r="X3" s="373">
        <v>12.6</v>
      </c>
      <c r="Y3" s="373" t="s">
        <v>83</v>
      </c>
      <c r="Z3" s="373" t="s">
        <v>83</v>
      </c>
      <c r="AA3" s="373" t="s">
        <v>83</v>
      </c>
      <c r="AB3" s="373" t="s">
        <v>83</v>
      </c>
      <c r="AC3" s="373" t="s">
        <v>83</v>
      </c>
      <c r="AD3" s="373" t="s">
        <v>83</v>
      </c>
      <c r="AE3" s="373" t="s">
        <v>83</v>
      </c>
      <c r="AF3" s="373" t="s">
        <v>83</v>
      </c>
      <c r="AG3" s="373" t="s">
        <v>83</v>
      </c>
      <c r="AH3" s="373" t="s">
        <v>83</v>
      </c>
      <c r="AI3" s="373" t="s">
        <v>83</v>
      </c>
      <c r="AJ3" s="374">
        <v>1</v>
      </c>
      <c r="AK3" s="374">
        <v>1</v>
      </c>
      <c r="AL3" s="373">
        <f>AL2</f>
        <v>0.75</v>
      </c>
      <c r="AM3" s="373">
        <f>AM2</f>
        <v>2.7E-2</v>
      </c>
      <c r="AN3" s="373">
        <f>AN2</f>
        <v>3</v>
      </c>
      <c r="AQ3" s="376">
        <f>AM3*I3+AL3</f>
        <v>0.80345999999999995</v>
      </c>
      <c r="AR3" s="376">
        <f t="shared" si="2"/>
        <v>8.0346000000000001E-2</v>
      </c>
      <c r="AS3" s="377">
        <f t="shared" si="3"/>
        <v>3.25</v>
      </c>
      <c r="AT3" s="377">
        <f t="shared" si="4"/>
        <v>1.0334515</v>
      </c>
      <c r="AU3" s="376">
        <f>10068.2*J3*POWER(10,-6)*10</f>
        <v>5.0236290720000003E-4</v>
      </c>
      <c r="AV3" s="377">
        <f t="shared" si="5"/>
        <v>5.1677598629072001</v>
      </c>
      <c r="AW3" s="378">
        <f t="shared" si="6"/>
        <v>1.8840000000000001E-6</v>
      </c>
      <c r="AX3" s="378">
        <f t="shared" si="7"/>
        <v>1.8840000000000001E-6</v>
      </c>
      <c r="AY3" s="378">
        <f t="shared" si="8"/>
        <v>9.7360595817171655E-6</v>
      </c>
    </row>
    <row r="4" spans="1:53" s="373" customFormat="1" x14ac:dyDescent="0.3">
      <c r="A4" s="363" t="s">
        <v>20</v>
      </c>
      <c r="B4" s="363" t="str">
        <f>B2</f>
        <v>Выкидные трубопроводы К-643д</v>
      </c>
      <c r="C4" s="365" t="s">
        <v>169</v>
      </c>
      <c r="D4" s="366" t="s">
        <v>171</v>
      </c>
      <c r="E4" s="379">
        <f>E2</f>
        <v>2.9999999999999999E-7</v>
      </c>
      <c r="F4" s="380">
        <f>F2</f>
        <v>157</v>
      </c>
      <c r="G4" s="363">
        <v>0.76</v>
      </c>
      <c r="H4" s="368">
        <f t="shared" si="9"/>
        <v>3.5796000000000001E-5</v>
      </c>
      <c r="I4" s="398">
        <f>I2</f>
        <v>1.98</v>
      </c>
      <c r="J4" s="399">
        <f>J3</f>
        <v>4.9896000000000003E-3</v>
      </c>
      <c r="K4" s="371" t="s">
        <v>177</v>
      </c>
      <c r="L4" s="372">
        <v>0</v>
      </c>
      <c r="M4" s="373" t="str">
        <f t="shared" si="0"/>
        <v>С3</v>
      </c>
      <c r="N4" s="373" t="str">
        <f t="shared" si="0"/>
        <v>Выкидные трубопроводы К-643д</v>
      </c>
      <c r="O4" s="373" t="str">
        <f t="shared" si="1"/>
        <v>Полное-токси</v>
      </c>
      <c r="P4" s="373" t="s">
        <v>83</v>
      </c>
      <c r="Q4" s="373" t="s">
        <v>83</v>
      </c>
      <c r="R4" s="373" t="s">
        <v>83</v>
      </c>
      <c r="S4" s="373" t="s">
        <v>83</v>
      </c>
      <c r="T4" s="373" t="s">
        <v>83</v>
      </c>
      <c r="U4" s="373" t="s">
        <v>83</v>
      </c>
      <c r="V4" s="373" t="s">
        <v>83</v>
      </c>
      <c r="W4" s="373" t="s">
        <v>83</v>
      </c>
      <c r="X4" s="373" t="s">
        <v>83</v>
      </c>
      <c r="Y4" s="373" t="s">
        <v>83</v>
      </c>
      <c r="Z4" s="373" t="s">
        <v>83</v>
      </c>
      <c r="AA4" s="373" t="s">
        <v>83</v>
      </c>
      <c r="AB4" s="373" t="s">
        <v>83</v>
      </c>
      <c r="AC4" s="373">
        <v>1.8</v>
      </c>
      <c r="AD4" s="373">
        <v>3.4</v>
      </c>
      <c r="AE4" s="373" t="s">
        <v>83</v>
      </c>
      <c r="AF4" s="373" t="s">
        <v>83</v>
      </c>
      <c r="AG4" s="373" t="s">
        <v>83</v>
      </c>
      <c r="AH4" s="373" t="s">
        <v>83</v>
      </c>
      <c r="AI4" s="373" t="s">
        <v>83</v>
      </c>
      <c r="AJ4" s="373">
        <v>0</v>
      </c>
      <c r="AK4" s="373">
        <v>1</v>
      </c>
      <c r="AL4" s="373">
        <f>AL2</f>
        <v>0.75</v>
      </c>
      <c r="AM4" s="373">
        <f>AM2</f>
        <v>2.7E-2</v>
      </c>
      <c r="AN4" s="373">
        <f>AN2</f>
        <v>3</v>
      </c>
      <c r="AQ4" s="376">
        <f>AM4*I4*0.1+AL4</f>
        <v>0.75534599999999996</v>
      </c>
      <c r="AR4" s="376">
        <f t="shared" si="2"/>
        <v>7.5534600000000007E-2</v>
      </c>
      <c r="AS4" s="377">
        <f t="shared" si="3"/>
        <v>0.25</v>
      </c>
      <c r="AT4" s="377">
        <f t="shared" si="4"/>
        <v>0.27022014999999999</v>
      </c>
      <c r="AU4" s="376">
        <f>1333*J3*POWER(10,-6)</f>
        <v>6.6511368000000002E-6</v>
      </c>
      <c r="AV4" s="377">
        <f t="shared" si="5"/>
        <v>1.3511074011368001</v>
      </c>
      <c r="AW4" s="378">
        <f t="shared" si="6"/>
        <v>0</v>
      </c>
      <c r="AX4" s="378">
        <f t="shared" si="7"/>
        <v>3.5796000000000001E-5</v>
      </c>
      <c r="AY4" s="378">
        <f t="shared" si="8"/>
        <v>4.8364240531092893E-5</v>
      </c>
    </row>
    <row r="5" spans="1:53" s="373" customFormat="1" x14ac:dyDescent="0.3">
      <c r="A5" s="363" t="s">
        <v>21</v>
      </c>
      <c r="B5" s="363" t="str">
        <f>B2</f>
        <v>Выкидные трубопроводы К-643д</v>
      </c>
      <c r="C5" s="365" t="s">
        <v>162</v>
      </c>
      <c r="D5" s="366" t="s">
        <v>84</v>
      </c>
      <c r="E5" s="367">
        <v>1.9999999999999999E-6</v>
      </c>
      <c r="F5" s="380">
        <f>F2</f>
        <v>157</v>
      </c>
      <c r="G5" s="363">
        <v>0.2</v>
      </c>
      <c r="H5" s="368">
        <f t="shared" si="9"/>
        <v>6.2799999999999995E-5</v>
      </c>
      <c r="I5" s="398">
        <f>0.15*I2</f>
        <v>0.29699999999999999</v>
      </c>
      <c r="J5" s="398">
        <f>I5</f>
        <v>0.29699999999999999</v>
      </c>
      <c r="K5" s="383" t="s">
        <v>179</v>
      </c>
      <c r="L5" s="384">
        <v>45390</v>
      </c>
      <c r="M5" s="373" t="str">
        <f t="shared" si="0"/>
        <v>С4</v>
      </c>
      <c r="N5" s="373" t="str">
        <f t="shared" si="0"/>
        <v>Выкидные трубопроводы К-643д</v>
      </c>
      <c r="O5" s="373" t="str">
        <f t="shared" si="1"/>
        <v>Частичное-пожар</v>
      </c>
      <c r="P5" s="373">
        <v>8.1999999999999993</v>
      </c>
      <c r="Q5" s="373">
        <v>10</v>
      </c>
      <c r="R5" s="373">
        <v>12.6</v>
      </c>
      <c r="S5" s="373">
        <v>20.3</v>
      </c>
      <c r="T5" s="373" t="s">
        <v>83</v>
      </c>
      <c r="U5" s="373" t="s">
        <v>83</v>
      </c>
      <c r="V5" s="373" t="s">
        <v>83</v>
      </c>
      <c r="W5" s="373" t="s">
        <v>83</v>
      </c>
      <c r="X5" s="373" t="s">
        <v>83</v>
      </c>
      <c r="Y5" s="373" t="s">
        <v>83</v>
      </c>
      <c r="Z5" s="373" t="s">
        <v>83</v>
      </c>
      <c r="AA5" s="373" t="s">
        <v>83</v>
      </c>
      <c r="AB5" s="373" t="s">
        <v>83</v>
      </c>
      <c r="AC5" s="373" t="s">
        <v>83</v>
      </c>
      <c r="AD5" s="373" t="s">
        <v>83</v>
      </c>
      <c r="AE5" s="373" t="s">
        <v>83</v>
      </c>
      <c r="AF5" s="373" t="s">
        <v>83</v>
      </c>
      <c r="AG5" s="373" t="s">
        <v>83</v>
      </c>
      <c r="AH5" s="373" t="s">
        <v>83</v>
      </c>
      <c r="AI5" s="373" t="s">
        <v>83</v>
      </c>
      <c r="AJ5" s="373">
        <v>0</v>
      </c>
      <c r="AK5" s="373">
        <v>1</v>
      </c>
      <c r="AL5" s="373">
        <f>0.1*AL2</f>
        <v>7.5000000000000011E-2</v>
      </c>
      <c r="AM5" s="373">
        <f>AM2</f>
        <v>2.7E-2</v>
      </c>
      <c r="AN5" s="373">
        <f>ROUNDUP(AN2/3,0)</f>
        <v>1</v>
      </c>
      <c r="AQ5" s="376">
        <f>AM5*I5+AL5</f>
        <v>8.3019000000000009E-2</v>
      </c>
      <c r="AR5" s="376">
        <f t="shared" si="2"/>
        <v>8.3019000000000009E-3</v>
      </c>
      <c r="AS5" s="377">
        <f t="shared" si="3"/>
        <v>0.25</v>
      </c>
      <c r="AT5" s="377">
        <f t="shared" si="4"/>
        <v>8.533022500000001E-2</v>
      </c>
      <c r="AU5" s="376">
        <f>10068.2*J5*POWER(10,-6)</f>
        <v>2.9902554E-3</v>
      </c>
      <c r="AV5" s="377">
        <f t="shared" si="5"/>
        <v>0.42964138040000005</v>
      </c>
      <c r="AW5" s="378">
        <f t="shared" si="6"/>
        <v>0</v>
      </c>
      <c r="AX5" s="378">
        <f t="shared" si="7"/>
        <v>6.2799999999999995E-5</v>
      </c>
      <c r="AY5" s="378">
        <f t="shared" si="8"/>
        <v>2.6981478689120001E-5</v>
      </c>
    </row>
    <row r="6" spans="1:53" s="373" customFormat="1" x14ac:dyDescent="0.3">
      <c r="A6" s="363" t="s">
        <v>22</v>
      </c>
      <c r="B6" s="363" t="str">
        <f>B2</f>
        <v>Выкидные трубопроводы К-643д</v>
      </c>
      <c r="C6" s="365" t="s">
        <v>163</v>
      </c>
      <c r="D6" s="366" t="s">
        <v>165</v>
      </c>
      <c r="E6" s="379">
        <f>E5</f>
        <v>1.9999999999999999E-6</v>
      </c>
      <c r="F6" s="380">
        <f>F2</f>
        <v>157</v>
      </c>
      <c r="G6" s="363">
        <v>0.04</v>
      </c>
      <c r="H6" s="368">
        <f t="shared" si="9"/>
        <v>1.256E-5</v>
      </c>
      <c r="I6" s="398">
        <f>0.15*I2</f>
        <v>0.29699999999999999</v>
      </c>
      <c r="J6" s="398">
        <f>0.15*J3</f>
        <v>7.4844000000000006E-4</v>
      </c>
      <c r="K6" s="383" t="s">
        <v>180</v>
      </c>
      <c r="L6" s="384">
        <v>3</v>
      </c>
      <c r="M6" s="373" t="str">
        <f t="shared" si="0"/>
        <v>С5</v>
      </c>
      <c r="N6" s="373" t="str">
        <f t="shared" si="0"/>
        <v>Выкидные трубопроводы К-643д</v>
      </c>
      <c r="O6" s="373" t="str">
        <f t="shared" si="1"/>
        <v>Частичное-пожар-вспышка</v>
      </c>
      <c r="P6" s="373" t="s">
        <v>83</v>
      </c>
      <c r="Q6" s="373" t="s">
        <v>83</v>
      </c>
      <c r="R6" s="373" t="s">
        <v>83</v>
      </c>
      <c r="S6" s="373" t="s">
        <v>83</v>
      </c>
      <c r="T6" s="373" t="s">
        <v>83</v>
      </c>
      <c r="U6" s="373" t="s">
        <v>83</v>
      </c>
      <c r="V6" s="373" t="s">
        <v>83</v>
      </c>
      <c r="W6" s="373" t="s">
        <v>83</v>
      </c>
      <c r="X6" s="373" t="s">
        <v>83</v>
      </c>
      <c r="Y6" s="373" t="s">
        <v>83</v>
      </c>
      <c r="Z6" s="373" t="s">
        <v>83</v>
      </c>
      <c r="AA6" s="373">
        <v>3.12</v>
      </c>
      <c r="AB6" s="373">
        <v>3.74</v>
      </c>
      <c r="AC6" s="373" t="s">
        <v>83</v>
      </c>
      <c r="AD6" s="373" t="s">
        <v>83</v>
      </c>
      <c r="AE6" s="373" t="s">
        <v>83</v>
      </c>
      <c r="AF6" s="373" t="s">
        <v>83</v>
      </c>
      <c r="AG6" s="373" t="s">
        <v>83</v>
      </c>
      <c r="AH6" s="373" t="s">
        <v>83</v>
      </c>
      <c r="AI6" s="373" t="s">
        <v>83</v>
      </c>
      <c r="AJ6" s="373">
        <v>0</v>
      </c>
      <c r="AK6" s="373">
        <v>1</v>
      </c>
      <c r="AL6" s="373">
        <f>0.1*AL3</f>
        <v>7.5000000000000011E-2</v>
      </c>
      <c r="AM6" s="373">
        <f>AM2</f>
        <v>2.7E-2</v>
      </c>
      <c r="AN6" s="373">
        <f>ROUNDUP(AN2/3,0)</f>
        <v>1</v>
      </c>
      <c r="AQ6" s="376">
        <f>AM6*I6+AL6</f>
        <v>8.3019000000000009E-2</v>
      </c>
      <c r="AR6" s="376">
        <f t="shared" si="2"/>
        <v>8.3019000000000009E-3</v>
      </c>
      <c r="AS6" s="377">
        <f t="shared" si="3"/>
        <v>0.25</v>
      </c>
      <c r="AT6" s="377">
        <f t="shared" si="4"/>
        <v>8.533022500000001E-2</v>
      </c>
      <c r="AU6" s="376">
        <f>10068.2*J6*POWER(10,-6)*10</f>
        <v>7.5354436080000015E-5</v>
      </c>
      <c r="AV6" s="377">
        <f t="shared" si="5"/>
        <v>0.42672647943608005</v>
      </c>
      <c r="AW6" s="378">
        <f t="shared" si="6"/>
        <v>0</v>
      </c>
      <c r="AX6" s="378">
        <f t="shared" si="7"/>
        <v>1.256E-5</v>
      </c>
      <c r="AY6" s="378">
        <f t="shared" si="8"/>
        <v>5.3596845817171654E-6</v>
      </c>
    </row>
    <row r="7" spans="1:53" s="373" customFormat="1" ht="15" thickBot="1" x14ac:dyDescent="0.35">
      <c r="A7" s="363" t="s">
        <v>23</v>
      </c>
      <c r="B7" s="363" t="str">
        <f>B2</f>
        <v>Выкидные трубопроводы К-643д</v>
      </c>
      <c r="C7" s="365" t="s">
        <v>170</v>
      </c>
      <c r="D7" s="366" t="s">
        <v>172</v>
      </c>
      <c r="E7" s="379">
        <f>E5</f>
        <v>1.9999999999999999E-6</v>
      </c>
      <c r="F7" s="380">
        <f>F2</f>
        <v>157</v>
      </c>
      <c r="G7" s="363">
        <v>0.76</v>
      </c>
      <c r="H7" s="368">
        <f t="shared" si="9"/>
        <v>2.3864000000000001E-4</v>
      </c>
      <c r="I7" s="398">
        <f>0.15*I2</f>
        <v>0.29699999999999999</v>
      </c>
      <c r="J7" s="399">
        <f>J6</f>
        <v>7.4844000000000006E-4</v>
      </c>
      <c r="K7" s="387" t="s">
        <v>191</v>
      </c>
      <c r="L7" s="400">
        <v>2</v>
      </c>
      <c r="M7" s="373" t="str">
        <f t="shared" si="0"/>
        <v>С6</v>
      </c>
      <c r="N7" s="373" t="str">
        <f t="shared" si="0"/>
        <v>Выкидные трубопроводы К-643д</v>
      </c>
      <c r="O7" s="373" t="str">
        <f t="shared" si="1"/>
        <v>Частичное-токси</v>
      </c>
      <c r="P7" s="373" t="s">
        <v>83</v>
      </c>
      <c r="Q7" s="373" t="s">
        <v>83</v>
      </c>
      <c r="R7" s="373" t="s">
        <v>83</v>
      </c>
      <c r="S7" s="373" t="s">
        <v>83</v>
      </c>
      <c r="T7" s="373" t="s">
        <v>83</v>
      </c>
      <c r="U7" s="373" t="s">
        <v>83</v>
      </c>
      <c r="V7" s="373" t="s">
        <v>83</v>
      </c>
      <c r="W7" s="373" t="s">
        <v>83</v>
      </c>
      <c r="X7" s="373" t="s">
        <v>83</v>
      </c>
      <c r="Y7" s="373" t="s">
        <v>83</v>
      </c>
      <c r="Z7" s="373" t="s">
        <v>83</v>
      </c>
      <c r="AA7" s="373" t="s">
        <v>83</v>
      </c>
      <c r="AB7" s="373" t="s">
        <v>83</v>
      </c>
      <c r="AC7" s="373">
        <v>1</v>
      </c>
      <c r="AD7" s="373">
        <v>2</v>
      </c>
      <c r="AE7" s="373" t="s">
        <v>83</v>
      </c>
      <c r="AF7" s="373" t="s">
        <v>83</v>
      </c>
      <c r="AG7" s="373" t="s">
        <v>83</v>
      </c>
      <c r="AH7" s="373" t="s">
        <v>83</v>
      </c>
      <c r="AI7" s="373" t="s">
        <v>83</v>
      </c>
      <c r="AJ7" s="373">
        <v>0</v>
      </c>
      <c r="AK7" s="373">
        <v>1</v>
      </c>
      <c r="AL7" s="373">
        <f>0.1*AL4</f>
        <v>7.5000000000000011E-2</v>
      </c>
      <c r="AM7" s="373">
        <f>AM2</f>
        <v>2.7E-2</v>
      </c>
      <c r="AN7" s="373">
        <f>ROUNDUP(AN2/3,0)</f>
        <v>1</v>
      </c>
      <c r="AQ7" s="376">
        <f>AM7*I7*0.1+AL7</f>
        <v>7.5801900000000005E-2</v>
      </c>
      <c r="AR7" s="376">
        <f t="shared" si="2"/>
        <v>7.5801900000000005E-3</v>
      </c>
      <c r="AS7" s="377">
        <f t="shared" si="3"/>
        <v>0.25</v>
      </c>
      <c r="AT7" s="377">
        <f t="shared" si="4"/>
        <v>8.3345522500000005E-2</v>
      </c>
      <c r="AU7" s="376">
        <f>1333*J6*POWER(10,-6)</f>
        <v>9.9767051999999999E-7</v>
      </c>
      <c r="AV7" s="377">
        <f t="shared" si="5"/>
        <v>0.41672861017051999</v>
      </c>
      <c r="AW7" s="378">
        <f t="shared" si="6"/>
        <v>0</v>
      </c>
      <c r="AX7" s="378">
        <f t="shared" si="7"/>
        <v>2.3864000000000001E-4</v>
      </c>
      <c r="AY7" s="378">
        <f t="shared" si="8"/>
        <v>9.9448115531092885E-5</v>
      </c>
    </row>
    <row r="8" spans="1:53" s="365" customFormat="1" x14ac:dyDescent="0.3">
      <c r="A8" s="363"/>
      <c r="B8" s="363"/>
      <c r="C8" s="363"/>
      <c r="D8" s="363"/>
      <c r="E8" s="363"/>
      <c r="F8" s="363"/>
      <c r="G8" s="363"/>
      <c r="H8" s="363"/>
      <c r="I8" s="363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  <c r="U8" s="363"/>
      <c r="V8" s="363"/>
      <c r="W8" s="363"/>
      <c r="X8" s="363"/>
      <c r="Y8" s="363"/>
      <c r="Z8" s="363"/>
      <c r="AA8" s="363"/>
      <c r="AB8" s="363"/>
      <c r="AC8" s="363"/>
      <c r="AD8" s="363"/>
      <c r="AE8" s="363"/>
      <c r="AF8" s="363"/>
      <c r="AG8" s="363"/>
      <c r="AH8" s="363"/>
      <c r="AI8" s="363"/>
      <c r="AJ8" s="363"/>
      <c r="AK8" s="363"/>
      <c r="AL8" s="363"/>
      <c r="AM8" s="363"/>
      <c r="AN8" s="363"/>
      <c r="AO8" s="363"/>
      <c r="AP8" s="363"/>
      <c r="AQ8" s="363"/>
      <c r="AR8" s="363"/>
      <c r="AS8" s="363"/>
      <c r="AT8" s="363"/>
      <c r="AU8" s="363"/>
      <c r="AV8" s="363"/>
      <c r="AW8" s="363"/>
      <c r="AX8" s="363"/>
      <c r="AY8" s="363"/>
    </row>
    <row r="9" spans="1:53" s="365" customFormat="1" x14ac:dyDescent="0.3">
      <c r="A9" s="363"/>
      <c r="B9" s="363"/>
      <c r="C9" s="363"/>
      <c r="D9" s="363"/>
      <c r="E9" s="363"/>
      <c r="F9" s="363"/>
      <c r="G9" s="363"/>
      <c r="H9" s="363"/>
      <c r="I9" s="398"/>
      <c r="J9" s="398"/>
      <c r="K9" s="363"/>
      <c r="L9" s="363"/>
      <c r="M9" s="363"/>
      <c r="N9" s="363"/>
      <c r="O9" s="363"/>
      <c r="P9" s="363"/>
      <c r="Q9" s="363"/>
      <c r="R9" s="363"/>
      <c r="S9" s="363"/>
      <c r="T9" s="363"/>
      <c r="U9" s="363"/>
      <c r="V9" s="363"/>
      <c r="W9" s="363"/>
      <c r="X9" s="363"/>
      <c r="Y9" s="363"/>
      <c r="Z9" s="363"/>
      <c r="AA9" s="363"/>
      <c r="AB9" s="363"/>
      <c r="AC9" s="363"/>
      <c r="AD9" s="363"/>
      <c r="AE9" s="363"/>
      <c r="AF9" s="363"/>
      <c r="AG9" s="363"/>
      <c r="AH9" s="363"/>
      <c r="AI9" s="363"/>
      <c r="AJ9" s="363"/>
      <c r="AK9" s="363"/>
      <c r="AL9" s="363"/>
      <c r="AM9" s="363"/>
      <c r="AN9" s="363"/>
      <c r="AO9" s="363"/>
      <c r="AP9" s="363"/>
      <c r="AQ9" s="363"/>
      <c r="AR9" s="363"/>
      <c r="AS9" s="363"/>
      <c r="AT9" s="363"/>
      <c r="AU9" s="363"/>
      <c r="AV9" s="363"/>
      <c r="AW9" s="363"/>
      <c r="AX9" s="363"/>
      <c r="AY9" s="363"/>
    </row>
    <row r="10" spans="1:53" s="365" customFormat="1" x14ac:dyDescent="0.3">
      <c r="A10" s="363"/>
      <c r="B10" s="363"/>
      <c r="C10" s="363"/>
      <c r="D10" s="363"/>
      <c r="E10" s="363"/>
      <c r="F10" s="363"/>
      <c r="G10" s="363"/>
      <c r="H10" s="363"/>
      <c r="I10" s="398"/>
      <c r="J10" s="398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363"/>
      <c r="AJ10" s="363"/>
      <c r="AK10" s="363"/>
      <c r="AL10" s="363"/>
      <c r="AM10" s="363"/>
      <c r="AN10" s="363"/>
      <c r="AO10" s="363"/>
      <c r="AP10" s="363"/>
      <c r="AQ10" s="363"/>
      <c r="AR10" s="363"/>
      <c r="AS10" s="363"/>
      <c r="AT10" s="363"/>
      <c r="AU10" s="363"/>
      <c r="AV10" s="363"/>
      <c r="AW10" s="363"/>
      <c r="AX10" s="363"/>
      <c r="AY10" s="363"/>
    </row>
    <row r="11" spans="1:53" ht="15" thickBot="1" x14ac:dyDescent="0.35"/>
    <row r="12" spans="1:53" s="373" customFormat="1" ht="15" thickBot="1" x14ac:dyDescent="0.35">
      <c r="A12" s="363" t="s">
        <v>18</v>
      </c>
      <c r="B12" s="364" t="s">
        <v>566</v>
      </c>
      <c r="C12" s="365" t="s">
        <v>159</v>
      </c>
      <c r="D12" s="366" t="s">
        <v>59</v>
      </c>
      <c r="E12" s="367">
        <v>2.9999999999999999E-7</v>
      </c>
      <c r="F12" s="364">
        <v>147</v>
      </c>
      <c r="G12" s="363">
        <v>0.2</v>
      </c>
      <c r="H12" s="368">
        <f t="shared" ref="H12:H17" si="10">E12*F12*G12</f>
        <v>8.8200000000000003E-6</v>
      </c>
      <c r="I12" s="397">
        <v>3.69</v>
      </c>
      <c r="J12" s="398">
        <f>I12</f>
        <v>3.69</v>
      </c>
      <c r="K12" s="371" t="s">
        <v>175</v>
      </c>
      <c r="L12" s="372">
        <f>I12*20</f>
        <v>73.8</v>
      </c>
      <c r="M12" s="373" t="str">
        <f t="shared" ref="M12:N17" si="11">A12</f>
        <v>С1</v>
      </c>
      <c r="N12" s="373" t="str">
        <f t="shared" si="11"/>
        <v>Промысловый нефтегазолпровод от К-643д до т.вр</v>
      </c>
      <c r="O12" s="373" t="str">
        <f t="shared" ref="O12:O17" si="12">D12</f>
        <v>Полное-пожар</v>
      </c>
      <c r="P12" s="373">
        <v>14</v>
      </c>
      <c r="Q12" s="373">
        <v>18.5</v>
      </c>
      <c r="R12" s="373">
        <v>25.4</v>
      </c>
      <c r="S12" s="373">
        <v>45.7</v>
      </c>
      <c r="T12" s="373" t="s">
        <v>83</v>
      </c>
      <c r="U12" s="373" t="s">
        <v>83</v>
      </c>
      <c r="V12" s="373" t="s">
        <v>83</v>
      </c>
      <c r="W12" s="373" t="s">
        <v>83</v>
      </c>
      <c r="X12" s="373" t="s">
        <v>83</v>
      </c>
      <c r="Y12" s="373" t="s">
        <v>83</v>
      </c>
      <c r="Z12" s="373" t="s">
        <v>83</v>
      </c>
      <c r="AA12" s="373" t="s">
        <v>83</v>
      </c>
      <c r="AB12" s="373" t="s">
        <v>83</v>
      </c>
      <c r="AC12" s="373" t="s">
        <v>83</v>
      </c>
      <c r="AD12" s="373" t="s">
        <v>83</v>
      </c>
      <c r="AE12" s="373" t="s">
        <v>83</v>
      </c>
      <c r="AF12" s="373" t="s">
        <v>83</v>
      </c>
      <c r="AG12" s="373" t="s">
        <v>83</v>
      </c>
      <c r="AH12" s="373" t="s">
        <v>83</v>
      </c>
      <c r="AI12" s="373" t="s">
        <v>83</v>
      </c>
      <c r="AJ12" s="374">
        <v>1</v>
      </c>
      <c r="AK12" s="374">
        <v>2</v>
      </c>
      <c r="AL12" s="375">
        <v>0.75</v>
      </c>
      <c r="AM12" s="375">
        <v>2.7E-2</v>
      </c>
      <c r="AN12" s="375">
        <v>3</v>
      </c>
      <c r="AQ12" s="376">
        <f>AM12*I12+AL12</f>
        <v>0.84963</v>
      </c>
      <c r="AR12" s="376">
        <f t="shared" ref="AR12:AR17" si="13">0.1*AQ12</f>
        <v>8.4963000000000011E-2</v>
      </c>
      <c r="AS12" s="377">
        <f t="shared" ref="AS12:AS17" si="14">AJ12*3+0.25*AK12</f>
        <v>3.5</v>
      </c>
      <c r="AT12" s="377">
        <f t="shared" ref="AT12:AT17" si="15">SUM(AQ12:AS12)/4</f>
        <v>1.1086482499999999</v>
      </c>
      <c r="AU12" s="376">
        <f>10068.2*J12*POWER(10,-6)</f>
        <v>3.7151658000000004E-2</v>
      </c>
      <c r="AV12" s="377">
        <f t="shared" ref="AV12:AV17" si="16">AU12+AT12+AS12+AR12+AQ12</f>
        <v>5.5803929080000003</v>
      </c>
      <c r="AW12" s="378">
        <f t="shared" ref="AW12:AW17" si="17">AJ12*H12</f>
        <v>8.8200000000000003E-6</v>
      </c>
      <c r="AX12" s="378">
        <f t="shared" ref="AX12:AX17" si="18">H12*AK12</f>
        <v>1.7640000000000001E-5</v>
      </c>
      <c r="AY12" s="378">
        <f t="shared" ref="AY12:AY17" si="19">H12*AV12</f>
        <v>4.9219065448560001E-5</v>
      </c>
    </row>
    <row r="13" spans="1:53" s="373" customFormat="1" ht="15" thickBot="1" x14ac:dyDescent="0.35">
      <c r="A13" s="363" t="s">
        <v>19</v>
      </c>
      <c r="B13" s="363" t="str">
        <f>B12</f>
        <v>Промысловый нефтегазолпровод от К-643д до т.вр</v>
      </c>
      <c r="C13" s="365" t="s">
        <v>160</v>
      </c>
      <c r="D13" s="366" t="s">
        <v>62</v>
      </c>
      <c r="E13" s="379">
        <f>E12</f>
        <v>2.9999999999999999E-7</v>
      </c>
      <c r="F13" s="380">
        <f>F12</f>
        <v>147</v>
      </c>
      <c r="G13" s="363">
        <v>0.04</v>
      </c>
      <c r="H13" s="368">
        <f t="shared" si="10"/>
        <v>1.7640000000000002E-6</v>
      </c>
      <c r="I13" s="398">
        <f>I12</f>
        <v>3.69</v>
      </c>
      <c r="J13" s="397">
        <f>POWER(10,-6)*35*SQRT(100)*3600*L12/1000*0.1</f>
        <v>9.2987999999999994E-3</v>
      </c>
      <c r="K13" s="371" t="s">
        <v>176</v>
      </c>
      <c r="L13" s="372">
        <v>0</v>
      </c>
      <c r="M13" s="373" t="str">
        <f t="shared" si="11"/>
        <v>С2</v>
      </c>
      <c r="N13" s="373" t="str">
        <f t="shared" si="11"/>
        <v>Промысловый нефтегазолпровод от К-643д до т.вр</v>
      </c>
      <c r="O13" s="373" t="str">
        <f t="shared" si="12"/>
        <v>Полное-взрыв</v>
      </c>
      <c r="P13" s="373" t="s">
        <v>83</v>
      </c>
      <c r="Q13" s="373" t="s">
        <v>83</v>
      </c>
      <c r="R13" s="373" t="s">
        <v>83</v>
      </c>
      <c r="S13" s="373" t="s">
        <v>83</v>
      </c>
      <c r="T13" s="373">
        <v>0</v>
      </c>
      <c r="U13" s="373">
        <v>0</v>
      </c>
      <c r="V13" s="373">
        <v>0</v>
      </c>
      <c r="W13" s="373">
        <v>0</v>
      </c>
      <c r="X13" s="373">
        <v>20.6</v>
      </c>
      <c r="Y13" s="373" t="s">
        <v>83</v>
      </c>
      <c r="Z13" s="373" t="s">
        <v>83</v>
      </c>
      <c r="AA13" s="373" t="s">
        <v>83</v>
      </c>
      <c r="AB13" s="373" t="s">
        <v>83</v>
      </c>
      <c r="AC13" s="373" t="s">
        <v>83</v>
      </c>
      <c r="AD13" s="373" t="s">
        <v>83</v>
      </c>
      <c r="AE13" s="373" t="s">
        <v>83</v>
      </c>
      <c r="AF13" s="373" t="s">
        <v>83</v>
      </c>
      <c r="AG13" s="373" t="s">
        <v>83</v>
      </c>
      <c r="AH13" s="373" t="s">
        <v>83</v>
      </c>
      <c r="AI13" s="373" t="s">
        <v>83</v>
      </c>
      <c r="AJ13" s="374">
        <v>2</v>
      </c>
      <c r="AK13" s="374">
        <v>1</v>
      </c>
      <c r="AL13" s="373">
        <f>AL12</f>
        <v>0.75</v>
      </c>
      <c r="AM13" s="373">
        <f>AM12</f>
        <v>2.7E-2</v>
      </c>
      <c r="AN13" s="373">
        <f>AN12</f>
        <v>3</v>
      </c>
      <c r="AQ13" s="376">
        <f>AM13*I13+AL13</f>
        <v>0.84963</v>
      </c>
      <c r="AR13" s="376">
        <f t="shared" si="13"/>
        <v>8.4963000000000011E-2</v>
      </c>
      <c r="AS13" s="377">
        <f t="shared" si="14"/>
        <v>6.25</v>
      </c>
      <c r="AT13" s="377">
        <f t="shared" si="15"/>
        <v>1.7961482499999999</v>
      </c>
      <c r="AU13" s="376">
        <f>10068.2*J13*POWER(10,-6)*10</f>
        <v>9.3622178159999999E-4</v>
      </c>
      <c r="AV13" s="377">
        <f t="shared" si="16"/>
        <v>8.9816774717815999</v>
      </c>
      <c r="AW13" s="378">
        <f t="shared" si="17"/>
        <v>3.5280000000000004E-6</v>
      </c>
      <c r="AX13" s="378">
        <f t="shared" si="18"/>
        <v>1.7640000000000002E-6</v>
      </c>
      <c r="AY13" s="378">
        <f t="shared" si="19"/>
        <v>1.5843679060222743E-5</v>
      </c>
    </row>
    <row r="14" spans="1:53" s="373" customFormat="1" x14ac:dyDescent="0.3">
      <c r="A14" s="363" t="s">
        <v>20</v>
      </c>
      <c r="B14" s="363" t="str">
        <f>B12</f>
        <v>Промысловый нефтегазолпровод от К-643д до т.вр</v>
      </c>
      <c r="C14" s="365" t="s">
        <v>169</v>
      </c>
      <c r="D14" s="366" t="s">
        <v>171</v>
      </c>
      <c r="E14" s="379">
        <f>E12</f>
        <v>2.9999999999999999E-7</v>
      </c>
      <c r="F14" s="380">
        <f>F12</f>
        <v>147</v>
      </c>
      <c r="G14" s="363">
        <v>0.76</v>
      </c>
      <c r="H14" s="368">
        <f t="shared" si="10"/>
        <v>3.3516000000000002E-5</v>
      </c>
      <c r="I14" s="398">
        <f>I12</f>
        <v>3.69</v>
      </c>
      <c r="J14" s="399">
        <f>J13</f>
        <v>9.2987999999999994E-3</v>
      </c>
      <c r="K14" s="371" t="s">
        <v>177</v>
      </c>
      <c r="L14" s="372">
        <v>0</v>
      </c>
      <c r="M14" s="373" t="str">
        <f t="shared" si="11"/>
        <v>С3</v>
      </c>
      <c r="N14" s="373" t="str">
        <f t="shared" si="11"/>
        <v>Промысловый нефтегазолпровод от К-643д до т.вр</v>
      </c>
      <c r="O14" s="373" t="str">
        <f t="shared" si="12"/>
        <v>Полное-токси</v>
      </c>
      <c r="P14" s="373" t="s">
        <v>83</v>
      </c>
      <c r="Q14" s="373" t="s">
        <v>83</v>
      </c>
      <c r="R14" s="373" t="s">
        <v>83</v>
      </c>
      <c r="S14" s="373" t="s">
        <v>83</v>
      </c>
      <c r="T14" s="373" t="s">
        <v>83</v>
      </c>
      <c r="U14" s="373" t="s">
        <v>83</v>
      </c>
      <c r="V14" s="373" t="s">
        <v>83</v>
      </c>
      <c r="W14" s="373" t="s">
        <v>83</v>
      </c>
      <c r="X14" s="373" t="s">
        <v>83</v>
      </c>
      <c r="Y14" s="373" t="s">
        <v>83</v>
      </c>
      <c r="Z14" s="373" t="s">
        <v>83</v>
      </c>
      <c r="AA14" s="373" t="s">
        <v>83</v>
      </c>
      <c r="AB14" s="373" t="s">
        <v>83</v>
      </c>
      <c r="AC14" s="373">
        <v>3.4</v>
      </c>
      <c r="AD14" s="373">
        <v>6.4</v>
      </c>
      <c r="AE14" s="373" t="s">
        <v>83</v>
      </c>
      <c r="AF14" s="373" t="s">
        <v>83</v>
      </c>
      <c r="AG14" s="373" t="s">
        <v>83</v>
      </c>
      <c r="AH14" s="373" t="s">
        <v>83</v>
      </c>
      <c r="AI14" s="373" t="s">
        <v>83</v>
      </c>
      <c r="AJ14" s="373">
        <v>0</v>
      </c>
      <c r="AK14" s="373">
        <v>1</v>
      </c>
      <c r="AL14" s="373">
        <f>AL12</f>
        <v>0.75</v>
      </c>
      <c r="AM14" s="373">
        <f>AM12</f>
        <v>2.7E-2</v>
      </c>
      <c r="AN14" s="373">
        <f>AN12</f>
        <v>3</v>
      </c>
      <c r="AQ14" s="376">
        <f>AM14*I14*0.1+AL14</f>
        <v>0.75996299999999994</v>
      </c>
      <c r="AR14" s="376">
        <f t="shared" si="13"/>
        <v>7.5996300000000003E-2</v>
      </c>
      <c r="AS14" s="377">
        <f t="shared" si="14"/>
        <v>0.25</v>
      </c>
      <c r="AT14" s="377">
        <f t="shared" si="15"/>
        <v>0.27148982499999996</v>
      </c>
      <c r="AU14" s="376">
        <f>1333*J13*POWER(10,-6)</f>
        <v>1.2395300399999999E-5</v>
      </c>
      <c r="AV14" s="377">
        <f t="shared" si="16"/>
        <v>1.3574615203003999</v>
      </c>
      <c r="AW14" s="378">
        <f t="shared" si="17"/>
        <v>0</v>
      </c>
      <c r="AX14" s="378">
        <f t="shared" si="18"/>
        <v>3.3516000000000002E-5</v>
      </c>
      <c r="AY14" s="378">
        <f t="shared" si="19"/>
        <v>4.5496680314388204E-5</v>
      </c>
    </row>
    <row r="15" spans="1:53" s="373" customFormat="1" x14ac:dyDescent="0.3">
      <c r="A15" s="363" t="s">
        <v>21</v>
      </c>
      <c r="B15" s="363" t="str">
        <f>B12</f>
        <v>Промысловый нефтегазолпровод от К-643д до т.вр</v>
      </c>
      <c r="C15" s="365" t="s">
        <v>162</v>
      </c>
      <c r="D15" s="366" t="s">
        <v>84</v>
      </c>
      <c r="E15" s="367">
        <v>1.9999999999999999E-6</v>
      </c>
      <c r="F15" s="380">
        <f>F12</f>
        <v>147</v>
      </c>
      <c r="G15" s="363">
        <v>0.2</v>
      </c>
      <c r="H15" s="368">
        <f t="shared" si="10"/>
        <v>5.8799999999999999E-5</v>
      </c>
      <c r="I15" s="398">
        <f>0.15*I12</f>
        <v>0.55349999999999999</v>
      </c>
      <c r="J15" s="398">
        <f>I15</f>
        <v>0.55349999999999999</v>
      </c>
      <c r="K15" s="383" t="s">
        <v>179</v>
      </c>
      <c r="L15" s="384">
        <v>45390</v>
      </c>
      <c r="M15" s="373" t="str">
        <f t="shared" si="11"/>
        <v>С4</v>
      </c>
      <c r="N15" s="373" t="str">
        <f t="shared" si="11"/>
        <v>Промысловый нефтегазолпровод от К-643д до т.вр</v>
      </c>
      <c r="O15" s="373" t="str">
        <f t="shared" si="12"/>
        <v>Частичное-пожар</v>
      </c>
      <c r="P15" s="373">
        <v>9.8000000000000007</v>
      </c>
      <c r="Q15" s="373">
        <v>12.1</v>
      </c>
      <c r="R15" s="373">
        <v>15.3</v>
      </c>
      <c r="S15" s="373">
        <v>25.1</v>
      </c>
      <c r="T15" s="373" t="s">
        <v>83</v>
      </c>
      <c r="U15" s="373" t="s">
        <v>83</v>
      </c>
      <c r="V15" s="373" t="s">
        <v>83</v>
      </c>
      <c r="W15" s="373" t="s">
        <v>83</v>
      </c>
      <c r="X15" s="373" t="s">
        <v>83</v>
      </c>
      <c r="Y15" s="373" t="s">
        <v>83</v>
      </c>
      <c r="Z15" s="373" t="s">
        <v>83</v>
      </c>
      <c r="AA15" s="373" t="s">
        <v>83</v>
      </c>
      <c r="AB15" s="373" t="s">
        <v>83</v>
      </c>
      <c r="AC15" s="373" t="s">
        <v>83</v>
      </c>
      <c r="AD15" s="373" t="s">
        <v>83</v>
      </c>
      <c r="AE15" s="373" t="s">
        <v>83</v>
      </c>
      <c r="AF15" s="373" t="s">
        <v>83</v>
      </c>
      <c r="AG15" s="373" t="s">
        <v>83</v>
      </c>
      <c r="AH15" s="373" t="s">
        <v>83</v>
      </c>
      <c r="AI15" s="373" t="s">
        <v>83</v>
      </c>
      <c r="AJ15" s="373">
        <v>0</v>
      </c>
      <c r="AK15" s="373">
        <v>1</v>
      </c>
      <c r="AL15" s="373">
        <f>0.1*AL12</f>
        <v>7.5000000000000011E-2</v>
      </c>
      <c r="AM15" s="373">
        <f>AM12</f>
        <v>2.7E-2</v>
      </c>
      <c r="AN15" s="373">
        <f>ROUNDUP(AN12/3,0)</f>
        <v>1</v>
      </c>
      <c r="AQ15" s="376">
        <f>AM15*I15+AL15</f>
        <v>8.9944500000000011E-2</v>
      </c>
      <c r="AR15" s="376">
        <f t="shared" si="13"/>
        <v>8.9944500000000011E-3</v>
      </c>
      <c r="AS15" s="377">
        <f t="shared" si="14"/>
        <v>0.25</v>
      </c>
      <c r="AT15" s="377">
        <f t="shared" si="15"/>
        <v>8.7234737500000006E-2</v>
      </c>
      <c r="AU15" s="376">
        <f>10068.2*J15*POWER(10,-6)</f>
        <v>5.5727486999999996E-3</v>
      </c>
      <c r="AV15" s="377">
        <f t="shared" si="16"/>
        <v>0.44174643619999998</v>
      </c>
      <c r="AW15" s="378">
        <f t="shared" si="17"/>
        <v>0</v>
      </c>
      <c r="AX15" s="378">
        <f t="shared" si="18"/>
        <v>5.8799999999999999E-5</v>
      </c>
      <c r="AY15" s="378">
        <f t="shared" si="19"/>
        <v>2.5974690448559999E-5</v>
      </c>
    </row>
    <row r="16" spans="1:53" s="373" customFormat="1" x14ac:dyDescent="0.3">
      <c r="A16" s="363" t="s">
        <v>22</v>
      </c>
      <c r="B16" s="363" t="str">
        <f>B12</f>
        <v>Промысловый нефтегазолпровод от К-643д до т.вр</v>
      </c>
      <c r="C16" s="365" t="s">
        <v>163</v>
      </c>
      <c r="D16" s="366" t="s">
        <v>165</v>
      </c>
      <c r="E16" s="379">
        <f>E15</f>
        <v>1.9999999999999999E-6</v>
      </c>
      <c r="F16" s="380">
        <f>F12</f>
        <v>147</v>
      </c>
      <c r="G16" s="363">
        <v>0.04</v>
      </c>
      <c r="H16" s="368">
        <f t="shared" si="10"/>
        <v>1.1759999999999999E-5</v>
      </c>
      <c r="I16" s="398">
        <f>0.15*I12</f>
        <v>0.55349999999999999</v>
      </c>
      <c r="J16" s="398">
        <f>0.15*J13</f>
        <v>1.39482E-3</v>
      </c>
      <c r="K16" s="383" t="s">
        <v>180</v>
      </c>
      <c r="L16" s="384">
        <v>3</v>
      </c>
      <c r="M16" s="373" t="str">
        <f t="shared" si="11"/>
        <v>С5</v>
      </c>
      <c r="N16" s="373" t="str">
        <f t="shared" si="11"/>
        <v>Промысловый нефтегазолпровод от К-643д до т.вр</v>
      </c>
      <c r="O16" s="373" t="str">
        <f t="shared" si="12"/>
        <v>Частичное-пожар-вспышка</v>
      </c>
      <c r="P16" s="373" t="s">
        <v>83</v>
      </c>
      <c r="Q16" s="373" t="s">
        <v>83</v>
      </c>
      <c r="R16" s="373" t="s">
        <v>83</v>
      </c>
      <c r="S16" s="373" t="s">
        <v>83</v>
      </c>
      <c r="T16" s="373" t="s">
        <v>83</v>
      </c>
      <c r="U16" s="373" t="s">
        <v>83</v>
      </c>
      <c r="V16" s="373" t="s">
        <v>83</v>
      </c>
      <c r="W16" s="373" t="s">
        <v>83</v>
      </c>
      <c r="X16" s="373" t="s">
        <v>83</v>
      </c>
      <c r="Y16" s="373" t="s">
        <v>83</v>
      </c>
      <c r="Z16" s="373" t="s">
        <v>83</v>
      </c>
      <c r="AA16" s="373">
        <v>3.83</v>
      </c>
      <c r="AB16" s="373">
        <v>4.5999999999999996</v>
      </c>
      <c r="AC16" s="373" t="s">
        <v>83</v>
      </c>
      <c r="AD16" s="373" t="s">
        <v>83</v>
      </c>
      <c r="AE16" s="373" t="s">
        <v>83</v>
      </c>
      <c r="AF16" s="373" t="s">
        <v>83</v>
      </c>
      <c r="AG16" s="373" t="s">
        <v>83</v>
      </c>
      <c r="AH16" s="373" t="s">
        <v>83</v>
      </c>
      <c r="AI16" s="373" t="s">
        <v>83</v>
      </c>
      <c r="AJ16" s="373">
        <v>0</v>
      </c>
      <c r="AK16" s="373">
        <v>1</v>
      </c>
      <c r="AL16" s="373">
        <f>0.1*AL13</f>
        <v>7.5000000000000011E-2</v>
      </c>
      <c r="AM16" s="373">
        <f>AM12</f>
        <v>2.7E-2</v>
      </c>
      <c r="AN16" s="373">
        <f>ROUNDUP(AN12/3,0)</f>
        <v>1</v>
      </c>
      <c r="AQ16" s="376">
        <f>AM16*I16+AL16</f>
        <v>8.9944500000000011E-2</v>
      </c>
      <c r="AR16" s="376">
        <f t="shared" si="13"/>
        <v>8.9944500000000011E-3</v>
      </c>
      <c r="AS16" s="377">
        <f t="shared" si="14"/>
        <v>0.25</v>
      </c>
      <c r="AT16" s="377">
        <f t="shared" si="15"/>
        <v>8.7234737500000006E-2</v>
      </c>
      <c r="AU16" s="376">
        <f>10068.2*J16*POWER(10,-6)*10</f>
        <v>1.4043326723999999E-4</v>
      </c>
      <c r="AV16" s="377">
        <f t="shared" si="16"/>
        <v>0.43631412076723997</v>
      </c>
      <c r="AW16" s="378">
        <f t="shared" si="17"/>
        <v>0</v>
      </c>
      <c r="AX16" s="378">
        <f t="shared" si="18"/>
        <v>1.1759999999999999E-5</v>
      </c>
      <c r="AY16" s="378">
        <f t="shared" si="19"/>
        <v>5.1310540602227414E-6</v>
      </c>
    </row>
    <row r="17" spans="1:51" s="373" customFormat="1" ht="15" thickBot="1" x14ac:dyDescent="0.35">
      <c r="A17" s="363" t="s">
        <v>23</v>
      </c>
      <c r="B17" s="363" t="str">
        <f>B12</f>
        <v>Промысловый нефтегазолпровод от К-643д до т.вр</v>
      </c>
      <c r="C17" s="365" t="s">
        <v>170</v>
      </c>
      <c r="D17" s="366" t="s">
        <v>172</v>
      </c>
      <c r="E17" s="379">
        <f>E15</f>
        <v>1.9999999999999999E-6</v>
      </c>
      <c r="F17" s="380">
        <f>F12</f>
        <v>147</v>
      </c>
      <c r="G17" s="363">
        <v>0.76</v>
      </c>
      <c r="H17" s="368">
        <f t="shared" si="10"/>
        <v>2.2343999999999999E-4</v>
      </c>
      <c r="I17" s="398">
        <f>0.15*I12</f>
        <v>0.55349999999999999</v>
      </c>
      <c r="J17" s="399">
        <f>J16</f>
        <v>1.39482E-3</v>
      </c>
      <c r="K17" s="387" t="s">
        <v>191</v>
      </c>
      <c r="L17" s="400">
        <v>2</v>
      </c>
      <c r="M17" s="373" t="str">
        <f t="shared" si="11"/>
        <v>С6</v>
      </c>
      <c r="N17" s="373" t="str">
        <f t="shared" si="11"/>
        <v>Промысловый нефтегазолпровод от К-643д до т.вр</v>
      </c>
      <c r="O17" s="373" t="str">
        <f t="shared" si="12"/>
        <v>Частичное-токси</v>
      </c>
      <c r="P17" s="373" t="s">
        <v>83</v>
      </c>
      <c r="Q17" s="373" t="s">
        <v>83</v>
      </c>
      <c r="R17" s="373" t="s">
        <v>83</v>
      </c>
      <c r="S17" s="373" t="s">
        <v>83</v>
      </c>
      <c r="T17" s="373" t="s">
        <v>83</v>
      </c>
      <c r="U17" s="373" t="s">
        <v>83</v>
      </c>
      <c r="V17" s="373" t="s">
        <v>83</v>
      </c>
      <c r="W17" s="373" t="s">
        <v>83</v>
      </c>
      <c r="X17" s="373" t="s">
        <v>83</v>
      </c>
      <c r="Y17" s="373" t="s">
        <v>83</v>
      </c>
      <c r="Z17" s="373" t="s">
        <v>83</v>
      </c>
      <c r="AA17" s="373" t="s">
        <v>83</v>
      </c>
      <c r="AB17" s="373" t="s">
        <v>83</v>
      </c>
      <c r="AC17" s="373">
        <v>1</v>
      </c>
      <c r="AD17" s="373">
        <v>2</v>
      </c>
      <c r="AE17" s="373" t="s">
        <v>83</v>
      </c>
      <c r="AF17" s="373" t="s">
        <v>83</v>
      </c>
      <c r="AG17" s="373" t="s">
        <v>83</v>
      </c>
      <c r="AH17" s="373" t="s">
        <v>83</v>
      </c>
      <c r="AI17" s="373" t="s">
        <v>83</v>
      </c>
      <c r="AJ17" s="373">
        <v>0</v>
      </c>
      <c r="AK17" s="373">
        <v>1</v>
      </c>
      <c r="AL17" s="373">
        <f>0.1*AL14</f>
        <v>7.5000000000000011E-2</v>
      </c>
      <c r="AM17" s="373">
        <f>AM12</f>
        <v>2.7E-2</v>
      </c>
      <c r="AN17" s="373">
        <f>ROUNDUP(AN12/3,0)</f>
        <v>1</v>
      </c>
      <c r="AQ17" s="376">
        <f>AM17*I17*0.1+AL17</f>
        <v>7.6494450000000005E-2</v>
      </c>
      <c r="AR17" s="376">
        <f t="shared" si="13"/>
        <v>7.6494450000000012E-3</v>
      </c>
      <c r="AS17" s="377">
        <f t="shared" si="14"/>
        <v>0.25</v>
      </c>
      <c r="AT17" s="377">
        <f t="shared" si="15"/>
        <v>8.3535973750000006E-2</v>
      </c>
      <c r="AU17" s="376">
        <f>1333*J16*POWER(10,-6)</f>
        <v>1.85929506E-6</v>
      </c>
      <c r="AV17" s="377">
        <f t="shared" si="16"/>
        <v>0.41768172804505999</v>
      </c>
      <c r="AW17" s="378">
        <f t="shared" si="17"/>
        <v>0</v>
      </c>
      <c r="AX17" s="378">
        <f t="shared" si="18"/>
        <v>2.2343999999999999E-4</v>
      </c>
      <c r="AY17" s="378">
        <f t="shared" si="19"/>
        <v>9.3326805314388194E-5</v>
      </c>
    </row>
    <row r="18" spans="1:51" s="365" customFormat="1" x14ac:dyDescent="0.3">
      <c r="A18" s="363"/>
      <c r="B18" s="363"/>
      <c r="C18" s="363"/>
      <c r="D18" s="363"/>
      <c r="E18" s="363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363"/>
      <c r="Q18" s="363"/>
      <c r="R18" s="363"/>
      <c r="S18" s="363"/>
      <c r="T18" s="363"/>
      <c r="U18" s="363"/>
      <c r="V18" s="363"/>
      <c r="W18" s="363"/>
      <c r="X18" s="363"/>
      <c r="Y18" s="363"/>
      <c r="Z18" s="363"/>
      <c r="AA18" s="363"/>
      <c r="AB18" s="363"/>
      <c r="AC18" s="363"/>
      <c r="AD18" s="363"/>
      <c r="AE18" s="363"/>
      <c r="AF18" s="363"/>
      <c r="AG18" s="363"/>
      <c r="AH18" s="363"/>
      <c r="AI18" s="363"/>
      <c r="AJ18" s="363"/>
      <c r="AK18" s="363"/>
      <c r="AL18" s="363"/>
      <c r="AM18" s="363"/>
      <c r="AN18" s="363"/>
      <c r="AO18" s="363"/>
      <c r="AP18" s="363"/>
      <c r="AQ18" s="363"/>
      <c r="AR18" s="363"/>
      <c r="AS18" s="363"/>
      <c r="AT18" s="363"/>
      <c r="AU18" s="363"/>
      <c r="AV18" s="363"/>
      <c r="AW18" s="363"/>
      <c r="AX18" s="363"/>
      <c r="AY18" s="363"/>
    </row>
    <row r="19" spans="1:51" s="365" customFormat="1" x14ac:dyDescent="0.3">
      <c r="A19" s="363"/>
      <c r="B19" s="363"/>
      <c r="C19" s="363"/>
      <c r="D19" s="363"/>
      <c r="E19" s="363"/>
      <c r="F19" s="363"/>
      <c r="G19" s="363"/>
      <c r="H19" s="363"/>
      <c r="I19" s="398"/>
      <c r="J19" s="398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363"/>
      <c r="AB19" s="363"/>
      <c r="AC19" s="363"/>
      <c r="AD19" s="363"/>
      <c r="AE19" s="363"/>
      <c r="AF19" s="363"/>
      <c r="AG19" s="363"/>
      <c r="AH19" s="363"/>
      <c r="AI19" s="363"/>
      <c r="AJ19" s="363"/>
      <c r="AK19" s="363"/>
      <c r="AL19" s="363"/>
      <c r="AM19" s="363"/>
      <c r="AN19" s="363"/>
      <c r="AO19" s="363"/>
      <c r="AP19" s="363"/>
      <c r="AQ19" s="363"/>
      <c r="AR19" s="363"/>
      <c r="AS19" s="363"/>
      <c r="AT19" s="363"/>
      <c r="AU19" s="363"/>
      <c r="AV19" s="363"/>
      <c r="AW19" s="363"/>
      <c r="AX19" s="363"/>
      <c r="AY19" s="363"/>
    </row>
    <row r="20" spans="1:51" s="365" customFormat="1" x14ac:dyDescent="0.3">
      <c r="A20" s="363"/>
      <c r="B20" s="363"/>
      <c r="C20" s="363"/>
      <c r="D20" s="363"/>
      <c r="E20" s="363"/>
      <c r="F20" s="363"/>
      <c r="G20" s="363"/>
      <c r="H20" s="363"/>
      <c r="I20" s="398"/>
      <c r="J20" s="398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363"/>
      <c r="AH20" s="363"/>
      <c r="AI20" s="363"/>
      <c r="AJ20" s="363"/>
      <c r="AK20" s="363"/>
      <c r="AL20" s="363"/>
      <c r="AM20" s="363"/>
      <c r="AN20" s="363"/>
      <c r="AO20" s="363"/>
      <c r="AP20" s="363"/>
      <c r="AQ20" s="363"/>
      <c r="AR20" s="363"/>
      <c r="AS20" s="363"/>
      <c r="AT20" s="363"/>
      <c r="AU20" s="363"/>
      <c r="AV20" s="363"/>
      <c r="AW20" s="363"/>
      <c r="AX20" s="363"/>
      <c r="AY20" s="363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403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44034" r:id="rId4" name="Показать"/>
      </mc:Fallback>
    </mc:AlternateContent>
    <mc:AlternateContent xmlns:mc="http://schemas.openxmlformats.org/markup-compatibility/2006">
      <mc:Choice Requires="x14">
        <control shapeId="4403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44033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0.76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44" activePane="bottomLeft" state="frozen"/>
      <selection pane="bottomLeft" activeCell="B32" sqref="B32:H5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38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38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24</v>
      </c>
      <c r="C32" s="118" t="s">
        <v>26</v>
      </c>
      <c r="D32" s="118" t="s">
        <v>28</v>
      </c>
      <c r="E32" s="119" t="s">
        <v>126</v>
      </c>
      <c r="F32" s="120"/>
      <c r="G32" s="105" t="s">
        <v>29</v>
      </c>
      <c r="H32" s="105" t="s">
        <v>14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121</v>
      </c>
      <c r="H34" s="75">
        <f>D35</f>
        <v>0.2</v>
      </c>
    </row>
    <row r="35" spans="2:8" x14ac:dyDescent="0.3">
      <c r="B35" s="54"/>
      <c r="C35" s="39" t="s">
        <v>33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37</v>
      </c>
      <c r="D38" s="18">
        <v>0.8</v>
      </c>
      <c r="E38" s="54"/>
      <c r="F38" s="55"/>
      <c r="G38" s="54" t="s">
        <v>85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127</v>
      </c>
      <c r="F39" s="122">
        <v>0.6</v>
      </c>
      <c r="G39" s="58"/>
      <c r="H39" s="59"/>
    </row>
    <row r="40" spans="2:8" x14ac:dyDescent="0.3">
      <c r="B40" s="39" t="s">
        <v>35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122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128</v>
      </c>
      <c r="F42" s="125">
        <v>0.4</v>
      </c>
      <c r="G42" s="60" t="s">
        <v>295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123</v>
      </c>
      <c r="E44" s="63"/>
      <c r="F44" s="108"/>
      <c r="G44" s="60" t="s">
        <v>38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41</v>
      </c>
      <c r="C47" s="61"/>
      <c r="D47" s="54"/>
      <c r="E47" s="121"/>
      <c r="F47" s="108"/>
      <c r="G47" s="109" t="s">
        <v>121</v>
      </c>
      <c r="H47" s="75">
        <f>D48</f>
        <v>3.5000000000000003E-2</v>
      </c>
    </row>
    <row r="48" spans="2:8" x14ac:dyDescent="0.3">
      <c r="B48" s="54"/>
      <c r="C48" s="62" t="s">
        <v>129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130</v>
      </c>
      <c r="D51" s="18">
        <v>0.96499999999999997</v>
      </c>
      <c r="E51" s="54"/>
      <c r="F51" s="55"/>
      <c r="G51" s="54" t="s">
        <v>85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122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124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123</v>
      </c>
      <c r="F55" s="125">
        <v>0.76</v>
      </c>
      <c r="G55" s="60" t="s">
        <v>45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125</v>
      </c>
      <c r="E57" s="63"/>
      <c r="F57" s="108"/>
      <c r="G57" s="60" t="s">
        <v>38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37" activePane="bottomLeft" state="frozen"/>
      <selection pane="bottomLeft" activeCell="B31" sqref="B31:H5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117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117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24</v>
      </c>
      <c r="C31" s="118" t="s">
        <v>26</v>
      </c>
      <c r="D31" s="118" t="s">
        <v>28</v>
      </c>
      <c r="E31" s="119" t="s">
        <v>126</v>
      </c>
      <c r="F31" s="120"/>
      <c r="G31" s="105" t="s">
        <v>29</v>
      </c>
      <c r="H31" s="105" t="s">
        <v>14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121</v>
      </c>
      <c r="H33" s="75">
        <f>D34</f>
        <v>0.2</v>
      </c>
    </row>
    <row r="34" spans="2:8" x14ac:dyDescent="0.3">
      <c r="B34" s="54"/>
      <c r="C34" s="39" t="s">
        <v>33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37</v>
      </c>
      <c r="D37" s="18">
        <v>0.8</v>
      </c>
      <c r="E37" s="54"/>
      <c r="F37" s="55"/>
      <c r="G37" s="54" t="s">
        <v>85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127</v>
      </c>
      <c r="F38" s="122">
        <v>0.6</v>
      </c>
      <c r="G38" s="58"/>
      <c r="H38" s="59"/>
    </row>
    <row r="39" spans="2:8" x14ac:dyDescent="0.3">
      <c r="B39" s="39" t="s">
        <v>35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122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128</v>
      </c>
      <c r="F41" s="125">
        <v>0.4</v>
      </c>
      <c r="G41" s="60" t="s">
        <v>295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123</v>
      </c>
      <c r="E43" s="63"/>
      <c r="F43" s="108"/>
      <c r="G43" s="60" t="s">
        <v>117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41</v>
      </c>
      <c r="C46" s="61"/>
      <c r="D46" s="54"/>
      <c r="E46" s="121"/>
      <c r="F46" s="108"/>
      <c r="G46" s="109" t="s">
        <v>121</v>
      </c>
      <c r="H46" s="75">
        <f>D47</f>
        <v>3.5000000000000003E-2</v>
      </c>
    </row>
    <row r="47" spans="2:8" x14ac:dyDescent="0.3">
      <c r="B47" s="54"/>
      <c r="C47" s="62" t="s">
        <v>129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130</v>
      </c>
      <c r="D50" s="18">
        <v>0.96499999999999997</v>
      </c>
      <c r="E50" s="54"/>
      <c r="F50" s="55"/>
      <c r="G50" s="54" t="s">
        <v>85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122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124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123</v>
      </c>
      <c r="F54" s="125">
        <v>0.76</v>
      </c>
      <c r="G54" s="60" t="s">
        <v>45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125</v>
      </c>
      <c r="E56" s="63"/>
      <c r="F56" s="108"/>
      <c r="G56" s="60" t="s">
        <v>117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0.90249999999999997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32</vt:i4>
      </vt:variant>
    </vt:vector>
  </HeadingPairs>
  <TitlesOfParts>
    <vt:vector size="32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DB</vt:lpstr>
      <vt:lpstr>Масса исп.</vt:lpstr>
      <vt:lpstr>Масса ОВ</vt:lpstr>
      <vt:lpstr>Расчет</vt:lpstr>
      <vt:lpstr>Сценарии</vt:lpstr>
      <vt:lpstr>Частоты аварий</vt:lpstr>
      <vt:lpstr>Статистика аварий</vt:lpstr>
      <vt:lpstr>Погода 2023 (Казань)</vt:lpstr>
      <vt:lpstr>FN_FG</vt:lpstr>
      <vt:lpstr>дБR, ppm</vt:lpstr>
      <vt:lpstr>НАИЛЬ УСО</vt:lpstr>
      <vt:lpstr>КУСТ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cp:lastPrinted>2024-05-08T06:23:17Z</cp:lastPrinted>
  <dcterms:created xsi:type="dcterms:W3CDTF">2023-05-30T04:30:41Z</dcterms:created>
  <dcterms:modified xsi:type="dcterms:W3CDTF">2024-08-14T15:02:49Z</dcterms:modified>
</cp:coreProperties>
</file>