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-105" yWindow="-105" windowWidth="30930" windowHeight="16890" activeTab="2"/>
  </bookViews>
  <sheets>
    <sheet name="Масса исп." sheetId="3" r:id="rId1"/>
    <sheet name="Масса ОВ" sheetId="2" r:id="rId2"/>
    <sheet name="Сценарии" sheetId="5" r:id="rId3"/>
    <sheet name="Лист1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4" i="5" l="1"/>
  <c r="J30" i="5"/>
  <c r="J50" i="5"/>
  <c r="J40" i="5"/>
  <c r="J20" i="5"/>
  <c r="J60" i="5"/>
  <c r="J10" i="5"/>
  <c r="H132" i="5" l="1"/>
  <c r="AV134" i="5" l="1"/>
  <c r="AU134" i="5"/>
  <c r="AV133" i="5"/>
  <c r="AU133" i="5"/>
  <c r="J70" i="5" l="1"/>
  <c r="I15" i="5" l="1"/>
  <c r="I17" i="5"/>
  <c r="O60" i="5" l="1"/>
  <c r="O70" i="5"/>
  <c r="N60" i="5"/>
  <c r="N10" i="5"/>
  <c r="O10" i="5"/>
  <c r="AQ10" i="5"/>
  <c r="AK10" i="5"/>
  <c r="AJ10" i="5"/>
  <c r="M10" i="5"/>
  <c r="I10" i="5"/>
  <c r="H10" i="5"/>
  <c r="AU10" i="5" s="1"/>
  <c r="B10" i="5"/>
  <c r="AQ20" i="5"/>
  <c r="AK20" i="5"/>
  <c r="AJ20" i="5"/>
  <c r="M20" i="5"/>
  <c r="I20" i="5"/>
  <c r="H20" i="5"/>
  <c r="B20" i="5"/>
  <c r="AQ30" i="5"/>
  <c r="AK30" i="5"/>
  <c r="AJ30" i="5"/>
  <c r="M30" i="5"/>
  <c r="I30" i="5"/>
  <c r="H30" i="5"/>
  <c r="B30" i="5"/>
  <c r="AQ40" i="5"/>
  <c r="AK40" i="5"/>
  <c r="AJ40" i="5"/>
  <c r="M40" i="5"/>
  <c r="I40" i="5"/>
  <c r="H40" i="5"/>
  <c r="B40" i="5"/>
  <c r="AQ50" i="5"/>
  <c r="AK50" i="5"/>
  <c r="AJ50" i="5"/>
  <c r="M50" i="5"/>
  <c r="I50" i="5"/>
  <c r="H50" i="5"/>
  <c r="B50" i="5"/>
  <c r="AQ60" i="5"/>
  <c r="AK60" i="5"/>
  <c r="AJ60" i="5"/>
  <c r="M60" i="5"/>
  <c r="I60" i="5"/>
  <c r="H60" i="5"/>
  <c r="AV60" i="5" s="1"/>
  <c r="B60" i="5"/>
  <c r="AQ70" i="5"/>
  <c r="AK70" i="5"/>
  <c r="AJ70" i="5"/>
  <c r="I70" i="5"/>
  <c r="H70" i="5"/>
  <c r="AU70" i="5" s="1"/>
  <c r="B70" i="5"/>
  <c r="N70" i="5" s="1"/>
  <c r="M70" i="5"/>
  <c r="AQ127" i="5"/>
  <c r="AL127" i="5"/>
  <c r="AK127" i="5"/>
  <c r="AJ127" i="5"/>
  <c r="O127" i="5"/>
  <c r="M127" i="5"/>
  <c r="I127" i="5"/>
  <c r="B127" i="5"/>
  <c r="N127" i="5" s="1"/>
  <c r="AQ126" i="5"/>
  <c r="AL126" i="5"/>
  <c r="AK126" i="5"/>
  <c r="AJ126" i="5"/>
  <c r="AJ58" i="5" s="1"/>
  <c r="O126" i="5"/>
  <c r="M126" i="5"/>
  <c r="I126" i="5"/>
  <c r="B126" i="5"/>
  <c r="N126" i="5" s="1"/>
  <c r="AQ125" i="5"/>
  <c r="AL125" i="5"/>
  <c r="AK125" i="5"/>
  <c r="AJ125" i="5"/>
  <c r="O125" i="5"/>
  <c r="M125" i="5"/>
  <c r="I125" i="5"/>
  <c r="J125" i="5" s="1"/>
  <c r="AS125" i="5" s="1"/>
  <c r="B125" i="5"/>
  <c r="N125" i="5" s="1"/>
  <c r="AS124" i="5"/>
  <c r="AQ124" i="5"/>
  <c r="AL124" i="5"/>
  <c r="AK124" i="5"/>
  <c r="AJ124" i="5"/>
  <c r="O124" i="5"/>
  <c r="M124" i="5"/>
  <c r="I124" i="5"/>
  <c r="E124" i="5"/>
  <c r="E126" i="5" s="1"/>
  <c r="H126" i="5" s="1"/>
  <c r="B124" i="5"/>
  <c r="N124" i="5" s="1"/>
  <c r="AS123" i="5"/>
  <c r="AQ123" i="5"/>
  <c r="AL123" i="5"/>
  <c r="AK123" i="5"/>
  <c r="AJ123" i="5"/>
  <c r="O123" i="5"/>
  <c r="M123" i="5"/>
  <c r="I123" i="5"/>
  <c r="E123" i="5"/>
  <c r="E125" i="5" s="1"/>
  <c r="B123" i="5"/>
  <c r="N123" i="5" s="1"/>
  <c r="AQ122" i="5"/>
  <c r="AO122" i="5"/>
  <c r="AP122" i="5" s="1"/>
  <c r="O122" i="5"/>
  <c r="N122" i="5"/>
  <c r="M122" i="5"/>
  <c r="J122" i="5"/>
  <c r="AS122" i="5" s="1"/>
  <c r="H122" i="5"/>
  <c r="AU122" i="5" s="1"/>
  <c r="AQ117" i="5"/>
  <c r="AL117" i="5"/>
  <c r="AK117" i="5"/>
  <c r="AJ117" i="5"/>
  <c r="O117" i="5"/>
  <c r="M117" i="5"/>
  <c r="I117" i="5"/>
  <c r="B117" i="5"/>
  <c r="N117" i="5" s="1"/>
  <c r="AQ116" i="5"/>
  <c r="AL116" i="5"/>
  <c r="AK116" i="5"/>
  <c r="AJ116" i="5"/>
  <c r="O116" i="5"/>
  <c r="M116" i="5"/>
  <c r="I116" i="5"/>
  <c r="B116" i="5"/>
  <c r="N116" i="5" s="1"/>
  <c r="AQ115" i="5"/>
  <c r="AL115" i="5"/>
  <c r="AK115" i="5"/>
  <c r="AJ115" i="5"/>
  <c r="O115" i="5"/>
  <c r="M115" i="5"/>
  <c r="I115" i="5"/>
  <c r="J115" i="5" s="1"/>
  <c r="AS115" i="5" s="1"/>
  <c r="B115" i="5"/>
  <c r="N115" i="5" s="1"/>
  <c r="AS114" i="5"/>
  <c r="AQ114" i="5"/>
  <c r="AL114" i="5"/>
  <c r="AK114" i="5"/>
  <c r="AJ114" i="5"/>
  <c r="O114" i="5"/>
  <c r="M114" i="5"/>
  <c r="I114" i="5"/>
  <c r="E114" i="5"/>
  <c r="E116" i="5" s="1"/>
  <c r="H116" i="5" s="1"/>
  <c r="B114" i="5"/>
  <c r="N114" i="5" s="1"/>
  <c r="AQ113" i="5"/>
  <c r="AL113" i="5"/>
  <c r="AK113" i="5"/>
  <c r="AJ113" i="5"/>
  <c r="O113" i="5"/>
  <c r="M113" i="5"/>
  <c r="AS113" i="5"/>
  <c r="I113" i="5"/>
  <c r="E113" i="5"/>
  <c r="E115" i="5" s="1"/>
  <c r="B113" i="5"/>
  <c r="N113" i="5" s="1"/>
  <c r="AQ112" i="5"/>
  <c r="AO112" i="5"/>
  <c r="O112" i="5"/>
  <c r="N112" i="5"/>
  <c r="M112" i="5"/>
  <c r="J112" i="5"/>
  <c r="AS112" i="5" s="1"/>
  <c r="H112" i="5"/>
  <c r="AV112" i="5" s="1"/>
  <c r="J103" i="5"/>
  <c r="AS103" i="5" s="1"/>
  <c r="AQ107" i="5"/>
  <c r="AL107" i="5"/>
  <c r="AK107" i="5"/>
  <c r="AJ107" i="5"/>
  <c r="O107" i="5"/>
  <c r="M107" i="5"/>
  <c r="I107" i="5"/>
  <c r="F107" i="5"/>
  <c r="B107" i="5"/>
  <c r="N107" i="5" s="1"/>
  <c r="AQ106" i="5"/>
  <c r="AL106" i="5"/>
  <c r="AK106" i="5"/>
  <c r="AJ106" i="5"/>
  <c r="O106" i="5"/>
  <c r="M106" i="5"/>
  <c r="I106" i="5"/>
  <c r="F106" i="5"/>
  <c r="B106" i="5"/>
  <c r="N106" i="5" s="1"/>
  <c r="AQ105" i="5"/>
  <c r="AL105" i="5"/>
  <c r="AK105" i="5"/>
  <c r="AJ105" i="5"/>
  <c r="O105" i="5"/>
  <c r="M105" i="5"/>
  <c r="I105" i="5"/>
  <c r="J105" i="5" s="1"/>
  <c r="AS105" i="5" s="1"/>
  <c r="F105" i="5"/>
  <c r="B105" i="5"/>
  <c r="N105" i="5" s="1"/>
  <c r="AQ104" i="5"/>
  <c r="AL104" i="5"/>
  <c r="AK104" i="5"/>
  <c r="AJ104" i="5"/>
  <c r="O104" i="5"/>
  <c r="M104" i="5"/>
  <c r="I104" i="5"/>
  <c r="F104" i="5"/>
  <c r="E104" i="5"/>
  <c r="E106" i="5" s="1"/>
  <c r="B104" i="5"/>
  <c r="N104" i="5" s="1"/>
  <c r="AQ103" i="5"/>
  <c r="AL103" i="5"/>
  <c r="AK103" i="5"/>
  <c r="AJ103" i="5"/>
  <c r="O103" i="5"/>
  <c r="M103" i="5"/>
  <c r="I103" i="5"/>
  <c r="F103" i="5"/>
  <c r="E103" i="5"/>
  <c r="E105" i="5" s="1"/>
  <c r="B103" i="5"/>
  <c r="N103" i="5" s="1"/>
  <c r="AQ102" i="5"/>
  <c r="AO102" i="5"/>
  <c r="AP102" i="5" s="1"/>
  <c r="O102" i="5"/>
  <c r="N102" i="5"/>
  <c r="M102" i="5"/>
  <c r="J102" i="5"/>
  <c r="AS102" i="5" s="1"/>
  <c r="H102" i="5"/>
  <c r="AU102" i="5" s="1"/>
  <c r="AQ94" i="5"/>
  <c r="AL94" i="5"/>
  <c r="AK94" i="5"/>
  <c r="AJ94" i="5"/>
  <c r="O94" i="5"/>
  <c r="M94" i="5"/>
  <c r="I94" i="5"/>
  <c r="F94" i="5"/>
  <c r="E94" i="5"/>
  <c r="B94" i="5"/>
  <c r="N94" i="5" s="1"/>
  <c r="AS93" i="5"/>
  <c r="AQ93" i="5"/>
  <c r="AL93" i="5"/>
  <c r="AK93" i="5"/>
  <c r="AJ93" i="5"/>
  <c r="O93" i="5"/>
  <c r="M93" i="5"/>
  <c r="I93" i="5"/>
  <c r="F93" i="5"/>
  <c r="E93" i="5"/>
  <c r="B93" i="5"/>
  <c r="N93" i="5" s="1"/>
  <c r="AQ92" i="5"/>
  <c r="AO92" i="5"/>
  <c r="AP92" i="5" s="1"/>
  <c r="O92" i="5"/>
  <c r="N92" i="5"/>
  <c r="M92" i="5"/>
  <c r="J92" i="5"/>
  <c r="AS94" i="5" s="1"/>
  <c r="H92" i="5"/>
  <c r="AQ84" i="5"/>
  <c r="AL84" i="5"/>
  <c r="AK84" i="5"/>
  <c r="AJ84" i="5"/>
  <c r="O84" i="5"/>
  <c r="M84" i="5"/>
  <c r="I84" i="5"/>
  <c r="F84" i="5"/>
  <c r="E84" i="5"/>
  <c r="B84" i="5"/>
  <c r="N84" i="5" s="1"/>
  <c r="AS83" i="5"/>
  <c r="AQ83" i="5"/>
  <c r="AL83" i="5"/>
  <c r="AK83" i="5"/>
  <c r="AJ83" i="5"/>
  <c r="O83" i="5"/>
  <c r="M83" i="5"/>
  <c r="I83" i="5"/>
  <c r="F83" i="5"/>
  <c r="E83" i="5"/>
  <c r="B83" i="5"/>
  <c r="N83" i="5" s="1"/>
  <c r="AQ82" i="5"/>
  <c r="AO82" i="5"/>
  <c r="O82" i="5"/>
  <c r="N82" i="5"/>
  <c r="M82" i="5"/>
  <c r="J82" i="5"/>
  <c r="AS84" i="5" s="1"/>
  <c r="H82" i="5"/>
  <c r="AQ74" i="5"/>
  <c r="AL74" i="5"/>
  <c r="AK74" i="5"/>
  <c r="AJ74" i="5"/>
  <c r="O74" i="5"/>
  <c r="M74" i="5"/>
  <c r="I74" i="5"/>
  <c r="E74" i="5"/>
  <c r="H74" i="5" s="1"/>
  <c r="B74" i="5"/>
  <c r="N74" i="5" s="1"/>
  <c r="AS73" i="5"/>
  <c r="AQ73" i="5"/>
  <c r="AL73" i="5"/>
  <c r="AK73" i="5"/>
  <c r="AJ73" i="5"/>
  <c r="O73" i="5"/>
  <c r="M73" i="5"/>
  <c r="I73" i="5"/>
  <c r="E73" i="5"/>
  <c r="B73" i="5"/>
  <c r="N73" i="5" s="1"/>
  <c r="AQ72" i="5"/>
  <c r="AO72" i="5"/>
  <c r="AP72" i="5" s="1"/>
  <c r="O72" i="5"/>
  <c r="N72" i="5"/>
  <c r="M72" i="5"/>
  <c r="J72" i="5"/>
  <c r="AS74" i="5" s="1"/>
  <c r="H72" i="5"/>
  <c r="AU72" i="5" s="1"/>
  <c r="AQ69" i="5"/>
  <c r="AL69" i="5"/>
  <c r="AK69" i="5"/>
  <c r="AJ69" i="5"/>
  <c r="O69" i="5"/>
  <c r="M69" i="5"/>
  <c r="F69" i="5"/>
  <c r="B69" i="5"/>
  <c r="N69" i="5" s="1"/>
  <c r="AQ68" i="5"/>
  <c r="AL68" i="5"/>
  <c r="AK68" i="5"/>
  <c r="AJ68" i="5"/>
  <c r="O68" i="5"/>
  <c r="M68" i="5"/>
  <c r="F68" i="5"/>
  <c r="B68" i="5"/>
  <c r="N68" i="5" s="1"/>
  <c r="AQ67" i="5"/>
  <c r="AK67" i="5"/>
  <c r="AJ67" i="5"/>
  <c r="O67" i="5"/>
  <c r="M67" i="5"/>
  <c r="B67" i="5"/>
  <c r="N67" i="5" s="1"/>
  <c r="AS66" i="5"/>
  <c r="AQ66" i="5"/>
  <c r="AL66" i="5"/>
  <c r="AL67" i="5" s="1"/>
  <c r="AK66" i="5"/>
  <c r="AJ66" i="5"/>
  <c r="O66" i="5"/>
  <c r="M66" i="5"/>
  <c r="I66" i="5"/>
  <c r="F66" i="5"/>
  <c r="E66" i="5"/>
  <c r="E68" i="5" s="1"/>
  <c r="B66" i="5"/>
  <c r="N66" i="5" s="1"/>
  <c r="AQ65" i="5"/>
  <c r="AL65" i="5"/>
  <c r="AJ65" i="5"/>
  <c r="O65" i="5"/>
  <c r="M65" i="5"/>
  <c r="I65" i="5"/>
  <c r="I69" i="5" s="1"/>
  <c r="F65" i="5"/>
  <c r="H65" i="5" s="1"/>
  <c r="B65" i="5"/>
  <c r="N65" i="5" s="1"/>
  <c r="AQ64" i="5"/>
  <c r="AL64" i="5"/>
  <c r="AK64" i="5"/>
  <c r="AJ64" i="5"/>
  <c r="O64" i="5"/>
  <c r="M64" i="5"/>
  <c r="I64" i="5"/>
  <c r="F64" i="5"/>
  <c r="E64" i="5"/>
  <c r="B64" i="5"/>
  <c r="N64" i="5" s="1"/>
  <c r="AS63" i="5"/>
  <c r="AQ63" i="5"/>
  <c r="AL63" i="5"/>
  <c r="AK63" i="5"/>
  <c r="AK65" i="5" s="1"/>
  <c r="AJ63" i="5"/>
  <c r="O63" i="5"/>
  <c r="M63" i="5"/>
  <c r="I63" i="5"/>
  <c r="F63" i="5"/>
  <c r="E63" i="5"/>
  <c r="B63" i="5"/>
  <c r="N63" i="5" s="1"/>
  <c r="AQ62" i="5"/>
  <c r="AO62" i="5"/>
  <c r="AP62" i="5" s="1"/>
  <c r="O62" i="5"/>
  <c r="N62" i="5"/>
  <c r="M62" i="5"/>
  <c r="J62" i="5"/>
  <c r="AS62" i="5" s="1"/>
  <c r="H62" i="5"/>
  <c r="AV62" i="5" s="1"/>
  <c r="AQ59" i="5"/>
  <c r="AL59" i="5"/>
  <c r="AK59" i="5"/>
  <c r="AJ59" i="5"/>
  <c r="O59" i="5"/>
  <c r="M59" i="5"/>
  <c r="F59" i="5"/>
  <c r="B59" i="5"/>
  <c r="N59" i="5" s="1"/>
  <c r="AQ58" i="5"/>
  <c r="AL58" i="5"/>
  <c r="AK58" i="5"/>
  <c r="O58" i="5"/>
  <c r="M58" i="5"/>
  <c r="F58" i="5"/>
  <c r="B58" i="5"/>
  <c r="N58" i="5" s="1"/>
  <c r="AQ57" i="5"/>
  <c r="AK57" i="5"/>
  <c r="AJ57" i="5"/>
  <c r="O57" i="5"/>
  <c r="M57" i="5"/>
  <c r="B57" i="5"/>
  <c r="N57" i="5" s="1"/>
  <c r="AS56" i="5"/>
  <c r="AQ56" i="5"/>
  <c r="AL56" i="5"/>
  <c r="AL57" i="5" s="1"/>
  <c r="AK56" i="5"/>
  <c r="AJ56" i="5"/>
  <c r="O56" i="5"/>
  <c r="M56" i="5"/>
  <c r="I56" i="5"/>
  <c r="F56" i="5"/>
  <c r="E56" i="5"/>
  <c r="E58" i="5" s="1"/>
  <c r="B56" i="5"/>
  <c r="N56" i="5" s="1"/>
  <c r="AQ55" i="5"/>
  <c r="AL55" i="5"/>
  <c r="O55" i="5"/>
  <c r="M55" i="5"/>
  <c r="I55" i="5"/>
  <c r="I58" i="5" s="1"/>
  <c r="J58" i="5" s="1"/>
  <c r="AS58" i="5" s="1"/>
  <c r="F55" i="5"/>
  <c r="H55" i="5" s="1"/>
  <c r="B55" i="5"/>
  <c r="N55" i="5" s="1"/>
  <c r="AQ54" i="5"/>
  <c r="AL54" i="5"/>
  <c r="AK54" i="5"/>
  <c r="AJ54" i="5"/>
  <c r="O54" i="5"/>
  <c r="M54" i="5"/>
  <c r="I54" i="5"/>
  <c r="F54" i="5"/>
  <c r="E54" i="5"/>
  <c r="B54" i="5"/>
  <c r="N54" i="5" s="1"/>
  <c r="AS53" i="5"/>
  <c r="AQ53" i="5"/>
  <c r="AL53" i="5"/>
  <c r="AK53" i="5"/>
  <c r="AK55" i="5" s="1"/>
  <c r="AJ53" i="5"/>
  <c r="O53" i="5"/>
  <c r="M53" i="5"/>
  <c r="I53" i="5"/>
  <c r="F53" i="5"/>
  <c r="E53" i="5"/>
  <c r="B53" i="5"/>
  <c r="N53" i="5" s="1"/>
  <c r="AQ52" i="5"/>
  <c r="AO52" i="5"/>
  <c r="O52" i="5"/>
  <c r="N52" i="5"/>
  <c r="M52" i="5"/>
  <c r="J52" i="5"/>
  <c r="AS52" i="5" s="1"/>
  <c r="H52" i="5"/>
  <c r="AV52" i="5" s="1"/>
  <c r="AQ49" i="5"/>
  <c r="AL49" i="5"/>
  <c r="AK49" i="5"/>
  <c r="AJ49" i="5"/>
  <c r="O49" i="5"/>
  <c r="M49" i="5"/>
  <c r="F49" i="5"/>
  <c r="B49" i="5"/>
  <c r="N49" i="5" s="1"/>
  <c r="AQ48" i="5"/>
  <c r="AL48" i="5"/>
  <c r="AK48" i="5"/>
  <c r="AJ48" i="5"/>
  <c r="O48" i="5"/>
  <c r="M48" i="5"/>
  <c r="F48" i="5"/>
  <c r="B48" i="5"/>
  <c r="N48" i="5" s="1"/>
  <c r="AQ47" i="5"/>
  <c r="AK47" i="5"/>
  <c r="AJ47" i="5"/>
  <c r="O47" i="5"/>
  <c r="M47" i="5"/>
  <c r="B47" i="5"/>
  <c r="N47" i="5" s="1"/>
  <c r="AS46" i="5"/>
  <c r="AQ46" i="5"/>
  <c r="AL46" i="5"/>
  <c r="AL47" i="5" s="1"/>
  <c r="AK46" i="5"/>
  <c r="O46" i="5"/>
  <c r="M46" i="5"/>
  <c r="I46" i="5"/>
  <c r="F46" i="5"/>
  <c r="E46" i="5"/>
  <c r="B46" i="5"/>
  <c r="N46" i="5" s="1"/>
  <c r="AQ45" i="5"/>
  <c r="AL45" i="5"/>
  <c r="AJ45" i="5"/>
  <c r="O45" i="5"/>
  <c r="M45" i="5"/>
  <c r="I45" i="5"/>
  <c r="I49" i="5" s="1"/>
  <c r="F45" i="5"/>
  <c r="H45" i="5" s="1"/>
  <c r="B45" i="5"/>
  <c r="N45" i="5" s="1"/>
  <c r="AQ44" i="5"/>
  <c r="AL44" i="5"/>
  <c r="AK44" i="5"/>
  <c r="AJ44" i="5"/>
  <c r="O44" i="5"/>
  <c r="M44" i="5"/>
  <c r="I44" i="5"/>
  <c r="F44" i="5"/>
  <c r="E44" i="5"/>
  <c r="B44" i="5"/>
  <c r="N44" i="5" s="1"/>
  <c r="AS43" i="5"/>
  <c r="AQ43" i="5"/>
  <c r="AL43" i="5"/>
  <c r="AK43" i="5"/>
  <c r="AK45" i="5" s="1"/>
  <c r="AJ43" i="5"/>
  <c r="O43" i="5"/>
  <c r="M43" i="5"/>
  <c r="I43" i="5"/>
  <c r="F43" i="5"/>
  <c r="E43" i="5"/>
  <c r="B43" i="5"/>
  <c r="N43" i="5" s="1"/>
  <c r="AQ42" i="5"/>
  <c r="AO42" i="5"/>
  <c r="O42" i="5"/>
  <c r="N42" i="5"/>
  <c r="M42" i="5"/>
  <c r="J42" i="5"/>
  <c r="AS42" i="5" s="1"/>
  <c r="H42" i="5"/>
  <c r="AV42" i="5" s="1"/>
  <c r="AQ39" i="5"/>
  <c r="AL39" i="5"/>
  <c r="AK39" i="5"/>
  <c r="AJ39" i="5"/>
  <c r="O39" i="5"/>
  <c r="M39" i="5"/>
  <c r="F39" i="5"/>
  <c r="B39" i="5"/>
  <c r="N39" i="5" s="1"/>
  <c r="AQ38" i="5"/>
  <c r="AL38" i="5"/>
  <c r="AK38" i="5"/>
  <c r="AJ38" i="5"/>
  <c r="O38" i="5"/>
  <c r="M38" i="5"/>
  <c r="F38" i="5"/>
  <c r="B38" i="5"/>
  <c r="N38" i="5" s="1"/>
  <c r="AQ37" i="5"/>
  <c r="AK37" i="5"/>
  <c r="AJ37" i="5"/>
  <c r="O37" i="5"/>
  <c r="M37" i="5"/>
  <c r="B37" i="5"/>
  <c r="N37" i="5" s="1"/>
  <c r="AS36" i="5"/>
  <c r="AQ36" i="5"/>
  <c r="AL36" i="5"/>
  <c r="AL37" i="5" s="1"/>
  <c r="AK36" i="5"/>
  <c r="AJ36" i="5"/>
  <c r="O36" i="5"/>
  <c r="M36" i="5"/>
  <c r="I36" i="5"/>
  <c r="F36" i="5"/>
  <c r="E36" i="5"/>
  <c r="E38" i="5" s="1"/>
  <c r="B36" i="5"/>
  <c r="N36" i="5" s="1"/>
  <c r="AQ35" i="5"/>
  <c r="AL35" i="5"/>
  <c r="AJ35" i="5"/>
  <c r="O35" i="5"/>
  <c r="M35" i="5"/>
  <c r="I35" i="5"/>
  <c r="I38" i="5" s="1"/>
  <c r="J38" i="5" s="1"/>
  <c r="AS38" i="5" s="1"/>
  <c r="F35" i="5"/>
  <c r="H35" i="5" s="1"/>
  <c r="AV35" i="5" s="1"/>
  <c r="B35" i="5"/>
  <c r="N35" i="5" s="1"/>
  <c r="AQ34" i="5"/>
  <c r="AL34" i="5"/>
  <c r="AK34" i="5"/>
  <c r="AJ34" i="5"/>
  <c r="O34" i="5"/>
  <c r="M34" i="5"/>
  <c r="I34" i="5"/>
  <c r="F34" i="5"/>
  <c r="E34" i="5"/>
  <c r="B34" i="5"/>
  <c r="N34" i="5" s="1"/>
  <c r="AS33" i="5"/>
  <c r="AQ33" i="5"/>
  <c r="AL33" i="5"/>
  <c r="AK33" i="5"/>
  <c r="AK35" i="5" s="1"/>
  <c r="AJ33" i="5"/>
  <c r="O33" i="5"/>
  <c r="M33" i="5"/>
  <c r="I33" i="5"/>
  <c r="F33" i="5"/>
  <c r="E33" i="5"/>
  <c r="B33" i="5"/>
  <c r="N33" i="5" s="1"/>
  <c r="AQ32" i="5"/>
  <c r="AO32" i="5"/>
  <c r="O32" i="5"/>
  <c r="N32" i="5"/>
  <c r="M32" i="5"/>
  <c r="J32" i="5"/>
  <c r="AS34" i="5" s="1"/>
  <c r="H32" i="5"/>
  <c r="AV32" i="5" s="1"/>
  <c r="AQ29" i="5"/>
  <c r="AL29" i="5"/>
  <c r="AK29" i="5"/>
  <c r="AJ29" i="5"/>
  <c r="O29" i="5"/>
  <c r="M29" i="5"/>
  <c r="F29" i="5"/>
  <c r="B29" i="5"/>
  <c r="N29" i="5" s="1"/>
  <c r="AQ28" i="5"/>
  <c r="AL28" i="5"/>
  <c r="AK28" i="5"/>
  <c r="AJ28" i="5"/>
  <c r="O28" i="5"/>
  <c r="M28" i="5"/>
  <c r="F28" i="5"/>
  <c r="B28" i="5"/>
  <c r="N28" i="5" s="1"/>
  <c r="AQ27" i="5"/>
  <c r="AK27" i="5"/>
  <c r="AJ27" i="5"/>
  <c r="O27" i="5"/>
  <c r="M27" i="5"/>
  <c r="B27" i="5"/>
  <c r="N27" i="5" s="1"/>
  <c r="AS26" i="5"/>
  <c r="AQ26" i="5"/>
  <c r="AL26" i="5"/>
  <c r="AL27" i="5" s="1"/>
  <c r="AK26" i="5"/>
  <c r="AJ26" i="5"/>
  <c r="O26" i="5"/>
  <c r="M26" i="5"/>
  <c r="I26" i="5"/>
  <c r="F26" i="5"/>
  <c r="E26" i="5"/>
  <c r="E28" i="5" s="1"/>
  <c r="B26" i="5"/>
  <c r="N26" i="5" s="1"/>
  <c r="AQ25" i="5"/>
  <c r="AL25" i="5"/>
  <c r="AJ25" i="5"/>
  <c r="O25" i="5"/>
  <c r="M25" i="5"/>
  <c r="I25" i="5"/>
  <c r="I28" i="5" s="1"/>
  <c r="J28" i="5" s="1"/>
  <c r="AS28" i="5" s="1"/>
  <c r="F25" i="5"/>
  <c r="H25" i="5" s="1"/>
  <c r="B25" i="5"/>
  <c r="N25" i="5" s="1"/>
  <c r="AQ24" i="5"/>
  <c r="AL24" i="5"/>
  <c r="AK24" i="5"/>
  <c r="AJ24" i="5"/>
  <c r="O24" i="5"/>
  <c r="M24" i="5"/>
  <c r="I24" i="5"/>
  <c r="F24" i="5"/>
  <c r="E24" i="5"/>
  <c r="B24" i="5"/>
  <c r="N24" i="5" s="1"/>
  <c r="AS23" i="5"/>
  <c r="AQ23" i="5"/>
  <c r="AL23" i="5"/>
  <c r="AK23" i="5"/>
  <c r="AK25" i="5" s="1"/>
  <c r="AJ23" i="5"/>
  <c r="O23" i="5"/>
  <c r="M23" i="5"/>
  <c r="I23" i="5"/>
  <c r="F23" i="5"/>
  <c r="E23" i="5"/>
  <c r="B23" i="5"/>
  <c r="N23" i="5" s="1"/>
  <c r="AQ22" i="5"/>
  <c r="AO22" i="5"/>
  <c r="O22" i="5"/>
  <c r="N22" i="5"/>
  <c r="M22" i="5"/>
  <c r="J22" i="5"/>
  <c r="AS24" i="5" s="1"/>
  <c r="H22" i="5"/>
  <c r="AU22" i="5" s="1"/>
  <c r="AJ15" i="5"/>
  <c r="AJ16" i="5"/>
  <c r="AJ17" i="5"/>
  <c r="AJ18" i="5"/>
  <c r="AJ19" i="5"/>
  <c r="AJ3" i="5"/>
  <c r="AJ4" i="5"/>
  <c r="AJ5" i="5"/>
  <c r="AJ6" i="5"/>
  <c r="AJ7" i="5"/>
  <c r="AJ8" i="5"/>
  <c r="AJ9" i="5"/>
  <c r="AQ19" i="5"/>
  <c r="AL19" i="5"/>
  <c r="AK19" i="5"/>
  <c r="O19" i="5"/>
  <c r="M19" i="5"/>
  <c r="F19" i="5"/>
  <c r="B19" i="5"/>
  <c r="N19" i="5" s="1"/>
  <c r="AQ18" i="5"/>
  <c r="AL18" i="5"/>
  <c r="AK18" i="5"/>
  <c r="O18" i="5"/>
  <c r="M18" i="5"/>
  <c r="F18" i="5"/>
  <c r="B18" i="5"/>
  <c r="N18" i="5" s="1"/>
  <c r="AQ17" i="5"/>
  <c r="AK17" i="5"/>
  <c r="O17" i="5"/>
  <c r="M17" i="5"/>
  <c r="B17" i="5"/>
  <c r="N17" i="5" s="1"/>
  <c r="AS16" i="5"/>
  <c r="AQ16" i="5"/>
  <c r="AL16" i="5"/>
  <c r="AL17" i="5" s="1"/>
  <c r="AK16" i="5"/>
  <c r="O16" i="5"/>
  <c r="M16" i="5"/>
  <c r="I16" i="5"/>
  <c r="F16" i="5"/>
  <c r="E16" i="5"/>
  <c r="E17" i="5" s="1"/>
  <c r="H17" i="5" s="1"/>
  <c r="B16" i="5"/>
  <c r="N16" i="5" s="1"/>
  <c r="AQ15" i="5"/>
  <c r="AL15" i="5"/>
  <c r="O15" i="5"/>
  <c r="M15" i="5"/>
  <c r="I19" i="5"/>
  <c r="F15" i="5"/>
  <c r="H15" i="5" s="1"/>
  <c r="AU15" i="5" s="1"/>
  <c r="B15" i="5"/>
  <c r="N15" i="5" s="1"/>
  <c r="AQ14" i="5"/>
  <c r="AL14" i="5"/>
  <c r="AK14" i="5"/>
  <c r="AJ14" i="5"/>
  <c r="O14" i="5"/>
  <c r="M14" i="5"/>
  <c r="I14" i="5"/>
  <c r="F14" i="5"/>
  <c r="E14" i="5"/>
  <c r="B14" i="5"/>
  <c r="N14" i="5" s="1"/>
  <c r="AS13" i="5"/>
  <c r="AQ13" i="5"/>
  <c r="AL13" i="5"/>
  <c r="AK13" i="5"/>
  <c r="AK15" i="5" s="1"/>
  <c r="AJ13" i="5"/>
  <c r="O13" i="5"/>
  <c r="M13" i="5"/>
  <c r="I13" i="5"/>
  <c r="F13" i="5"/>
  <c r="E13" i="5"/>
  <c r="B13" i="5"/>
  <c r="N13" i="5" s="1"/>
  <c r="AQ12" i="5"/>
  <c r="AO12" i="5"/>
  <c r="O12" i="5"/>
  <c r="N12" i="5"/>
  <c r="M12" i="5"/>
  <c r="J12" i="5"/>
  <c r="AS12" i="5" s="1"/>
  <c r="H12" i="5"/>
  <c r="AV12" i="5" s="1"/>
  <c r="AQ9" i="5"/>
  <c r="AL9" i="5"/>
  <c r="AK9" i="5"/>
  <c r="O9" i="5"/>
  <c r="M9" i="5"/>
  <c r="F9" i="5"/>
  <c r="B9" i="5"/>
  <c r="N9" i="5" s="1"/>
  <c r="AQ8" i="5"/>
  <c r="AL8" i="5"/>
  <c r="AK8" i="5"/>
  <c r="O8" i="5"/>
  <c r="M8" i="5"/>
  <c r="F8" i="5"/>
  <c r="B8" i="5"/>
  <c r="N8" i="5" s="1"/>
  <c r="AQ7" i="5"/>
  <c r="AK7" i="5"/>
  <c r="O7" i="5"/>
  <c r="M7" i="5"/>
  <c r="B7" i="5"/>
  <c r="N7" i="5" s="1"/>
  <c r="AS6" i="5"/>
  <c r="AQ6" i="5"/>
  <c r="AL6" i="5"/>
  <c r="AL7" i="5" s="1"/>
  <c r="AK6" i="5"/>
  <c r="O6" i="5"/>
  <c r="M6" i="5"/>
  <c r="I6" i="5"/>
  <c r="F6" i="5"/>
  <c r="E6" i="5"/>
  <c r="E8" i="5" s="1"/>
  <c r="B6" i="5"/>
  <c r="N6" i="5" s="1"/>
  <c r="AQ5" i="5"/>
  <c r="AL5" i="5"/>
  <c r="O5" i="5"/>
  <c r="M5" i="5"/>
  <c r="I5" i="5"/>
  <c r="I8" i="5" s="1"/>
  <c r="F5" i="5"/>
  <c r="H5" i="5" s="1"/>
  <c r="B5" i="5"/>
  <c r="N5" i="5" s="1"/>
  <c r="AQ4" i="5"/>
  <c r="AL4" i="5"/>
  <c r="AK4" i="5"/>
  <c r="O4" i="5"/>
  <c r="M4" i="5"/>
  <c r="I4" i="5"/>
  <c r="F4" i="5"/>
  <c r="E4" i="5"/>
  <c r="B4" i="5"/>
  <c r="N4" i="5" s="1"/>
  <c r="AS3" i="5"/>
  <c r="AQ3" i="5"/>
  <c r="AL3" i="5"/>
  <c r="AK3" i="5"/>
  <c r="AK5" i="5" s="1"/>
  <c r="O3" i="5"/>
  <c r="M3" i="5"/>
  <c r="I3" i="5"/>
  <c r="F3" i="5"/>
  <c r="E3" i="5"/>
  <c r="B3" i="5"/>
  <c r="N3" i="5" s="1"/>
  <c r="AQ2" i="5"/>
  <c r="AO2" i="5"/>
  <c r="O2" i="5"/>
  <c r="N2" i="5"/>
  <c r="M2" i="5"/>
  <c r="J2" i="5"/>
  <c r="AS2" i="5" s="1"/>
  <c r="H2" i="5"/>
  <c r="AV2" i="5" s="1"/>
  <c r="O1" i="5"/>
  <c r="N1" i="5"/>
  <c r="M1" i="5"/>
  <c r="N18" i="3"/>
  <c r="M18" i="3"/>
  <c r="L18" i="3"/>
  <c r="J18" i="3"/>
  <c r="N17" i="3"/>
  <c r="M17" i="3"/>
  <c r="L17" i="3"/>
  <c r="J17" i="3"/>
  <c r="B16" i="3"/>
  <c r="J16" i="3" s="1"/>
  <c r="O16" i="3" s="1"/>
  <c r="L16" i="3"/>
  <c r="B15" i="3"/>
  <c r="N15" i="3" s="1"/>
  <c r="L15" i="3"/>
  <c r="B14" i="3"/>
  <c r="J14" i="3" s="1"/>
  <c r="B13" i="3"/>
  <c r="N13" i="3" s="1"/>
  <c r="N14" i="3"/>
  <c r="L14" i="3"/>
  <c r="L13" i="3"/>
  <c r="N12" i="3"/>
  <c r="M12" i="3"/>
  <c r="L12" i="3"/>
  <c r="J12" i="3"/>
  <c r="N11" i="3"/>
  <c r="M11" i="3"/>
  <c r="L11" i="3"/>
  <c r="J11" i="3"/>
  <c r="N10" i="3"/>
  <c r="M10" i="3"/>
  <c r="L10" i="3"/>
  <c r="J10" i="3"/>
  <c r="J9" i="3"/>
  <c r="N9" i="3"/>
  <c r="M9" i="3"/>
  <c r="L9" i="3"/>
  <c r="O9" i="3" s="1"/>
  <c r="N8" i="3"/>
  <c r="M8" i="3"/>
  <c r="L8" i="3"/>
  <c r="O8" i="3" s="1"/>
  <c r="J8" i="3"/>
  <c r="N7" i="3"/>
  <c r="M7" i="3"/>
  <c r="L7" i="3"/>
  <c r="J7" i="3"/>
  <c r="N6" i="3"/>
  <c r="M6" i="3"/>
  <c r="L6" i="3"/>
  <c r="N5" i="3"/>
  <c r="M5" i="3"/>
  <c r="L5" i="3"/>
  <c r="N4" i="3"/>
  <c r="M4" i="3"/>
  <c r="L4" i="3"/>
  <c r="O4" i="3" s="1"/>
  <c r="N3" i="3"/>
  <c r="M3" i="3"/>
  <c r="L3" i="3"/>
  <c r="J3" i="3"/>
  <c r="J2" i="3"/>
  <c r="N2" i="3"/>
  <c r="M2" i="3"/>
  <c r="L2" i="3"/>
  <c r="I20" i="2"/>
  <c r="D20" i="2"/>
  <c r="E20" i="2" s="1"/>
  <c r="I19" i="2"/>
  <c r="D19" i="2" s="1"/>
  <c r="E19" i="2" s="1"/>
  <c r="I18" i="2"/>
  <c r="D18" i="2" s="1"/>
  <c r="E18" i="2" s="1"/>
  <c r="I17" i="2"/>
  <c r="D17" i="2" s="1"/>
  <c r="I16" i="2"/>
  <c r="D16" i="2"/>
  <c r="E16" i="2" s="1"/>
  <c r="I15" i="2"/>
  <c r="E15" i="2"/>
  <c r="D15" i="2"/>
  <c r="I14" i="2"/>
  <c r="D14" i="2" s="1"/>
  <c r="E14" i="2" s="1"/>
  <c r="I13" i="2"/>
  <c r="D13" i="2"/>
  <c r="E13" i="2" s="1"/>
  <c r="I12" i="2"/>
  <c r="D12" i="2"/>
  <c r="E12" i="2" s="1"/>
  <c r="I11" i="2"/>
  <c r="D11" i="2"/>
  <c r="E11" i="2" s="1"/>
  <c r="M10" i="2"/>
  <c r="D10" i="2" s="1"/>
  <c r="E10" i="2" s="1"/>
  <c r="I10" i="2"/>
  <c r="I9" i="2"/>
  <c r="D9" i="2"/>
  <c r="E9" i="2" s="1"/>
  <c r="I8" i="2"/>
  <c r="D8" i="2"/>
  <c r="E8" i="2" s="1"/>
  <c r="I7" i="2"/>
  <c r="D7" i="2"/>
  <c r="E7" i="2" s="1"/>
  <c r="T6" i="2"/>
  <c r="I6" i="2"/>
  <c r="D6" i="2" s="1"/>
  <c r="E6" i="2" s="1"/>
  <c r="T5" i="2"/>
  <c r="I5" i="2"/>
  <c r="D5" i="2"/>
  <c r="E5" i="2" s="1"/>
  <c r="I4" i="2"/>
  <c r="D4" i="2"/>
  <c r="E4" i="2" s="1"/>
  <c r="I3" i="2"/>
  <c r="D3" i="2" s="1"/>
  <c r="AV70" i="5" l="1"/>
  <c r="AO70" i="5"/>
  <c r="AP70" i="5" s="1"/>
  <c r="AR70" i="5" s="1"/>
  <c r="AO10" i="5"/>
  <c r="AP10" i="5" s="1"/>
  <c r="AR10" i="5" s="1"/>
  <c r="AO60" i="5"/>
  <c r="AV10" i="5"/>
  <c r="AO20" i="5"/>
  <c r="AP20" i="5" s="1"/>
  <c r="AR20" i="5" s="1"/>
  <c r="AS30" i="5"/>
  <c r="AS40" i="5"/>
  <c r="AO30" i="5"/>
  <c r="AP30" i="5" s="1"/>
  <c r="AR30" i="5" s="1"/>
  <c r="AS10" i="5"/>
  <c r="AS50" i="5"/>
  <c r="AO40" i="5"/>
  <c r="AP40" i="5" s="1"/>
  <c r="AR40" i="5" s="1"/>
  <c r="AT40" i="5" s="1"/>
  <c r="AW40" i="5" s="1"/>
  <c r="AS60" i="5"/>
  <c r="AS20" i="5"/>
  <c r="AS70" i="5"/>
  <c r="AO50" i="5"/>
  <c r="AP50" i="5" s="1"/>
  <c r="AR50" i="5" s="1"/>
  <c r="AU20" i="5"/>
  <c r="AV20" i="5"/>
  <c r="AU30" i="5"/>
  <c r="AV30" i="5"/>
  <c r="AU40" i="5"/>
  <c r="AV40" i="5"/>
  <c r="AU50" i="5"/>
  <c r="AV50" i="5"/>
  <c r="AP60" i="5"/>
  <c r="AR60" i="5" s="1"/>
  <c r="AU60" i="5"/>
  <c r="AJ46" i="5"/>
  <c r="AJ55" i="5"/>
  <c r="AO55" i="5" s="1"/>
  <c r="AP55" i="5" s="1"/>
  <c r="AR55" i="5" s="1"/>
  <c r="J126" i="5"/>
  <c r="AS127" i="5" s="1"/>
  <c r="AR122" i="5"/>
  <c r="AT122" i="5" s="1"/>
  <c r="AW122" i="5" s="1"/>
  <c r="AO104" i="5"/>
  <c r="AP104" i="5" s="1"/>
  <c r="AO114" i="5"/>
  <c r="AP114" i="5" s="1"/>
  <c r="AR114" i="5" s="1"/>
  <c r="AT114" i="5" s="1"/>
  <c r="AO126" i="5"/>
  <c r="AP126" i="5" s="1"/>
  <c r="AR126" i="5" s="1"/>
  <c r="H83" i="5"/>
  <c r="AU83" i="5" s="1"/>
  <c r="AO103" i="5"/>
  <c r="AP103" i="5" s="1"/>
  <c r="AR103" i="5" s="1"/>
  <c r="AT103" i="5" s="1"/>
  <c r="AO125" i="5"/>
  <c r="AP125" i="5" s="1"/>
  <c r="AR125" i="5" s="1"/>
  <c r="AT125" i="5" s="1"/>
  <c r="AO107" i="5"/>
  <c r="AP107" i="5" s="1"/>
  <c r="AR107" i="5" s="1"/>
  <c r="H114" i="5"/>
  <c r="AV114" i="5" s="1"/>
  <c r="AO116" i="5"/>
  <c r="AP116" i="5" s="1"/>
  <c r="AR116" i="5" s="1"/>
  <c r="AO124" i="5"/>
  <c r="AP124" i="5" s="1"/>
  <c r="AR124" i="5" s="1"/>
  <c r="AT124" i="5" s="1"/>
  <c r="AO93" i="5"/>
  <c r="AP93" i="5" s="1"/>
  <c r="AR93" i="5" s="1"/>
  <c r="AT93" i="5" s="1"/>
  <c r="AO106" i="5"/>
  <c r="AP106" i="5" s="1"/>
  <c r="AR106" i="5" s="1"/>
  <c r="AO115" i="5"/>
  <c r="AP115" i="5" s="1"/>
  <c r="AR115" i="5" s="1"/>
  <c r="AT115" i="5" s="1"/>
  <c r="AO123" i="5"/>
  <c r="AP123" i="5" s="1"/>
  <c r="AR123" i="5" s="1"/>
  <c r="AT123" i="5" s="1"/>
  <c r="H103" i="5"/>
  <c r="AU103" i="5" s="1"/>
  <c r="AS92" i="5"/>
  <c r="AO127" i="5"/>
  <c r="AP127" i="5" s="1"/>
  <c r="AR127" i="5" s="1"/>
  <c r="AS72" i="5"/>
  <c r="J116" i="5"/>
  <c r="AS116" i="5" s="1"/>
  <c r="H93" i="5"/>
  <c r="AU93" i="5" s="1"/>
  <c r="H124" i="5"/>
  <c r="AV124" i="5" s="1"/>
  <c r="E127" i="5"/>
  <c r="H127" i="5" s="1"/>
  <c r="H125" i="5"/>
  <c r="AV126" i="5"/>
  <c r="AU126" i="5"/>
  <c r="H123" i="5"/>
  <c r="AV122" i="5"/>
  <c r="AO113" i="5"/>
  <c r="AP113" i="5" s="1"/>
  <c r="AR113" i="5" s="1"/>
  <c r="AT113" i="5" s="1"/>
  <c r="AO117" i="5"/>
  <c r="AP117" i="5" s="1"/>
  <c r="AR117" i="5" s="1"/>
  <c r="AU112" i="5"/>
  <c r="AV116" i="5"/>
  <c r="AU116" i="5"/>
  <c r="E117" i="5"/>
  <c r="H117" i="5" s="1"/>
  <c r="H115" i="5"/>
  <c r="H113" i="5"/>
  <c r="AP112" i="5"/>
  <c r="AR112" i="5" s="1"/>
  <c r="AT112" i="5" s="1"/>
  <c r="AW112" i="5" s="1"/>
  <c r="H106" i="5"/>
  <c r="AU106" i="5" s="1"/>
  <c r="AR102" i="5"/>
  <c r="AT102" i="5" s="1"/>
  <c r="AW102" i="5" s="1"/>
  <c r="AR72" i="5"/>
  <c r="AO105" i="5"/>
  <c r="AP105" i="5" s="1"/>
  <c r="AR105" i="5" s="1"/>
  <c r="AT105" i="5" s="1"/>
  <c r="J106" i="5"/>
  <c r="AS106" i="5" s="1"/>
  <c r="H105" i="5"/>
  <c r="E107" i="5"/>
  <c r="H107" i="5" s="1"/>
  <c r="AV102" i="5"/>
  <c r="H104" i="5"/>
  <c r="AS104" i="5"/>
  <c r="AO94" i="5"/>
  <c r="AP94" i="5" s="1"/>
  <c r="AR94" i="5" s="1"/>
  <c r="AT94" i="5" s="1"/>
  <c r="AR92" i="5"/>
  <c r="H94" i="5"/>
  <c r="AU94" i="5" s="1"/>
  <c r="AU92" i="5"/>
  <c r="AV92" i="5"/>
  <c r="H84" i="5"/>
  <c r="AU84" i="5" s="1"/>
  <c r="O18" i="3"/>
  <c r="J15" i="3"/>
  <c r="O14" i="3"/>
  <c r="O11" i="3"/>
  <c r="O5" i="3"/>
  <c r="O12" i="3"/>
  <c r="O2" i="3"/>
  <c r="N16" i="3"/>
  <c r="AO83" i="5"/>
  <c r="AP83" i="5" s="1"/>
  <c r="AR83" i="5" s="1"/>
  <c r="AT83" i="5" s="1"/>
  <c r="AO84" i="5"/>
  <c r="AP84" i="5" s="1"/>
  <c r="AR84" i="5" s="1"/>
  <c r="AT84" i="5" s="1"/>
  <c r="AP82" i="5"/>
  <c r="AR82" i="5" s="1"/>
  <c r="AS82" i="5"/>
  <c r="AU82" i="5"/>
  <c r="AV82" i="5"/>
  <c r="H68" i="5"/>
  <c r="AV68" i="5" s="1"/>
  <c r="AO73" i="5"/>
  <c r="AP73" i="5" s="1"/>
  <c r="AR73" i="5" s="1"/>
  <c r="AT73" i="5" s="1"/>
  <c r="H73" i="5"/>
  <c r="AU73" i="5" s="1"/>
  <c r="AO74" i="5"/>
  <c r="AP74" i="5" s="1"/>
  <c r="AR74" i="5" s="1"/>
  <c r="AT74" i="5" s="1"/>
  <c r="AW74" i="5" s="1"/>
  <c r="AV74" i="5"/>
  <c r="AU74" i="5"/>
  <c r="AV72" i="5"/>
  <c r="J45" i="5"/>
  <c r="AS45" i="5" s="1"/>
  <c r="AU32" i="5"/>
  <c r="H34" i="5"/>
  <c r="AV34" i="5" s="1"/>
  <c r="E57" i="5"/>
  <c r="H57" i="5" s="1"/>
  <c r="AV57" i="5" s="1"/>
  <c r="AU52" i="5"/>
  <c r="H33" i="5"/>
  <c r="AU33" i="5" s="1"/>
  <c r="H56" i="5"/>
  <c r="AV56" i="5" s="1"/>
  <c r="H53" i="5"/>
  <c r="AV53" i="5" s="1"/>
  <c r="AO5" i="5"/>
  <c r="AP5" i="5" s="1"/>
  <c r="AR5" i="5" s="1"/>
  <c r="H23" i="5"/>
  <c r="AU23" i="5" s="1"/>
  <c r="H36" i="5"/>
  <c r="AV36" i="5" s="1"/>
  <c r="I7" i="5"/>
  <c r="J7" i="5" s="1"/>
  <c r="AO49" i="5"/>
  <c r="AP49" i="5" s="1"/>
  <c r="AR49" i="5" s="1"/>
  <c r="H64" i="5"/>
  <c r="AV64" i="5" s="1"/>
  <c r="H44" i="5"/>
  <c r="AV44" i="5" s="1"/>
  <c r="H63" i="5"/>
  <c r="AV63" i="5" s="1"/>
  <c r="H13" i="5"/>
  <c r="AV13" i="5" s="1"/>
  <c r="AO25" i="5"/>
  <c r="AP25" i="5" s="1"/>
  <c r="AR25" i="5" s="1"/>
  <c r="H28" i="5"/>
  <c r="AV28" i="5" s="1"/>
  <c r="H38" i="5"/>
  <c r="AV38" i="5" s="1"/>
  <c r="H4" i="5"/>
  <c r="AV4" i="5" s="1"/>
  <c r="AR62" i="5"/>
  <c r="AT62" i="5" s="1"/>
  <c r="AW62" i="5" s="1"/>
  <c r="AO15" i="5"/>
  <c r="AP15" i="5" s="1"/>
  <c r="AR15" i="5" s="1"/>
  <c r="H3" i="5"/>
  <c r="AV3" i="5" s="1"/>
  <c r="E19" i="5"/>
  <c r="H19" i="5" s="1"/>
  <c r="H16" i="5"/>
  <c r="AV16" i="5" s="1"/>
  <c r="H8" i="5"/>
  <c r="AU8" i="5" s="1"/>
  <c r="H54" i="5"/>
  <c r="AV54" i="5" s="1"/>
  <c r="AO4" i="5"/>
  <c r="AP4" i="5" s="1"/>
  <c r="AR4" i="5" s="1"/>
  <c r="AO34" i="5"/>
  <c r="AP34" i="5" s="1"/>
  <c r="AR34" i="5" s="1"/>
  <c r="AT34" i="5" s="1"/>
  <c r="AO36" i="5"/>
  <c r="AP36" i="5" s="1"/>
  <c r="AR36" i="5" s="1"/>
  <c r="AT36" i="5" s="1"/>
  <c r="AO43" i="5"/>
  <c r="AP43" i="5" s="1"/>
  <c r="AR43" i="5" s="1"/>
  <c r="AT43" i="5" s="1"/>
  <c r="AO46" i="5"/>
  <c r="AP46" i="5" s="1"/>
  <c r="AR46" i="5" s="1"/>
  <c r="AT46" i="5" s="1"/>
  <c r="AV65" i="5"/>
  <c r="AU65" i="5"/>
  <c r="AU45" i="5"/>
  <c r="AV45" i="5"/>
  <c r="H6" i="5"/>
  <c r="AU6" i="5" s="1"/>
  <c r="E27" i="5"/>
  <c r="H27" i="5" s="1"/>
  <c r="AV27" i="5" s="1"/>
  <c r="H43" i="5"/>
  <c r="AV43" i="5" s="1"/>
  <c r="J65" i="5"/>
  <c r="AS65" i="5" s="1"/>
  <c r="H14" i="5"/>
  <c r="AV14" i="5" s="1"/>
  <c r="H26" i="5"/>
  <c r="AU26" i="5" s="1"/>
  <c r="H46" i="5"/>
  <c r="AV46" i="5" s="1"/>
  <c r="I47" i="5"/>
  <c r="AO47" i="5" s="1"/>
  <c r="AP47" i="5" s="1"/>
  <c r="AR47" i="5" s="1"/>
  <c r="J15" i="5"/>
  <c r="AS15" i="5" s="1"/>
  <c r="AU35" i="5"/>
  <c r="AO44" i="5"/>
  <c r="AP44" i="5" s="1"/>
  <c r="AR44" i="5" s="1"/>
  <c r="AO54" i="5"/>
  <c r="AP54" i="5" s="1"/>
  <c r="H58" i="5"/>
  <c r="AU58" i="5" s="1"/>
  <c r="I57" i="5"/>
  <c r="J57" i="5" s="1"/>
  <c r="AS59" i="5" s="1"/>
  <c r="E18" i="5"/>
  <c r="H18" i="5" s="1"/>
  <c r="AV18" i="5" s="1"/>
  <c r="H24" i="5"/>
  <c r="AV24" i="5" s="1"/>
  <c r="AO35" i="5"/>
  <c r="AP35" i="5" s="1"/>
  <c r="AR35" i="5" s="1"/>
  <c r="AO66" i="5"/>
  <c r="AP66" i="5" s="1"/>
  <c r="AR66" i="5" s="1"/>
  <c r="AT66" i="5" s="1"/>
  <c r="AS32" i="5"/>
  <c r="E37" i="5"/>
  <c r="H37" i="5" s="1"/>
  <c r="AV37" i="5" s="1"/>
  <c r="AO65" i="5"/>
  <c r="AP65" i="5" s="1"/>
  <c r="AR65" i="5" s="1"/>
  <c r="AO45" i="5"/>
  <c r="AP45" i="5" s="1"/>
  <c r="AR45" i="5" s="1"/>
  <c r="I68" i="5"/>
  <c r="J68" i="5" s="1"/>
  <c r="AS68" i="5" s="1"/>
  <c r="J17" i="5"/>
  <c r="AS19" i="5" s="1"/>
  <c r="I48" i="5"/>
  <c r="J48" i="5" s="1"/>
  <c r="AS48" i="5" s="1"/>
  <c r="AU62" i="5"/>
  <c r="E67" i="5"/>
  <c r="H67" i="5" s="1"/>
  <c r="AV67" i="5" s="1"/>
  <c r="I67" i="5"/>
  <c r="AO67" i="5" s="1"/>
  <c r="AP67" i="5" s="1"/>
  <c r="AR67" i="5" s="1"/>
  <c r="AO64" i="5"/>
  <c r="AP64" i="5" s="1"/>
  <c r="AR64" i="5" s="1"/>
  <c r="AO69" i="5"/>
  <c r="AP69" i="5" s="1"/>
  <c r="AR69" i="5" s="1"/>
  <c r="AO63" i="5"/>
  <c r="AS64" i="5"/>
  <c r="E69" i="5"/>
  <c r="H69" i="5" s="1"/>
  <c r="H66" i="5"/>
  <c r="AP52" i="5"/>
  <c r="AR52" i="5" s="1"/>
  <c r="AT52" i="5" s="1"/>
  <c r="AW52" i="5" s="1"/>
  <c r="AO56" i="5"/>
  <c r="AP56" i="5" s="1"/>
  <c r="AR56" i="5" s="1"/>
  <c r="AT56" i="5" s="1"/>
  <c r="AO58" i="5"/>
  <c r="AU55" i="5"/>
  <c r="AV55" i="5"/>
  <c r="AO53" i="5"/>
  <c r="AS54" i="5"/>
  <c r="E59" i="5"/>
  <c r="H59" i="5" s="1"/>
  <c r="I59" i="5"/>
  <c r="AO59" i="5" s="1"/>
  <c r="J55" i="5"/>
  <c r="AS55" i="5" s="1"/>
  <c r="AU42" i="5"/>
  <c r="E47" i="5"/>
  <c r="H47" i="5" s="1"/>
  <c r="AS44" i="5"/>
  <c r="E49" i="5"/>
  <c r="H49" i="5" s="1"/>
  <c r="AP42" i="5"/>
  <c r="AR42" i="5" s="1"/>
  <c r="AT42" i="5" s="1"/>
  <c r="AW42" i="5" s="1"/>
  <c r="E48" i="5"/>
  <c r="H48" i="5" s="1"/>
  <c r="AO38" i="5"/>
  <c r="AO33" i="5"/>
  <c r="I37" i="5"/>
  <c r="E39" i="5"/>
  <c r="H39" i="5" s="1"/>
  <c r="AP32" i="5"/>
  <c r="AR32" i="5" s="1"/>
  <c r="I39" i="5"/>
  <c r="AO39" i="5" s="1"/>
  <c r="J35" i="5"/>
  <c r="AS35" i="5" s="1"/>
  <c r="AO24" i="5"/>
  <c r="AP24" i="5" s="1"/>
  <c r="AR24" i="5" s="1"/>
  <c r="AT24" i="5" s="1"/>
  <c r="AS22" i="5"/>
  <c r="AO26" i="5"/>
  <c r="AP26" i="5" s="1"/>
  <c r="AR26" i="5" s="1"/>
  <c r="AT26" i="5" s="1"/>
  <c r="AO28" i="5"/>
  <c r="AU25" i="5"/>
  <c r="AV25" i="5"/>
  <c r="AV22" i="5"/>
  <c r="AO23" i="5"/>
  <c r="I27" i="5"/>
  <c r="E29" i="5"/>
  <c r="H29" i="5" s="1"/>
  <c r="AP22" i="5"/>
  <c r="AR22" i="5" s="1"/>
  <c r="I29" i="5"/>
  <c r="AO29" i="5" s="1"/>
  <c r="J25" i="5"/>
  <c r="AS25" i="5" s="1"/>
  <c r="AO19" i="5"/>
  <c r="AP19" i="5" s="1"/>
  <c r="AR19" i="5" s="1"/>
  <c r="AO16" i="5"/>
  <c r="AO14" i="5"/>
  <c r="AP12" i="5"/>
  <c r="AR12" i="5" s="1"/>
  <c r="I18" i="5"/>
  <c r="J18" i="5" s="1"/>
  <c r="AS18" i="5" s="1"/>
  <c r="AU12" i="5"/>
  <c r="E7" i="5"/>
  <c r="H7" i="5" s="1"/>
  <c r="AV7" i="5" s="1"/>
  <c r="AU2" i="5"/>
  <c r="AV17" i="5"/>
  <c r="AU17" i="5"/>
  <c r="AV15" i="5"/>
  <c r="AO13" i="5"/>
  <c r="AS14" i="5"/>
  <c r="AO6" i="5"/>
  <c r="AP6" i="5" s="1"/>
  <c r="AR6" i="5" s="1"/>
  <c r="AT6" i="5" s="1"/>
  <c r="AV5" i="5"/>
  <c r="AU5" i="5"/>
  <c r="AO8" i="5"/>
  <c r="J8" i="5"/>
  <c r="AS8" i="5" s="1"/>
  <c r="AO3" i="5"/>
  <c r="AS4" i="5"/>
  <c r="E9" i="5"/>
  <c r="H9" i="5" s="1"/>
  <c r="AP2" i="5"/>
  <c r="AR2" i="5" s="1"/>
  <c r="AT2" i="5" s="1"/>
  <c r="AW2" i="5" s="1"/>
  <c r="I9" i="5"/>
  <c r="AO9" i="5" s="1"/>
  <c r="J5" i="5"/>
  <c r="AS5" i="5" s="1"/>
  <c r="O17" i="3"/>
  <c r="O15" i="3"/>
  <c r="J13" i="3"/>
  <c r="O13" i="3"/>
  <c r="O7" i="3"/>
  <c r="O6" i="3"/>
  <c r="O3" i="3"/>
  <c r="O10" i="3"/>
  <c r="E17" i="2"/>
  <c r="T4" i="2"/>
  <c r="T3" i="2"/>
  <c r="E3" i="2"/>
  <c r="AT10" i="5" l="1"/>
  <c r="AW10" i="5" s="1"/>
  <c r="AW83" i="5"/>
  <c r="AT30" i="5"/>
  <c r="AW30" i="5" s="1"/>
  <c r="AT20" i="5"/>
  <c r="AW20" i="5" s="1"/>
  <c r="AT50" i="5"/>
  <c r="AW50" i="5" s="1"/>
  <c r="AT70" i="5"/>
  <c r="AW70" i="5" s="1"/>
  <c r="AT60" i="5"/>
  <c r="AW60" i="5" s="1"/>
  <c r="AV106" i="5"/>
  <c r="AW94" i="5"/>
  <c r="AV84" i="5"/>
  <c r="AV94" i="5"/>
  <c r="AR104" i="5"/>
  <c r="AT104" i="5" s="1"/>
  <c r="AW104" i="5" s="1"/>
  <c r="AV83" i="5"/>
  <c r="AO7" i="5"/>
  <c r="AP7" i="5" s="1"/>
  <c r="AR7" i="5" s="1"/>
  <c r="AT127" i="5"/>
  <c r="AW127" i="5" s="1"/>
  <c r="AS126" i="5"/>
  <c r="AT126" i="5" s="1"/>
  <c r="AW126" i="5" s="1"/>
  <c r="AW114" i="5"/>
  <c r="AV103" i="5"/>
  <c r="AU114" i="5"/>
  <c r="AU4" i="5"/>
  <c r="AU124" i="5"/>
  <c r="AV93" i="5"/>
  <c r="AT106" i="5"/>
  <c r="AW106" i="5" s="1"/>
  <c r="AW93" i="5"/>
  <c r="AW124" i="5"/>
  <c r="AT116" i="5"/>
  <c r="AW116" i="5" s="1"/>
  <c r="AW26" i="5"/>
  <c r="AT45" i="5"/>
  <c r="AW45" i="5" s="1"/>
  <c r="AS117" i="5"/>
  <c r="AT117" i="5" s="1"/>
  <c r="AW117" i="5" s="1"/>
  <c r="AT92" i="5"/>
  <c r="AW92" i="5" s="1"/>
  <c r="AU68" i="5"/>
  <c r="AU57" i="5"/>
  <c r="AS107" i="5"/>
  <c r="AT107" i="5" s="1"/>
  <c r="AW107" i="5" s="1"/>
  <c r="AW103" i="5"/>
  <c r="AT72" i="5"/>
  <c r="AW72" i="5" s="1"/>
  <c r="AV73" i="5"/>
  <c r="AU44" i="5"/>
  <c r="AW84" i="5"/>
  <c r="AW123" i="5"/>
  <c r="AV123" i="5"/>
  <c r="AU123" i="5"/>
  <c r="AW125" i="5"/>
  <c r="AV125" i="5"/>
  <c r="AU125" i="5"/>
  <c r="AV127" i="5"/>
  <c r="AU127" i="5"/>
  <c r="AW115" i="5"/>
  <c r="AV115" i="5"/>
  <c r="AU115" i="5"/>
  <c r="AV117" i="5"/>
  <c r="AU117" i="5"/>
  <c r="AU113" i="5"/>
  <c r="AW113" i="5"/>
  <c r="AV113" i="5"/>
  <c r="AV104" i="5"/>
  <c r="AU104" i="5"/>
  <c r="AV107" i="5"/>
  <c r="AU107" i="5"/>
  <c r="AW105" i="5"/>
  <c r="AV105" i="5"/>
  <c r="AU105" i="5"/>
  <c r="AT82" i="5"/>
  <c r="AW82" i="5" s="1"/>
  <c r="AW73" i="5"/>
  <c r="AU36" i="5"/>
  <c r="AU34" i="5"/>
  <c r="AW34" i="5"/>
  <c r="AU56" i="5"/>
  <c r="AW56" i="5"/>
  <c r="AW36" i="5"/>
  <c r="AU3" i="5"/>
  <c r="AU64" i="5"/>
  <c r="AV33" i="5"/>
  <c r="AW43" i="5"/>
  <c r="AV26" i="5"/>
  <c r="AU28" i="5"/>
  <c r="AV23" i="5"/>
  <c r="AT15" i="5"/>
  <c r="AW15" i="5" s="1"/>
  <c r="J67" i="5"/>
  <c r="AS69" i="5" s="1"/>
  <c r="AT69" i="5" s="1"/>
  <c r="AW69" i="5" s="1"/>
  <c r="AV58" i="5"/>
  <c r="AT22" i="5"/>
  <c r="AW22" i="5" s="1"/>
  <c r="AU14" i="5"/>
  <c r="AU53" i="5"/>
  <c r="AT65" i="5"/>
  <c r="AW65" i="5" s="1"/>
  <c r="AS57" i="5"/>
  <c r="AO57" i="5"/>
  <c r="AP57" i="5" s="1"/>
  <c r="AR57" i="5" s="1"/>
  <c r="AW46" i="5"/>
  <c r="AW24" i="5"/>
  <c r="AU38" i="5"/>
  <c r="AU46" i="5"/>
  <c r="AU7" i="5"/>
  <c r="AU43" i="5"/>
  <c r="AU37" i="5"/>
  <c r="AV8" i="5"/>
  <c r="AU63" i="5"/>
  <c r="AO48" i="5"/>
  <c r="AP48" i="5" s="1"/>
  <c r="AR48" i="5" s="1"/>
  <c r="AT48" i="5" s="1"/>
  <c r="AW48" i="5" s="1"/>
  <c r="AU54" i="5"/>
  <c r="AU13" i="5"/>
  <c r="J47" i="5"/>
  <c r="AS49" i="5" s="1"/>
  <c r="AT49" i="5" s="1"/>
  <c r="AW49" i="5" s="1"/>
  <c r="AR54" i="5"/>
  <c r="AT54" i="5" s="1"/>
  <c r="AW54" i="5" s="1"/>
  <c r="AU19" i="5"/>
  <c r="AV19" i="5"/>
  <c r="AV6" i="5"/>
  <c r="AU27" i="5"/>
  <c r="AU67" i="5"/>
  <c r="AU16" i="5"/>
  <c r="AU18" i="5"/>
  <c r="AT32" i="5"/>
  <c r="AW32" i="5" s="1"/>
  <c r="AO17" i="5"/>
  <c r="AP17" i="5" s="1"/>
  <c r="AR17" i="5" s="1"/>
  <c r="AU24" i="5"/>
  <c r="AS17" i="5"/>
  <c r="AO68" i="5"/>
  <c r="AP68" i="5" s="1"/>
  <c r="AR68" i="5" s="1"/>
  <c r="AT68" i="5" s="1"/>
  <c r="AW68" i="5" s="1"/>
  <c r="AW6" i="5"/>
  <c r="AW66" i="5"/>
  <c r="AV66" i="5"/>
  <c r="AU66" i="5"/>
  <c r="AV69" i="5"/>
  <c r="AU69" i="5"/>
  <c r="AT64" i="5"/>
  <c r="AW64" i="5" s="1"/>
  <c r="AP63" i="5"/>
  <c r="AR63" i="5" s="1"/>
  <c r="AT63" i="5" s="1"/>
  <c r="AW63" i="5" s="1"/>
  <c r="AP59" i="5"/>
  <c r="AR59" i="5" s="1"/>
  <c r="AT59" i="5" s="1"/>
  <c r="AW59" i="5" s="1"/>
  <c r="AV59" i="5"/>
  <c r="AU59" i="5"/>
  <c r="AP53" i="5"/>
  <c r="AR53" i="5" s="1"/>
  <c r="AT53" i="5" s="1"/>
  <c r="AW53" i="5" s="1"/>
  <c r="AP58" i="5"/>
  <c r="AR58" i="5" s="1"/>
  <c r="AT58" i="5" s="1"/>
  <c r="AW58" i="5" s="1"/>
  <c r="AT55" i="5"/>
  <c r="AW55" i="5" s="1"/>
  <c r="AV48" i="5"/>
  <c r="AU48" i="5"/>
  <c r="AV49" i="5"/>
  <c r="AU49" i="5"/>
  <c r="AT44" i="5"/>
  <c r="AW44" i="5" s="1"/>
  <c r="AU47" i="5"/>
  <c r="AV47" i="5"/>
  <c r="AP39" i="5"/>
  <c r="AR39" i="5" s="1"/>
  <c r="AV39" i="5"/>
  <c r="AU39" i="5"/>
  <c r="AO37" i="5"/>
  <c r="J37" i="5"/>
  <c r="AP33" i="5"/>
  <c r="AR33" i="5" s="1"/>
  <c r="AT33" i="5" s="1"/>
  <c r="AW33" i="5" s="1"/>
  <c r="AP38" i="5"/>
  <c r="AR38" i="5" s="1"/>
  <c r="AT38" i="5" s="1"/>
  <c r="AW38" i="5" s="1"/>
  <c r="AT35" i="5"/>
  <c r="AW35" i="5" s="1"/>
  <c r="AP28" i="5"/>
  <c r="AR28" i="5" s="1"/>
  <c r="AT28" i="5" s="1"/>
  <c r="AW28" i="5" s="1"/>
  <c r="AV29" i="5"/>
  <c r="AU29" i="5"/>
  <c r="AO27" i="5"/>
  <c r="J27" i="5"/>
  <c r="AP23" i="5"/>
  <c r="AR23" i="5" s="1"/>
  <c r="AT23" i="5" s="1"/>
  <c r="AW23" i="5" s="1"/>
  <c r="AP29" i="5"/>
  <c r="AR29" i="5" s="1"/>
  <c r="AT25" i="5"/>
  <c r="AW25" i="5" s="1"/>
  <c r="AT12" i="5"/>
  <c r="AW12" i="5" s="1"/>
  <c r="AP14" i="5"/>
  <c r="AR14" i="5" s="1"/>
  <c r="AT14" i="5" s="1"/>
  <c r="AW14" i="5" s="1"/>
  <c r="AP16" i="5"/>
  <c r="AR16" i="5" s="1"/>
  <c r="AT16" i="5" s="1"/>
  <c r="AW16" i="5" s="1"/>
  <c r="AO18" i="5"/>
  <c r="AP18" i="5" s="1"/>
  <c r="AR18" i="5" s="1"/>
  <c r="AT18" i="5" s="1"/>
  <c r="AW18" i="5" s="1"/>
  <c r="AT19" i="5"/>
  <c r="AW19" i="5" s="1"/>
  <c r="AP13" i="5"/>
  <c r="AR13" i="5" s="1"/>
  <c r="AT5" i="5"/>
  <c r="AW5" i="5" s="1"/>
  <c r="AP9" i="5"/>
  <c r="AR9" i="5" s="1"/>
  <c r="AT4" i="5"/>
  <c r="AW4" i="5" s="1"/>
  <c r="AP8" i="5"/>
  <c r="AR8" i="5" s="1"/>
  <c r="AT8" i="5" s="1"/>
  <c r="AW8" i="5" s="1"/>
  <c r="AV9" i="5"/>
  <c r="AU9" i="5"/>
  <c r="AS9" i="5"/>
  <c r="AS7" i="5"/>
  <c r="AP3" i="5"/>
  <c r="AR3" i="5" s="1"/>
  <c r="AT3" i="5" s="1"/>
  <c r="AW3" i="5" s="1"/>
  <c r="AT7" i="5" l="1"/>
  <c r="AW7" i="5" s="1"/>
  <c r="AT57" i="5"/>
  <c r="AW57" i="5" s="1"/>
  <c r="AS67" i="5"/>
  <c r="AT67" i="5" s="1"/>
  <c r="AW67" i="5" s="1"/>
  <c r="AT17" i="5"/>
  <c r="AW17" i="5" s="1"/>
  <c r="AS47" i="5"/>
  <c r="AT47" i="5" s="1"/>
  <c r="AW47" i="5" s="1"/>
  <c r="AS39" i="5"/>
  <c r="AT39" i="5" s="1"/>
  <c r="AW39" i="5" s="1"/>
  <c r="AS37" i="5"/>
  <c r="AP37" i="5"/>
  <c r="AR37" i="5" s="1"/>
  <c r="AS29" i="5"/>
  <c r="AT29" i="5" s="1"/>
  <c r="AW29" i="5" s="1"/>
  <c r="AS27" i="5"/>
  <c r="AP27" i="5"/>
  <c r="AR27" i="5" s="1"/>
  <c r="AT13" i="5"/>
  <c r="AW13" i="5" s="1"/>
  <c r="AT9" i="5"/>
  <c r="AW9" i="5" s="1"/>
  <c r="AT37" i="5" l="1"/>
  <c r="AW37" i="5" s="1"/>
  <c r="AT27" i="5"/>
  <c r="AW27" i="5" s="1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<sst xmlns="http://schemas.openxmlformats.org/spreadsheetml/2006/main" count="2147" uniqueCount="251">
  <si>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</si>
  <si>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</si>
  <si>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</si>
  <si>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Объем трубопровода, м3</t>
  </si>
  <si>
    <t>Длина трубопровода, м</t>
  </si>
  <si>
    <t>Диаметр трубопровода, мм</t>
  </si>
  <si>
    <t>Плотность г.ф., т/м3</t>
  </si>
  <si>
    <t>Плотность ж.ф., т/м3</t>
  </si>
  <si>
    <t>Объем, м3</t>
  </si>
  <si>
    <t>Степень заполенения, -</t>
  </si>
  <si>
    <t>Обводненность, в долях единицы</t>
  </si>
  <si>
    <t>Вещество</t>
  </si>
  <si>
    <t>Количество ОВ по виду, т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</si>
  <si>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</si>
  <si>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</si>
  <si>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</si>
  <si>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</si>
  <si>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</si>
  <si>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</si>
  <si>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</si>
  <si>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</si>
  <si>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</si>
  <si>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</si>
  <si>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ж.ф.</t>
  </si>
  <si>
    <t>нефть</t>
  </si>
  <si>
    <t>Отстойник О-1, бензин</t>
  </si>
  <si>
    <t>г.ф.+ж.ф.</t>
  </si>
  <si>
    <t>бензин</t>
  </si>
  <si>
    <t>Аппарат, Е-1, метан</t>
  </si>
  <si>
    <t>метан</t>
  </si>
  <si>
    <t>Аппарат, О-2, нефть</t>
  </si>
  <si>
    <t>ДТ</t>
  </si>
  <si>
    <t>Аппарат, Е-4/2, нефть</t>
  </si>
  <si>
    <t>Отстойник ОГЖФ-1,2, нефть</t>
  </si>
  <si>
    <t>Дренажная емкость ЕП-40-2400-1600-2, диз.топливо</t>
  </si>
  <si>
    <t>Факельный сепаратор, нефть (легкие фракции)</t>
  </si>
  <si>
    <t>г.ф.</t>
  </si>
  <si>
    <t>Емкость буферная КБ</t>
  </si>
  <si>
    <t>Подогреватель П-1,2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</si>
  <si>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</si>
  <si>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</si>
  <si>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</si>
  <si>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</si>
  <si>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РВС-3000, бензин</t>
  </si>
  <si>
    <t>Дренажная емкость ЕП-100-3200-1600-2</t>
  </si>
  <si>
    <t>Дренажная емкость ЕП-8-2000-1300-3</t>
  </si>
  <si>
    <t>Дренажная емкость ЕП-40-2400-1600-2</t>
  </si>
  <si>
    <t>Оборудование</t>
  </si>
  <si>
    <t>Масса в оборудовании, т</t>
  </si>
  <si>
    <t>Тем-ра, град.С</t>
  </si>
  <si>
    <t>Давление, Мпа</t>
  </si>
  <si>
    <t>Теплоѐмкость жидкости, Дж/(кг*К)</t>
  </si>
  <si>
    <t>Температура кипения, град.С</t>
  </si>
  <si>
    <t>Теплота испарения, Дж/кг</t>
  </si>
  <si>
    <t>М, кг/моль</t>
  </si>
  <si>
    <t>Твсп,С</t>
  </si>
  <si>
    <t>Sпрол, м2</t>
  </si>
  <si>
    <t>Доля аварийного истечения, -</t>
  </si>
  <si>
    <t>Доля мг.испарившегося вещества</t>
  </si>
  <si>
    <t>Pn, кПа</t>
  </si>
  <si>
    <t>Мав, т</t>
  </si>
  <si>
    <t>Мисп, т</t>
  </si>
  <si>
    <t>Отстойник ОГЖФ - 25-1, per. № 1</t>
  </si>
  <si>
    <t>Отстойник ОГ - 50, per. № 14</t>
  </si>
  <si>
    <t>Отстойник 1 - 100 -1,0 -2 -Т-И, рег.№15</t>
  </si>
  <si>
    <t>Аппарат 1 - 100- 1,0- 1Ти, рег.№4, Е-1</t>
  </si>
  <si>
    <t>Аппарат 1 - 100- 1,0- 1Ти, рег.№5, Е-2</t>
  </si>
  <si>
    <t>Сепаратор НГС 1 -1,0 - 2000-1, рег.№6</t>
  </si>
  <si>
    <t>Г азосепаратор ГС 2-1,0 -1200 - IT, per. № 7, рег.№6</t>
  </si>
  <si>
    <t>газ есть</t>
  </si>
  <si>
    <t>Емкость подземная ЕП 8 -2000- 1 -2 , зав. №64</t>
  </si>
  <si>
    <t>Емкость подземная ЕП 8 -2000 - 1 - 2, зав. № 65</t>
  </si>
  <si>
    <t>Емкость подземная ЕП 25 -2400 - 1300 - 2, (КЕ-5)</t>
  </si>
  <si>
    <t>Емкость подземная ЕП 12,5 -2000-1 -2 , (КЕ-3)</t>
  </si>
  <si>
    <t>Насос Н 3/1,2, ЦНСГ 13-140,
зав. № 335,655</t>
  </si>
  <si>
    <t>Насос Н 2/1,2, ЦНСн 38-175,
зав. № 196, 74</t>
  </si>
  <si>
    <t>Нacoc Н 1/2, ЦНСАН 13-140,
saв.№ 828</t>
  </si>
  <si>
    <t>Насос Н 1/1 и Н-7, А 1-ЗВ 16/25 (Е -
2), зав. № 11ц26, 8С1</t>
  </si>
  <si>
    <t>Подогреватель нефти и
нефтяной эмульсии ПНПТ -
0,ЗК, зав. № 322</t>
  </si>
  <si>
    <t>Подогреватель нефти с
промежуточным
теплоносителем ПНПТ - 0,3,
зав. № 6025</t>
  </si>
  <si>
    <t>С1</t>
  </si>
  <si>
    <t>Полное разрушение→ мгновенное воспламенение→ пожар пролива</t>
  </si>
  <si>
    <t>Полное-пожар</t>
  </si>
  <si>
    <t>Площадь, м2</t>
  </si>
  <si>
    <t>-</t>
  </si>
  <si>
    <t>С2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</si>
  <si>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</si>
  <si>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Полное-взрыв</t>
  </si>
  <si>
    <t>Расход газ, кг/с</t>
  </si>
  <si>
    <t>С3</t>
  </si>
  <si>
    <t>Полное-ликвидация</t>
  </si>
  <si>
    <t>Расход жидкость, кг/с</t>
  </si>
  <si>
    <t>С4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</si>
  <si>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</si>
  <si>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</si>
  <si>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Теплота сгорания, кДж/кг</t>
  </si>
  <si>
    <t>С5</t>
  </si>
  <si>
    <t>Частичное-ликвидация</t>
  </si>
  <si>
    <t>НКПР, об.%</t>
  </si>
  <si>
    <t>С6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</si>
  <si>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</si>
  <si>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Тип дерева</t>
  </si>
  <si>
    <t>С7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</si>
  <si>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</si>
  <si>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Частичное-пожар-вспышка</t>
  </si>
  <si>
    <t>С8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</si>
  <si>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</si>
  <si>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№ сценария</t>
  </si>
  <si>
    <t>Описание</t>
  </si>
  <si>
    <t>Кратко сценарий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</si>
  <si>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</si>
  <si>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</si>
  <si>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</si>
  <si>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</si>
  <si>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</si>
  <si>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</si>
  <si>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Исходные данные для расчета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</si>
  <si>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</si>
  <si>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</si>
  <si>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</si>
  <si>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</si>
  <si>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</si>
  <si>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</si>
  <si>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</si>
  <si>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</si>
  <si>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</si>
  <si>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</si>
  <si>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</si>
  <si>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</si>
  <si>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</si>
  <si>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</si>
  <si>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</si>
  <si>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</si>
  <si>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</si>
  <si>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</si>
  <si>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Кол-во пострадавших, чел</t>
  </si>
  <si>
    <t>Остаточная стоимость оборудования, млн.руб</t>
  </si>
  <si>
    <t>Стоимость вещества, млн.руб/т</t>
  </si>
  <si>
    <t>Дни простоя, сут.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</si>
  <si>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</si>
  <si>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</si>
  <si>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</si>
  <si>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</si>
  <si>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</si>
  <si>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</si>
  <si>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 погибшие, чел/год</t>
  </si>
  <si>
    <t>Кол.риск пострадавшие, чел/год</t>
  </si>
  <si>
    <t>Мат.ожидание, млн.руб/год</t>
  </si>
  <si>
    <t>Частичное-пожар</t>
  </si>
  <si>
    <t>Полное-факел</t>
  </si>
  <si>
    <t>Емкость подземная ЕП 8 -2000- 1 -2 , зав. №64, 65</t>
  </si>
  <si>
    <t>Емкость подземная ЕП 25 -2400 - 1300 - 2, (КЕ-1 и КЕ-5)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</si>
  <si>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</si>
  <si>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</si>
  <si>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Полное-взрыв облака ТВС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</si>
  <si>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</si>
  <si>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</si>
  <si>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</si>
  <si>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</si>
  <si>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Насос Н 3/1,2 и Н1/2, ЦНСГ 13-140,
зав. № 335,655, 828</t>
  </si>
  <si>
    <t>С9</t>
  </si>
  <si>
    <t>Полное разрушение при воздействии внешнего источника горения→ образование огненного шара</t>
  </si>
  <si>
    <t>Частичное-шар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</si>
  <si>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</si>
  <si>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</si>
  <si>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</si>
  <si>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</si>
  <si>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</si>
  <si>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</si>
  <si>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</si>
  <si>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</si>
  <si>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</si>
  <si>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</si>
  <si>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</si>
  <si>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</si>
  <si>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</si>
  <si>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</si>
  <si>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</si>
  <si>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</si>
  <si>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</si>
  <si>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</si>
  <si>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</si>
  <si>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</si>
  <si>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</si>
  <si>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</si>
  <si>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</si>
  <si>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</si>
  <si>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</si>
  <si>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</si>
  <si>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</si>
  <si>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</si>
  <si>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</si>
  <si>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</si>
  <si>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</si>
  <si>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</si>
  <si>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</si>
  <si>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</si>
  <si>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</si>
  <si>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</si>
  <si>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</si>
  <si>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</si>
  <si>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</si>
  <si>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</si>
  <si>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</si>
  <si>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</si>
  <si>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</si>
  <si>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</si>
  <si>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</si>
  <si>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</si>
  <si>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</si>
  <si>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С55</t>
  </si>
  <si>
    <t>С56</t>
  </si>
  <si>
    <t>С57</t>
  </si>
  <si>
    <t>С58</t>
  </si>
  <si>
    <t>С59</t>
  </si>
  <si>
    <t>С60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</si>
  <si>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</si>
  <si>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</si>
  <si>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</si>
  <si>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</si>
  <si>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</si>
  <si>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</si>
  <si>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</si>
  <si>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</si>
  <si>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</si>
  <si>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</si>
  <si>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</si>
  <si>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</si>
  <si>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</si>
  <si>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</si>
  <si>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</si>
  <si>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</si>
  <si>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</si>
  <si>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</si>
  <si>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С79</t>
  </si>
  <si>
    <t>С80</t>
  </si>
  <si>
    <t>С81</t>
  </si>
  <si>
    <t>С82</t>
  </si>
  <si>
    <t>С83</t>
  </si>
  <si>
    <t>С84</t>
  </si>
  <si>
    <t>С85</t>
  </si>
  <si>
    <t>С86</t>
  </si>
  <si>
    <t>С87</t>
  </si>
  <si>
    <t>С88</t>
  </si>
  <si>
    <t>С89</t>
  </si>
  <si>
    <t>С90</t>
  </si>
  <si>
    <t>Газосепаратор ГС 2-1,0 -1200 - IT, per. № 7, рег.№6</t>
  </si>
  <si>
    <t>Полноетокси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</si>
  <si>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</si>
  <si>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Кол-во погибших, чел</t>
  </si>
  <si>
    <t>С6+A76A56:A2:A117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</si>
</sst>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Arial Narrow"/>
      <family val="2"/>
      <charset val="204"/>
    </font>
    <font>
      <sz val="11"/>
      <name val="Arial Narrow"/>
      <family val="2"/>
      <charset val="204"/>
    </font>
    <font>
      <sz val="1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68">
    <xf numFmtId="0" fontId="0" fillId="0" borderId="0" xfId="0"/>
    <xf numFmtId="0" fontId="2" fillId="0" borderId="6" xfId="1" applyBorder="1"/>
    <xf numFmtId="0" fontId="2" fillId="0" borderId="0" xfId="1"/>
    <xf numFmtId="0" fontId="2" fillId="0" borderId="0" xfId="1" applyAlignment="1">
      <alignment wrapText="1"/>
    </xf>
    <xf numFmtId="0" fontId="2" fillId="0" borderId="7" xfId="1" applyBorder="1" applyAlignment="1">
      <alignment wrapText="1"/>
    </xf>
    <xf numFmtId="0" fontId="2" fillId="0" borderId="8" xfId="1" applyBorder="1" applyAlignment="1">
      <alignment wrapText="1"/>
    </xf>
    <xf numFmtId="0" fontId="2" fillId="0" borderId="9" xfId="1" applyBorder="1" applyAlignment="1">
      <alignment wrapText="1"/>
    </xf>
    <xf numFmtId="0" fontId="2" fillId="0" borderId="12" xfId="1" applyBorder="1"/>
    <xf numFmtId="0" fontId="2" fillId="0" borderId="13" xfId="1" applyBorder="1"/>
    <xf numFmtId="0" fontId="2" fillId="2" borderId="14" xfId="1" applyFill="1" applyBorder="1" applyAlignment="1">
      <alignment wrapText="1"/>
    </xf>
    <xf numFmtId="0" fontId="2" fillId="2" borderId="15" xfId="1" applyFill="1" applyBorder="1"/>
    <xf numFmtId="2" fontId="2" fillId="0" borderId="16" xfId="1" applyNumberFormat="1" applyBorder="1"/>
    <xf numFmtId="2" fontId="2" fillId="0" borderId="14" xfId="1" applyNumberFormat="1" applyBorder="1"/>
    <xf numFmtId="0" fontId="2" fillId="2" borderId="16" xfId="1" applyFill="1" applyBorder="1"/>
    <xf numFmtId="0" fontId="2" fillId="2" borderId="14" xfId="1" applyFill="1" applyBorder="1"/>
    <xf numFmtId="2" fontId="2" fillId="3" borderId="15" xfId="1" applyNumberFormat="1" applyFill="1" applyBorder="1"/>
    <xf numFmtId="0" fontId="2" fillId="4" borderId="16" xfId="1" applyFill="1" applyBorder="1"/>
    <xf numFmtId="0" fontId="2" fillId="4" borderId="14" xfId="1" applyFill="1" applyBorder="1"/>
    <xf numFmtId="0" fontId="2" fillId="5" borderId="12" xfId="1" applyFill="1" applyBorder="1"/>
    <xf numFmtId="0" fontId="2" fillId="5" borderId="17" xfId="1" applyFill="1" applyBorder="1"/>
    <xf numFmtId="0" fontId="2" fillId="5" borderId="18" xfId="1" applyFill="1" applyBorder="1"/>
    <xf numFmtId="0" fontId="2" fillId="5" borderId="16" xfId="1" applyFill="1" applyBorder="1"/>
    <xf numFmtId="0" fontId="2" fillId="5" borderId="19" xfId="1" applyFill="1" applyBorder="1"/>
    <xf numFmtId="0" fontId="2" fillId="2" borderId="12" xfId="1" applyFill="1" applyBorder="1"/>
    <xf numFmtId="2" fontId="2" fillId="0" borderId="6" xfId="1" applyNumberFormat="1" applyBorder="1"/>
    <xf numFmtId="0" fontId="2" fillId="2" borderId="20" xfId="1" applyFill="1" applyBorder="1"/>
    <xf numFmtId="0" fontId="2" fillId="2" borderId="21" xfId="1" applyFill="1" applyBorder="1"/>
    <xf numFmtId="2" fontId="2" fillId="0" borderId="20" xfId="1" applyNumberFormat="1" applyBorder="1"/>
    <xf numFmtId="0" fontId="2" fillId="2" borderId="22" xfId="1" applyFill="1" applyBorder="1"/>
    <xf numFmtId="2" fontId="2" fillId="3" borderId="21" xfId="1" applyNumberFormat="1" applyFill="1" applyBorder="1"/>
    <xf numFmtId="0" fontId="2" fillId="4" borderId="22" xfId="1" applyFill="1" applyBorder="1"/>
    <xf numFmtId="0" fontId="2" fillId="4" borderId="20" xfId="1" applyFill="1" applyBorder="1"/>
    <xf numFmtId="0" fontId="2" fillId="5" borderId="23" xfId="1" applyFill="1" applyBorder="1"/>
    <xf numFmtId="0" fontId="2" fillId="5" borderId="22" xfId="1" applyFill="1" applyBorder="1"/>
    <xf numFmtId="0" fontId="2" fillId="5" borderId="24" xfId="1" applyFill="1" applyBorder="1"/>
    <xf numFmtId="2" fontId="2" fillId="0" borderId="12" xfId="1" applyNumberFormat="1" applyBorder="1"/>
    <xf numFmtId="2" fontId="2" fillId="0" borderId="25" xfId="1" applyNumberFormat="1" applyBorder="1"/>
    <xf numFmtId="0" fontId="2" fillId="2" borderId="20" xfId="1" applyFill="1" applyBorder="1" applyAlignment="1">
      <alignment wrapText="1"/>
    </xf>
    <xf numFmtId="0" fontId="2" fillId="2" borderId="26" xfId="1" applyFill="1" applyBorder="1"/>
    <xf numFmtId="0" fontId="2" fillId="5" borderId="27" xfId="1" applyFill="1" applyBorder="1"/>
    <xf numFmtId="0" fontId="2" fillId="2" borderId="28" xfId="1" applyFill="1" applyBorder="1" applyAlignment="1">
      <alignment wrapText="1"/>
    </xf>
    <xf numFmtId="0" fontId="2" fillId="0" borderId="29" xfId="1" applyBorder="1"/>
    <xf numFmtId="0" fontId="4" fillId="0" borderId="0" xfId="1" applyFont="1"/>
    <xf numFmtId="2" fontId="4" fillId="0" borderId="29" xfId="1" applyNumberFormat="1" applyFont="1" applyBorder="1"/>
    <xf numFmtId="0" fontId="4" fillId="0" borderId="13" xfId="1" applyFont="1" applyBorder="1"/>
    <xf numFmtId="0" fontId="2" fillId="0" borderId="30" xfId="1" applyBorder="1"/>
    <xf numFmtId="2" fontId="2" fillId="0" borderId="29" xfId="1" applyNumberFormat="1" applyBorder="1"/>
    <xf numFmtId="0" fontId="7" fillId="0" borderId="0" xfId="1" applyFont="1"/>
    <xf numFmtId="0" fontId="7" fillId="0" borderId="0" xfId="1" applyFont="1" applyAlignment="1">
      <alignment wrapText="1"/>
    </xf>
    <xf numFmtId="0" fontId="7" fillId="0" borderId="0" xfId="1" applyFont="1" applyAlignment="1">
      <alignment horizontal="left" wrapText="1"/>
    </xf>
    <xf numFmtId="2" fontId="7" fillId="0" borderId="0" xfId="1" applyNumberFormat="1" applyFont="1" applyAlignment="1">
      <alignment wrapText="1"/>
    </xf>
    <xf numFmtId="2" fontId="7" fillId="0" borderId="0" xfId="1" applyNumberFormat="1" applyFont="1"/>
    <xf numFmtId="0" fontId="8" fillId="6" borderId="0" xfId="1" applyFont="1" applyFill="1"/>
    <xf numFmtId="0" fontId="9" fillId="5" borderId="7" xfId="1" applyFont="1" applyFill="1" applyBorder="1" applyAlignment="1">
      <alignment horizontal="right" vertical="center"/>
    </xf>
    <xf numFmtId="0" fontId="8" fillId="5" borderId="0" xfId="1" applyFont="1" applyFill="1"/>
    <xf numFmtId="2" fontId="8" fillId="5" borderId="0" xfId="1" applyNumberFormat="1" applyFont="1" applyFill="1"/>
    <xf numFmtId="2" fontId="8" fillId="7" borderId="0" xfId="1" applyNumberFormat="1" applyFont="1" applyFill="1"/>
    <xf numFmtId="0" fontId="8" fillId="7" borderId="0" xfId="1" applyFont="1" applyFill="1"/>
    <xf numFmtId="0" fontId="8" fillId="0" borderId="0" xfId="1" applyFont="1"/>
    <xf numFmtId="2" fontId="2" fillId="0" borderId="0" xfId="1" applyNumberFormat="1"/>
    <xf numFmtId="0" fontId="8" fillId="6" borderId="0" xfId="1" applyFont="1" applyFill="1" applyAlignment="1">
      <alignment wrapText="1"/>
    </xf>
    <xf numFmtId="0" fontId="4" fillId="0" borderId="0" xfId="1" applyFont="1" applyAlignment="1">
      <alignment wrapText="1"/>
    </xf>
    <xf numFmtId="2" fontId="9" fillId="5" borderId="7" xfId="1" applyNumberFormat="1" applyFont="1" applyFill="1" applyBorder="1" applyAlignment="1">
      <alignment horizontal="right" vertical="center"/>
    </xf>
    <xf numFmtId="164" fontId="8" fillId="7" borderId="0" xfId="1" applyNumberFormat="1" applyFont="1" applyFill="1"/>
    <xf numFmtId="0" fontId="8" fillId="5" borderId="22" xfId="0" applyFont="1" applyFill="1" applyBorder="1"/>
    <xf numFmtId="0" fontId="11" fillId="5" borderId="22" xfId="0" applyFont="1" applyFill="1" applyBorder="1"/>
    <xf numFmtId="0" fontId="0" fillId="5" borderId="22" xfId="0" applyFill="1" applyBorder="1"/>
    <xf numFmtId="0" fontId="0" fillId="5" borderId="22" xfId="0" applyFill="1" applyBorder="1" applyAlignment="1">
      <alignment wrapText="1"/>
    </xf>
    <xf numFmtId="11" fontId="11" fillId="5" borderId="22" xfId="0" applyNumberFormat="1" applyFont="1" applyFill="1" applyBorder="1"/>
    <xf numFmtId="11" fontId="8" fillId="5" borderId="22" xfId="0" applyNumberFormat="1" applyFont="1" applyFill="1" applyBorder="1"/>
    <xf numFmtId="2" fontId="11" fillId="5" borderId="22" xfId="0" applyNumberFormat="1" applyFont="1" applyFill="1" applyBorder="1"/>
    <xf numFmtId="2" fontId="8" fillId="5" borderId="24" xfId="0" applyNumberFormat="1" applyFont="1" applyFill="1" applyBorder="1"/>
    <xf numFmtId="2" fontId="8" fillId="5" borderId="31" xfId="0" applyNumberFormat="1" applyFont="1" applyFill="1" applyBorder="1"/>
    <xf numFmtId="0" fontId="11" fillId="5" borderId="32" xfId="0" applyFont="1" applyFill="1" applyBorder="1"/>
    <xf numFmtId="0" fontId="0" fillId="5" borderId="0" xfId="0" applyFill="1"/>
    <xf numFmtId="0" fontId="8" fillId="5" borderId="0" xfId="0" applyFont="1" applyFill="1"/>
    <xf numFmtId="0" fontId="3" fillId="5" borderId="0" xfId="0" applyFont="1" applyFill="1"/>
    <xf numFmtId="165" fontId="8" fillId="5" borderId="0" xfId="0" applyNumberFormat="1" applyFont="1" applyFill="1"/>
    <xf numFmtId="2" fontId="8" fillId="5" borderId="0" xfId="0" applyNumberFormat="1" applyFont="1" applyFill="1"/>
    <xf numFmtId="11" fontId="8" fillId="5" borderId="0" xfId="0" applyNumberFormat="1" applyFont="1" applyFill="1"/>
    <xf numFmtId="11" fontId="12" fillId="5" borderId="22" xfId="0" applyNumberFormat="1" applyFont="1" applyFill="1" applyBorder="1"/>
    <xf numFmtId="0" fontId="12" fillId="5" borderId="22" xfId="0" applyFont="1" applyFill="1" applyBorder="1"/>
    <xf numFmtId="2" fontId="8" fillId="5" borderId="22" xfId="0" applyNumberFormat="1" applyFont="1" applyFill="1" applyBorder="1"/>
    <xf numFmtId="2" fontId="8" fillId="5" borderId="21" xfId="0" applyNumberFormat="1" applyFont="1" applyFill="1" applyBorder="1"/>
    <xf numFmtId="0" fontId="11" fillId="5" borderId="20" xfId="0" applyFont="1" applyFill="1" applyBorder="1"/>
    <xf numFmtId="0" fontId="8" fillId="5" borderId="24" xfId="0" applyFont="1" applyFill="1" applyBorder="1"/>
    <xf numFmtId="0" fontId="8" fillId="5" borderId="33" xfId="0" applyFont="1" applyFill="1" applyBorder="1"/>
    <xf numFmtId="0" fontId="7" fillId="3" borderId="0" xfId="1" applyFont="1" applyFill="1"/>
    <xf numFmtId="0" fontId="7" fillId="3" borderId="0" xfId="1" applyFont="1" applyFill="1" applyAlignment="1">
      <alignment wrapText="1"/>
    </xf>
    <xf numFmtId="0" fontId="8" fillId="5" borderId="22" xfId="1" applyFont="1" applyFill="1" applyBorder="1"/>
    <xf numFmtId="0" fontId="11" fillId="5" borderId="22" xfId="1" applyFont="1" applyFill="1" applyBorder="1"/>
    <xf numFmtId="0" fontId="2" fillId="5" borderId="22" xfId="1" applyFill="1" applyBorder="1" applyAlignment="1">
      <alignment wrapText="1"/>
    </xf>
    <xf numFmtId="11" fontId="11" fillId="5" borderId="22" xfId="1" applyNumberFormat="1" applyFont="1" applyFill="1" applyBorder="1"/>
    <xf numFmtId="11" fontId="8" fillId="5" borderId="22" xfId="1" applyNumberFormat="1" applyFont="1" applyFill="1" applyBorder="1"/>
    <xf numFmtId="2" fontId="11" fillId="5" borderId="22" xfId="1" applyNumberFormat="1" applyFont="1" applyFill="1" applyBorder="1"/>
    <xf numFmtId="2" fontId="8" fillId="5" borderId="24" xfId="1" applyNumberFormat="1" applyFont="1" applyFill="1" applyBorder="1"/>
    <xf numFmtId="2" fontId="8" fillId="5" borderId="31" xfId="1" applyNumberFormat="1" applyFont="1" applyFill="1" applyBorder="1"/>
    <xf numFmtId="0" fontId="11" fillId="5" borderId="32" xfId="1" applyFont="1" applyFill="1" applyBorder="1"/>
    <xf numFmtId="0" fontId="2" fillId="5" borderId="0" xfId="1" applyFill="1"/>
    <xf numFmtId="0" fontId="3" fillId="5" borderId="0" xfId="1" applyFont="1" applyFill="1"/>
    <xf numFmtId="165" fontId="8" fillId="5" borderId="0" xfId="1" applyNumberFormat="1" applyFont="1" applyFill="1"/>
    <xf numFmtId="11" fontId="8" fillId="5" borderId="0" xfId="1" applyNumberFormat="1" applyFont="1" applyFill="1"/>
    <xf numFmtId="11" fontId="12" fillId="5" borderId="22" xfId="1" applyNumberFormat="1" applyFont="1" applyFill="1" applyBorder="1"/>
    <xf numFmtId="0" fontId="12" fillId="5" borderId="22" xfId="1" applyFont="1" applyFill="1" applyBorder="1"/>
    <xf numFmtId="2" fontId="8" fillId="5" borderId="22" xfId="1" applyNumberFormat="1" applyFont="1" applyFill="1" applyBorder="1"/>
    <xf numFmtId="2" fontId="8" fillId="5" borderId="21" xfId="1" applyNumberFormat="1" applyFont="1" applyFill="1" applyBorder="1"/>
    <xf numFmtId="0" fontId="11" fillId="5" borderId="20" xfId="1" applyFont="1" applyFill="1" applyBorder="1"/>
    <xf numFmtId="0" fontId="8" fillId="5" borderId="24" xfId="1" applyFont="1" applyFill="1" applyBorder="1"/>
    <xf numFmtId="0" fontId="8" fillId="5" borderId="21" xfId="1" applyFont="1" applyFill="1" applyBorder="1"/>
    <xf numFmtId="0" fontId="12" fillId="5" borderId="20" xfId="1" applyFont="1" applyFill="1" applyBorder="1"/>
    <xf numFmtId="0" fontId="8" fillId="5" borderId="33" xfId="1" applyFont="1" applyFill="1" applyBorder="1"/>
    <xf numFmtId="0" fontId="8" fillId="5" borderId="34" xfId="1" applyFont="1" applyFill="1" applyBorder="1"/>
    <xf numFmtId="164" fontId="11" fillId="5" borderId="24" xfId="1" applyNumberFormat="1" applyFont="1" applyFill="1" applyBorder="1"/>
    <xf numFmtId="0" fontId="12" fillId="5" borderId="34" xfId="0" applyFont="1" applyFill="1" applyBorder="1"/>
    <xf numFmtId="0" fontId="8" fillId="8" borderId="22" xfId="0" applyFont="1" applyFill="1" applyBorder="1"/>
    <xf numFmtId="0" fontId="11" fillId="8" borderId="22" xfId="0" applyFont="1" applyFill="1" applyBorder="1"/>
    <xf numFmtId="0" fontId="0" fillId="8" borderId="22" xfId="0" applyFill="1" applyBorder="1"/>
    <xf numFmtId="0" fontId="0" fillId="8" borderId="22" xfId="0" applyFill="1" applyBorder="1" applyAlignment="1">
      <alignment wrapText="1"/>
    </xf>
    <xf numFmtId="11" fontId="11" fillId="8" borderId="22" xfId="0" applyNumberFormat="1" applyFont="1" applyFill="1" applyBorder="1"/>
    <xf numFmtId="11" fontId="8" fillId="8" borderId="22" xfId="0" applyNumberFormat="1" applyFont="1" applyFill="1" applyBorder="1"/>
    <xf numFmtId="2" fontId="11" fillId="8" borderId="22" xfId="0" applyNumberFormat="1" applyFont="1" applyFill="1" applyBorder="1"/>
    <xf numFmtId="2" fontId="8" fillId="8" borderId="22" xfId="0" applyNumberFormat="1" applyFont="1" applyFill="1" applyBorder="1"/>
    <xf numFmtId="2" fontId="8" fillId="8" borderId="31" xfId="0" applyNumberFormat="1" applyFont="1" applyFill="1" applyBorder="1"/>
    <xf numFmtId="0" fontId="11" fillId="8" borderId="32" xfId="0" applyFont="1" applyFill="1" applyBorder="1"/>
    <xf numFmtId="0" fontId="0" fillId="8" borderId="0" xfId="0" applyFill="1"/>
    <xf numFmtId="0" fontId="8" fillId="8" borderId="0" xfId="0" applyFont="1" applyFill="1"/>
    <xf numFmtId="0" fontId="3" fillId="8" borderId="0" xfId="0" applyFont="1" applyFill="1"/>
    <xf numFmtId="165" fontId="8" fillId="8" borderId="0" xfId="0" applyNumberFormat="1" applyFont="1" applyFill="1"/>
    <xf numFmtId="2" fontId="8" fillId="8" borderId="0" xfId="0" applyNumberFormat="1" applyFont="1" applyFill="1"/>
    <xf numFmtId="11" fontId="8" fillId="8" borderId="0" xfId="0" applyNumberFormat="1" applyFont="1" applyFill="1"/>
    <xf numFmtId="11" fontId="12" fillId="8" borderId="22" xfId="0" applyNumberFormat="1" applyFont="1" applyFill="1" applyBorder="1"/>
    <xf numFmtId="0" fontId="12" fillId="8" borderId="22" xfId="0" applyFont="1" applyFill="1" applyBorder="1"/>
    <xf numFmtId="2" fontId="8" fillId="8" borderId="21" xfId="0" applyNumberFormat="1" applyFont="1" applyFill="1" applyBorder="1"/>
    <xf numFmtId="0" fontId="11" fillId="8" borderId="20" xfId="0" applyFont="1" applyFill="1" applyBorder="1"/>
    <xf numFmtId="0" fontId="8" fillId="8" borderId="33" xfId="0" applyFont="1" applyFill="1" applyBorder="1"/>
    <xf numFmtId="0" fontId="0" fillId="8" borderId="0" xfId="0" applyFill="1" applyAlignment="1">
      <alignment wrapText="1"/>
    </xf>
    <xf numFmtId="11" fontId="12" fillId="8" borderId="0" xfId="0" applyNumberFormat="1" applyFont="1" applyFill="1"/>
    <xf numFmtId="0" fontId="12" fillId="8" borderId="0" xfId="0" applyFont="1" applyFill="1"/>
    <xf numFmtId="164" fontId="11" fillId="8" borderId="22" xfId="0" applyNumberFormat="1" applyFont="1" applyFill="1" applyBorder="1"/>
    <xf numFmtId="0" fontId="11" fillId="8" borderId="22" xfId="0" applyFont="1" applyFill="1" applyBorder="1" applyAlignment="1">
      <alignment wrapText="1"/>
    </xf>
    <xf numFmtId="0" fontId="8" fillId="5" borderId="35" xfId="0" applyFont="1" applyFill="1" applyBorder="1"/>
    <xf numFmtId="0" fontId="12" fillId="5" borderId="36" xfId="0" applyFont="1" applyFill="1" applyBorder="1"/>
    <xf numFmtId="0" fontId="8" fillId="8" borderId="0" xfId="0" applyFont="1" applyFill="1" applyBorder="1"/>
    <xf numFmtId="0" fontId="0" fillId="8" borderId="0" xfId="0" applyFill="1" applyBorder="1"/>
    <xf numFmtId="0" fontId="0" fillId="8" borderId="0" xfId="0" applyFill="1" applyBorder="1" applyAlignment="1">
      <alignment wrapText="1"/>
    </xf>
    <xf numFmtId="11" fontId="12" fillId="8" borderId="0" xfId="0" applyNumberFormat="1" applyFont="1" applyFill="1" applyBorder="1"/>
    <xf numFmtId="0" fontId="12" fillId="8" borderId="0" xfId="0" applyFont="1" applyFill="1" applyBorder="1"/>
    <xf numFmtId="11" fontId="8" fillId="8" borderId="0" xfId="0" applyNumberFormat="1" applyFont="1" applyFill="1" applyBorder="1"/>
    <xf numFmtId="2" fontId="8" fillId="8" borderId="0" xfId="0" applyNumberFormat="1" applyFont="1" applyFill="1" applyBorder="1"/>
    <xf numFmtId="0" fontId="2" fillId="0" borderId="4" xfId="1" applyBorder="1" applyAlignment="1">
      <alignment horizontal="center" vertical="top" wrapText="1"/>
    </xf>
    <xf numFmtId="0" fontId="2" fillId="0" borderId="10" xfId="1" applyBorder="1" applyAlignment="1">
      <alignment horizontal="center" vertical="top" wrapText="1"/>
    </xf>
    <xf numFmtId="0" fontId="2" fillId="0" borderId="1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0" borderId="1" xfId="1" applyBorder="1" applyAlignment="1">
      <alignment horizontal="center" wrapText="1"/>
    </xf>
    <xf numFmtId="0" fontId="2" fillId="0" borderId="3" xfId="1" applyBorder="1" applyAlignment="1">
      <alignment horizontal="center" wrapText="1"/>
    </xf>
    <xf numFmtId="0" fontId="2" fillId="0" borderId="2" xfId="1" applyBorder="1" applyAlignment="1">
      <alignment horizont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top"/>
    </xf>
    <xf numFmtId="0" fontId="2" fillId="0" borderId="10" xfId="1" applyBorder="1" applyAlignment="1">
      <alignment horizontal="center" vertical="top"/>
    </xf>
    <xf numFmtId="0" fontId="2" fillId="0" borderId="5" xfId="1" applyBorder="1" applyAlignment="1">
      <alignment horizontal="center" vertical="top" wrapText="1"/>
    </xf>
    <xf numFmtId="0" fontId="2" fillId="0" borderId="11" xfId="1" applyBorder="1" applyAlignment="1">
      <alignment horizontal="center" vertical="top" wrapText="1"/>
    </xf>
    <xf numFmtId="0" fontId="13" fillId="0" borderId="7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0" xfId="1" applyFont="1"/>
    <xf numFmtId="0" fontId="1" fillId="5" borderId="22" xfId="1" applyFont="1" applyFill="1" applyBorder="1" applyAlignment="1">
      <alignment wrapText="1"/>
    </xf>
    <xf numFmtId="0" fontId="1" fillId="5" borderId="22" xfId="1" applyFont="1" applyFill="1" applyBorder="1"/>
    <xf numFmtId="11" fontId="2" fillId="0" borderId="0" xfId="1" applyNumberFormat="1"/>
    <xf numFmtId="11" fontId="8" fillId="0" borderId="0" xfId="1" applyNumberFormat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Q18"/>
  <sheetViews>
    <sheetView workbookViewId="0">
      <pane ySplit="1" topLeftCell="A2" activePane="bottomLeft" state="frozen"/>
      <selection pane="bottomLeft" activeCell="A4" sqref="A4"/>
    </sheetView>
  </sheetViews>
  <sheetFormatPr defaultColWidth="8.85546875" defaultRowHeight="15" x14ac:dyDescent="0.25"/>
  <cols>
    <col min="1" max="1" width="30.42578125" style="2" customWidth="1"/>
    <col min="2" max="2" width="16.5703125" style="2" customWidth="1"/>
    <col min="3" max="3" width="0" style="2" hidden="1" customWidth="1"/>
    <col min="4" max="4" width="11.28515625" style="2" hidden="1" customWidth="1"/>
    <col min="5" max="5" width="16.28515625" style="2" hidden="1" customWidth="1"/>
    <col min="6" max="6" width="12.42578125" style="2" hidden="1" customWidth="1"/>
    <col min="7" max="7" width="11.28515625" style="2" hidden="1" customWidth="1"/>
    <col min="8" max="8" width="17" style="59" hidden="1" customWidth="1"/>
    <col min="9" max="9" width="11.85546875" style="2" hidden="1" customWidth="1"/>
    <col min="10" max="10" width="11.42578125" style="2" customWidth="1"/>
    <col min="11" max="11" width="17.85546875" style="59" customWidth="1"/>
    <col min="12" max="12" width="12" style="2" bestFit="1" customWidth="1"/>
    <col min="13" max="13" width="13.5703125" style="2" customWidth="1"/>
    <col min="14" max="14" width="8.85546875" style="2"/>
    <col min="15" max="15" width="12.7109375" style="2" customWidth="1"/>
    <col min="16" max="16384" width="8.85546875" style="2"/>
  </cols>
  <sheetData>
    <row r="1" spans="1:17" s="47" customFormat="1" ht="49.15" customHeight="1" thickBot="1" x14ac:dyDescent="0.35">
      <c r="A1" s="47" t="s">
        <v>47</v>
      </c>
      <c r="B1" s="48" t="s">
        <v>48</v>
      </c>
      <c r="C1" s="48" t="s">
        <v>49</v>
      </c>
      <c r="D1" s="49" t="s">
        <v>50</v>
      </c>
      <c r="E1" s="48" t="s">
        <v>51</v>
      </c>
      <c r="F1" s="48" t="s">
        <v>52</v>
      </c>
      <c r="G1" s="48" t="s">
        <v>53</v>
      </c>
      <c r="H1" s="47" t="s">
        <v>54</v>
      </c>
      <c r="I1" s="47" t="s">
        <v>55</v>
      </c>
      <c r="J1" s="47" t="s">
        <v>56</v>
      </c>
      <c r="K1" s="48" t="s">
        <v>57</v>
      </c>
      <c r="L1" s="50" t="s">
        <v>58</v>
      </c>
      <c r="M1" s="51" t="s">
        <v>59</v>
      </c>
      <c r="N1" s="47" t="s">
        <v>60</v>
      </c>
      <c r="O1" s="47" t="s">
        <v>61</v>
      </c>
    </row>
    <row r="2" spans="1:17" s="57" customFormat="1" ht="17.25" thickBot="1" x14ac:dyDescent="0.35">
      <c r="A2" s="52" t="s">
        <v>62</v>
      </c>
      <c r="B2" s="53">
        <v>20</v>
      </c>
      <c r="C2" s="54">
        <v>30</v>
      </c>
      <c r="D2" s="54">
        <v>1</v>
      </c>
      <c r="E2" s="54">
        <v>2100</v>
      </c>
      <c r="F2" s="54">
        <v>150</v>
      </c>
      <c r="G2" s="54">
        <v>300000</v>
      </c>
      <c r="H2" s="54">
        <v>100</v>
      </c>
      <c r="I2" s="54">
        <v>-25</v>
      </c>
      <c r="J2" s="55">
        <f>B2*20</f>
        <v>400</v>
      </c>
      <c r="K2" s="54">
        <v>7.0000000000000007E-2</v>
      </c>
      <c r="L2" s="56">
        <f t="shared" ref="L2:L18" si="0">1-EXP((-E2*(C2-F2+ABS(C2-F2)))/(2*G2))</f>
        <v>0</v>
      </c>
      <c r="M2" s="56">
        <f t="shared" ref="M2:M12" si="1">POWER(10,7.54424-(2629.65/(C2+387.195)))</f>
        <v>17.420973354452723</v>
      </c>
      <c r="N2" s="56">
        <f t="shared" ref="N2:N18" si="2">B2+B2*K2</f>
        <v>21.4</v>
      </c>
      <c r="O2" s="63">
        <f t="shared" ref="O2:O18" si="3">MIN(L2*B2+POWER(10,-6)*M2*SQRT(H2)*3600*J2/1000,B2+B2*0.25)</f>
        <v>0.2508620163041192</v>
      </c>
    </row>
    <row r="3" spans="1:17" s="57" customFormat="1" ht="17.25" thickBot="1" x14ac:dyDescent="0.35">
      <c r="A3" s="52" t="s">
        <v>63</v>
      </c>
      <c r="B3" s="53">
        <v>45</v>
      </c>
      <c r="C3" s="54">
        <v>30</v>
      </c>
      <c r="D3" s="54">
        <v>1</v>
      </c>
      <c r="E3" s="54">
        <v>2100</v>
      </c>
      <c r="F3" s="54">
        <v>150</v>
      </c>
      <c r="G3" s="54">
        <v>300000</v>
      </c>
      <c r="H3" s="54">
        <v>100</v>
      </c>
      <c r="I3" s="54">
        <v>-25</v>
      </c>
      <c r="J3" s="55">
        <f>B3*20</f>
        <v>900</v>
      </c>
      <c r="K3" s="54">
        <v>7.0000000000000007E-2</v>
      </c>
      <c r="L3" s="56">
        <f t="shared" si="0"/>
        <v>0</v>
      </c>
      <c r="M3" s="56">
        <f t="shared" si="1"/>
        <v>17.420973354452723</v>
      </c>
      <c r="N3" s="56">
        <f t="shared" si="2"/>
        <v>48.15</v>
      </c>
      <c r="O3" s="63">
        <f t="shared" si="3"/>
        <v>0.56443953668426805</v>
      </c>
    </row>
    <row r="4" spans="1:17" s="57" customFormat="1" ht="17.25" thickBot="1" x14ac:dyDescent="0.35">
      <c r="A4" s="52" t="s">
        <v>64</v>
      </c>
      <c r="B4" s="53">
        <v>90</v>
      </c>
      <c r="C4" s="54">
        <v>30</v>
      </c>
      <c r="D4" s="54">
        <v>1</v>
      </c>
      <c r="E4" s="54">
        <v>2100</v>
      </c>
      <c r="F4" s="54">
        <v>150</v>
      </c>
      <c r="G4" s="54">
        <v>300000</v>
      </c>
      <c r="H4" s="54">
        <v>100</v>
      </c>
      <c r="I4" s="54">
        <v>-25</v>
      </c>
      <c r="J4" s="55">
        <v>1000</v>
      </c>
      <c r="K4" s="54">
        <v>7.0000000000000007E-2</v>
      </c>
      <c r="L4" s="56">
        <f t="shared" si="0"/>
        <v>0</v>
      </c>
      <c r="M4" s="56">
        <f t="shared" si="1"/>
        <v>17.420973354452723</v>
      </c>
      <c r="N4" s="56">
        <f t="shared" si="2"/>
        <v>96.3</v>
      </c>
      <c r="O4" s="63">
        <f t="shared" si="3"/>
        <v>0.62715504076029793</v>
      </c>
    </row>
    <row r="5" spans="1:17" s="57" customFormat="1" ht="17.25" thickBot="1" x14ac:dyDescent="0.35">
      <c r="A5" s="52" t="s">
        <v>65</v>
      </c>
      <c r="B5" s="53">
        <v>90</v>
      </c>
      <c r="C5" s="54">
        <v>30</v>
      </c>
      <c r="D5" s="54">
        <v>1</v>
      </c>
      <c r="E5" s="54">
        <v>2100</v>
      </c>
      <c r="F5" s="54">
        <v>150</v>
      </c>
      <c r="G5" s="54">
        <v>300000</v>
      </c>
      <c r="H5" s="54">
        <v>100</v>
      </c>
      <c r="I5" s="54">
        <v>-25</v>
      </c>
      <c r="J5" s="55">
        <v>1000</v>
      </c>
      <c r="K5" s="54">
        <v>7.0000000000000007E-2</v>
      </c>
      <c r="L5" s="56">
        <f t="shared" si="0"/>
        <v>0</v>
      </c>
      <c r="M5" s="56">
        <f t="shared" si="1"/>
        <v>17.420973354452723</v>
      </c>
      <c r="N5" s="56">
        <f t="shared" si="2"/>
        <v>96.3</v>
      </c>
      <c r="O5" s="63">
        <f t="shared" si="3"/>
        <v>0.62715504076029793</v>
      </c>
    </row>
    <row r="6" spans="1:17" s="57" customFormat="1" ht="17.25" thickBot="1" x14ac:dyDescent="0.35">
      <c r="A6" s="52" t="s">
        <v>66</v>
      </c>
      <c r="B6" s="53">
        <v>90</v>
      </c>
      <c r="C6" s="54">
        <v>30</v>
      </c>
      <c r="D6" s="54">
        <v>1</v>
      </c>
      <c r="E6" s="54">
        <v>2100</v>
      </c>
      <c r="F6" s="54">
        <v>150</v>
      </c>
      <c r="G6" s="54">
        <v>300000</v>
      </c>
      <c r="H6" s="54">
        <v>100</v>
      </c>
      <c r="I6" s="54">
        <v>-25</v>
      </c>
      <c r="J6" s="55">
        <v>1000</v>
      </c>
      <c r="K6" s="54">
        <v>7.0000000000000007E-2</v>
      </c>
      <c r="L6" s="56">
        <f t="shared" si="0"/>
        <v>0</v>
      </c>
      <c r="M6" s="56">
        <f t="shared" si="1"/>
        <v>17.420973354452723</v>
      </c>
      <c r="N6" s="56">
        <f t="shared" si="2"/>
        <v>96.3</v>
      </c>
      <c r="O6" s="63">
        <f t="shared" si="3"/>
        <v>0.62715504076029793</v>
      </c>
    </row>
    <row r="7" spans="1:17" s="57" customFormat="1" ht="17.25" thickBot="1" x14ac:dyDescent="0.35">
      <c r="A7" s="52" t="s">
        <v>67</v>
      </c>
      <c r="B7" s="53">
        <v>8</v>
      </c>
      <c r="C7" s="54">
        <v>30</v>
      </c>
      <c r="D7" s="54">
        <v>0.8</v>
      </c>
      <c r="E7" s="54">
        <v>2100</v>
      </c>
      <c r="F7" s="54">
        <v>150</v>
      </c>
      <c r="G7" s="54">
        <v>300000</v>
      </c>
      <c r="H7" s="54">
        <v>100</v>
      </c>
      <c r="I7" s="54">
        <v>-25</v>
      </c>
      <c r="J7" s="55">
        <f>B7*20</f>
        <v>160</v>
      </c>
      <c r="K7" s="54">
        <v>7.0000000000000007E-2</v>
      </c>
      <c r="L7" s="56">
        <f t="shared" si="0"/>
        <v>0</v>
      </c>
      <c r="M7" s="56">
        <f t="shared" si="1"/>
        <v>17.420973354452723</v>
      </c>
      <c r="N7" s="56">
        <f t="shared" si="2"/>
        <v>8.56</v>
      </c>
      <c r="O7" s="63">
        <f t="shared" si="3"/>
        <v>0.10034480652164766</v>
      </c>
    </row>
    <row r="8" spans="1:17" s="57" customFormat="1" ht="17.25" thickBot="1" x14ac:dyDescent="0.35">
      <c r="A8" s="52" t="s">
        <v>68</v>
      </c>
      <c r="B8" s="53">
        <v>1.5</v>
      </c>
      <c r="C8" s="54">
        <v>30</v>
      </c>
      <c r="D8" s="54">
        <v>0.8</v>
      </c>
      <c r="E8" s="54">
        <v>2100</v>
      </c>
      <c r="F8" s="54">
        <v>150</v>
      </c>
      <c r="G8" s="54">
        <v>300000</v>
      </c>
      <c r="H8" s="54">
        <v>100</v>
      </c>
      <c r="I8" s="54">
        <v>-25</v>
      </c>
      <c r="J8" s="55">
        <f>B8*20</f>
        <v>30</v>
      </c>
      <c r="K8" s="54">
        <v>7.0000000000000007E-2</v>
      </c>
      <c r="L8" s="56">
        <f t="shared" si="0"/>
        <v>0</v>
      </c>
      <c r="M8" s="56">
        <f t="shared" si="1"/>
        <v>17.420973354452723</v>
      </c>
      <c r="N8" s="56">
        <f t="shared" si="2"/>
        <v>1.605</v>
      </c>
      <c r="O8" s="63">
        <f t="shared" si="3"/>
        <v>1.8814651222808936E-2</v>
      </c>
      <c r="Q8" s="57" t="s">
        <v>69</v>
      </c>
    </row>
    <row r="9" spans="1:17" s="57" customFormat="1" ht="17.25" thickBot="1" x14ac:dyDescent="0.35">
      <c r="A9" s="52" t="s">
        <v>70</v>
      </c>
      <c r="B9" s="53">
        <v>7</v>
      </c>
      <c r="C9" s="54">
        <v>30</v>
      </c>
      <c r="D9" s="54">
        <v>0.8</v>
      </c>
      <c r="E9" s="54">
        <v>2100</v>
      </c>
      <c r="F9" s="54">
        <v>150</v>
      </c>
      <c r="G9" s="54">
        <v>300000</v>
      </c>
      <c r="H9" s="54">
        <v>100</v>
      </c>
      <c r="I9" s="54">
        <v>-25</v>
      </c>
      <c r="J9" s="55">
        <f t="shared" ref="J9:J18" si="4">B9*20*0.3</f>
        <v>42</v>
      </c>
      <c r="K9" s="54">
        <v>7.0000000000000007E-2</v>
      </c>
      <c r="L9" s="56">
        <f t="shared" si="0"/>
        <v>0</v>
      </c>
      <c r="M9" s="56">
        <f t="shared" si="1"/>
        <v>17.420973354452723</v>
      </c>
      <c r="N9" s="56">
        <f t="shared" si="2"/>
        <v>7.49</v>
      </c>
      <c r="O9" s="63">
        <f t="shared" si="3"/>
        <v>2.6340511711932513E-2</v>
      </c>
    </row>
    <row r="10" spans="1:17" s="57" customFormat="1" ht="33.75" thickBot="1" x14ac:dyDescent="0.35">
      <c r="A10" s="60" t="s">
        <v>151</v>
      </c>
      <c r="B10" s="53">
        <v>20</v>
      </c>
      <c r="C10" s="54">
        <v>30</v>
      </c>
      <c r="D10" s="54">
        <v>0.8</v>
      </c>
      <c r="E10" s="54">
        <v>2100</v>
      </c>
      <c r="F10" s="54">
        <v>150</v>
      </c>
      <c r="G10" s="54">
        <v>300000</v>
      </c>
      <c r="H10" s="54">
        <v>100</v>
      </c>
      <c r="I10" s="54">
        <v>-25</v>
      </c>
      <c r="J10" s="55">
        <f t="shared" si="4"/>
        <v>120</v>
      </c>
      <c r="K10" s="54">
        <v>7.0000000000000007E-2</v>
      </c>
      <c r="L10" s="56">
        <f t="shared" si="0"/>
        <v>0</v>
      </c>
      <c r="M10" s="56">
        <f t="shared" si="1"/>
        <v>17.420973354452723</v>
      </c>
      <c r="N10" s="56">
        <f t="shared" si="2"/>
        <v>21.4</v>
      </c>
      <c r="O10" s="63">
        <f t="shared" si="3"/>
        <v>7.5258604891235745E-2</v>
      </c>
    </row>
    <row r="11" spans="1:17" s="57" customFormat="1" ht="33.75" thickBot="1" x14ac:dyDescent="0.35">
      <c r="A11" s="60" t="s">
        <v>72</v>
      </c>
      <c r="B11" s="53">
        <v>20</v>
      </c>
      <c r="C11" s="54">
        <v>30</v>
      </c>
      <c r="D11" s="54">
        <v>0.8</v>
      </c>
      <c r="E11" s="54">
        <v>2100</v>
      </c>
      <c r="F11" s="54">
        <v>150</v>
      </c>
      <c r="G11" s="54">
        <v>300000</v>
      </c>
      <c r="H11" s="54">
        <v>100</v>
      </c>
      <c r="I11" s="54">
        <v>-25</v>
      </c>
      <c r="J11" s="55">
        <f t="shared" si="4"/>
        <v>120</v>
      </c>
      <c r="K11" s="54">
        <v>7.0000000000000007E-2</v>
      </c>
      <c r="L11" s="56">
        <f t="shared" si="0"/>
        <v>0</v>
      </c>
      <c r="M11" s="56">
        <f t="shared" si="1"/>
        <v>17.420973354452723</v>
      </c>
      <c r="N11" s="56">
        <f t="shared" si="2"/>
        <v>21.4</v>
      </c>
      <c r="O11" s="63">
        <f t="shared" si="3"/>
        <v>7.5258604891235745E-2</v>
      </c>
    </row>
    <row r="12" spans="1:17" s="57" customFormat="1" ht="33.75" thickBot="1" x14ac:dyDescent="0.35">
      <c r="A12" s="60" t="s">
        <v>73</v>
      </c>
      <c r="B12" s="53">
        <v>10</v>
      </c>
      <c r="C12" s="54">
        <v>30</v>
      </c>
      <c r="D12" s="54">
        <v>0.8</v>
      </c>
      <c r="E12" s="54">
        <v>2100</v>
      </c>
      <c r="F12" s="54">
        <v>150</v>
      </c>
      <c r="G12" s="54">
        <v>300000</v>
      </c>
      <c r="H12" s="54">
        <v>100</v>
      </c>
      <c r="I12" s="54">
        <v>-25</v>
      </c>
      <c r="J12" s="55">
        <f t="shared" si="4"/>
        <v>60</v>
      </c>
      <c r="K12" s="54">
        <v>7.0000000000000007E-2</v>
      </c>
      <c r="L12" s="56">
        <f t="shared" si="0"/>
        <v>0</v>
      </c>
      <c r="M12" s="56">
        <f t="shared" si="1"/>
        <v>17.420973354452723</v>
      </c>
      <c r="N12" s="56">
        <f t="shared" si="2"/>
        <v>10.7</v>
      </c>
      <c r="O12" s="63">
        <f t="shared" si="3"/>
        <v>3.7629302445617872E-2</v>
      </c>
    </row>
    <row r="13" spans="1:17" s="57" customFormat="1" ht="33.75" thickBot="1" x14ac:dyDescent="0.35">
      <c r="A13" s="60" t="s">
        <v>74</v>
      </c>
      <c r="B13" s="62">
        <f>13*300/3600</f>
        <v>1.0833333333333333</v>
      </c>
      <c r="C13" s="54">
        <v>30</v>
      </c>
      <c r="D13" s="54">
        <v>0.8</v>
      </c>
      <c r="E13" s="54">
        <v>2100</v>
      </c>
      <c r="F13" s="54">
        <v>150</v>
      </c>
      <c r="G13" s="54">
        <v>300000</v>
      </c>
      <c r="H13" s="54">
        <v>100</v>
      </c>
      <c r="I13" s="54">
        <v>-25</v>
      </c>
      <c r="J13" s="55">
        <f t="shared" si="4"/>
        <v>6.4999999999999991</v>
      </c>
      <c r="K13" s="54">
        <v>7.0000000000000007E-2</v>
      </c>
      <c r="L13" s="56">
        <f t="shared" si="0"/>
        <v>0</v>
      </c>
      <c r="M13" s="56">
        <v>65</v>
      </c>
      <c r="N13" s="56">
        <f t="shared" si="2"/>
        <v>1.1591666666666667</v>
      </c>
      <c r="O13" s="63">
        <f t="shared" si="3"/>
        <v>1.5209999999999998E-2</v>
      </c>
    </row>
    <row r="14" spans="1:17" s="57" customFormat="1" ht="33.75" thickBot="1" x14ac:dyDescent="0.35">
      <c r="A14" s="60" t="s">
        <v>75</v>
      </c>
      <c r="B14" s="62">
        <f>38*300/3600</f>
        <v>3.1666666666666665</v>
      </c>
      <c r="C14" s="54">
        <v>30</v>
      </c>
      <c r="D14" s="54">
        <v>0.8</v>
      </c>
      <c r="E14" s="54">
        <v>2100</v>
      </c>
      <c r="F14" s="54">
        <v>150</v>
      </c>
      <c r="G14" s="54">
        <v>300000</v>
      </c>
      <c r="H14" s="54">
        <v>100</v>
      </c>
      <c r="I14" s="54">
        <v>-25</v>
      </c>
      <c r="J14" s="55">
        <f t="shared" si="4"/>
        <v>18.999999999999996</v>
      </c>
      <c r="K14" s="54">
        <v>7.0000000000000007E-2</v>
      </c>
      <c r="L14" s="56">
        <f t="shared" si="0"/>
        <v>0</v>
      </c>
      <c r="M14" s="56">
        <v>65</v>
      </c>
      <c r="N14" s="56">
        <f t="shared" si="2"/>
        <v>3.3883333333333332</v>
      </c>
      <c r="O14" s="63">
        <f t="shared" si="3"/>
        <v>4.4459999999999986E-2</v>
      </c>
    </row>
    <row r="15" spans="1:17" s="57" customFormat="1" ht="33.75" thickBot="1" x14ac:dyDescent="0.35">
      <c r="A15" s="60" t="s">
        <v>76</v>
      </c>
      <c r="B15" s="62">
        <f>13*300/3600</f>
        <v>1.0833333333333333</v>
      </c>
      <c r="C15" s="54">
        <v>30</v>
      </c>
      <c r="D15" s="54">
        <v>0.8</v>
      </c>
      <c r="E15" s="54">
        <v>2100</v>
      </c>
      <c r="F15" s="54">
        <v>150</v>
      </c>
      <c r="G15" s="54">
        <v>300000</v>
      </c>
      <c r="H15" s="54">
        <v>100</v>
      </c>
      <c r="I15" s="54">
        <v>-25</v>
      </c>
      <c r="J15" s="55">
        <f t="shared" si="4"/>
        <v>6.4999999999999991</v>
      </c>
      <c r="K15" s="54">
        <v>7.0000000000000007E-2</v>
      </c>
      <c r="L15" s="56">
        <f t="shared" si="0"/>
        <v>0</v>
      </c>
      <c r="M15" s="56">
        <v>65</v>
      </c>
      <c r="N15" s="56">
        <f t="shared" si="2"/>
        <v>1.1591666666666667</v>
      </c>
      <c r="O15" s="63">
        <f t="shared" si="3"/>
        <v>1.5209999999999998E-2</v>
      </c>
    </row>
    <row r="16" spans="1:17" s="57" customFormat="1" ht="33.75" thickBot="1" x14ac:dyDescent="0.35">
      <c r="A16" s="60" t="s">
        <v>77</v>
      </c>
      <c r="B16" s="62">
        <f>21.6*300/3600</f>
        <v>1.8</v>
      </c>
      <c r="C16" s="54">
        <v>30</v>
      </c>
      <c r="D16" s="54">
        <v>0.8</v>
      </c>
      <c r="E16" s="54">
        <v>2100</v>
      </c>
      <c r="F16" s="54">
        <v>150</v>
      </c>
      <c r="G16" s="54">
        <v>300000</v>
      </c>
      <c r="H16" s="54">
        <v>100</v>
      </c>
      <c r="I16" s="54">
        <v>-25</v>
      </c>
      <c r="J16" s="55">
        <f t="shared" si="4"/>
        <v>10.799999999999999</v>
      </c>
      <c r="K16" s="54">
        <v>7.0000000000000007E-2</v>
      </c>
      <c r="L16" s="56">
        <f t="shared" si="0"/>
        <v>0</v>
      </c>
      <c r="M16" s="56">
        <v>65</v>
      </c>
      <c r="N16" s="56">
        <f t="shared" si="2"/>
        <v>1.9260000000000002</v>
      </c>
      <c r="O16" s="63">
        <f t="shared" si="3"/>
        <v>2.5271999999999996E-2</v>
      </c>
    </row>
    <row r="17" spans="1:15" s="57" customFormat="1" ht="50.25" thickBot="1" x14ac:dyDescent="0.35">
      <c r="A17" s="60" t="s">
        <v>78</v>
      </c>
      <c r="B17" s="53">
        <v>2.69</v>
      </c>
      <c r="C17" s="54">
        <v>100</v>
      </c>
      <c r="D17" s="54">
        <v>6.3</v>
      </c>
      <c r="E17" s="54">
        <v>2100</v>
      </c>
      <c r="F17" s="54">
        <v>150</v>
      </c>
      <c r="G17" s="54">
        <v>300000</v>
      </c>
      <c r="H17" s="54">
        <v>100</v>
      </c>
      <c r="I17" s="54">
        <v>-25</v>
      </c>
      <c r="J17" s="55">
        <f t="shared" si="4"/>
        <v>16.139999999999997</v>
      </c>
      <c r="K17" s="54">
        <v>7.0000000000000007E-2</v>
      </c>
      <c r="L17" s="56">
        <f t="shared" si="0"/>
        <v>0</v>
      </c>
      <c r="M17" s="56">
        <f>POWER(10,7.54424-(2629.65/(C17+387.195)))</f>
        <v>140.18748264555614</v>
      </c>
      <c r="N17" s="56">
        <f t="shared" si="2"/>
        <v>2.8782999999999999</v>
      </c>
      <c r="O17" s="63">
        <f t="shared" si="3"/>
        <v>8.145453491637393E-2</v>
      </c>
    </row>
    <row r="18" spans="1:15" s="57" customFormat="1" ht="66.75" thickBot="1" x14ac:dyDescent="0.35">
      <c r="A18" s="60" t="s">
        <v>79</v>
      </c>
      <c r="B18" s="53">
        <v>2.69</v>
      </c>
      <c r="C18" s="54">
        <v>100</v>
      </c>
      <c r="D18" s="54">
        <v>6.3</v>
      </c>
      <c r="E18" s="54">
        <v>2100</v>
      </c>
      <c r="F18" s="54">
        <v>150</v>
      </c>
      <c r="G18" s="54">
        <v>300000</v>
      </c>
      <c r="H18" s="54">
        <v>100</v>
      </c>
      <c r="I18" s="54">
        <v>-25</v>
      </c>
      <c r="J18" s="55">
        <f t="shared" si="4"/>
        <v>16.139999999999997</v>
      </c>
      <c r="K18" s="54">
        <v>7.0000000000000007E-2</v>
      </c>
      <c r="L18" s="56">
        <f t="shared" si="0"/>
        <v>0</v>
      </c>
      <c r="M18" s="56">
        <f>POWER(10,7.54424-(2629.65/(C18+387.195)))</f>
        <v>140.18748264555614</v>
      </c>
      <c r="N18" s="56">
        <f t="shared" si="2"/>
        <v>2.8782999999999999</v>
      </c>
      <c r="O18" s="63">
        <f t="shared" si="3"/>
        <v>8.145453491637393E-2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2" activePane="bottomLeft" state="frozen"/>
      <selection pane="bottomLeft" activeCell="T4" sqref="T4"/>
    </sheetView>
  </sheetViews>
  <sheetFormatPr defaultColWidth="8.85546875" defaultRowHeight="15" x14ac:dyDescent="0.25"/>
  <cols>
    <col min="1" max="1" width="14.28515625" style="8" customWidth="1"/>
    <col min="2" max="2" width="24.5703125" style="41" customWidth="1"/>
    <col min="3" max="3" width="8.85546875" style="8"/>
    <col min="4" max="4" width="15.28515625" style="2" customWidth="1"/>
    <col min="5" max="5" width="11.85546875" style="41" customWidth="1"/>
    <col min="6" max="6" width="10.7109375" style="8" customWidth="1"/>
    <col min="7" max="7" width="10.5703125" style="2" customWidth="1"/>
    <col min="8" max="8" width="9.5703125" style="41" customWidth="1"/>
    <col min="9" max="9" width="15.7109375" style="8" customWidth="1"/>
    <col min="10" max="10" width="15.28515625" style="2" customWidth="1"/>
    <col min="11" max="11" width="17.140625" style="41" customWidth="1"/>
    <col min="12" max="12" width="13.140625" style="41" customWidth="1"/>
    <col min="13" max="13" width="12" style="45" customWidth="1"/>
    <col min="14" max="14" width="13.5703125" style="2" customWidth="1"/>
    <col min="15" max="15" width="17.42578125" style="2" customWidth="1"/>
    <col min="16" max="16" width="12.140625" style="2" customWidth="1"/>
    <col min="17" max="17" width="8.85546875" style="7"/>
    <col min="18" max="18" width="8.85546875" style="2"/>
    <col min="19" max="19" width="15" style="2" customWidth="1"/>
    <col min="20" max="16384" width="8.85546875" style="2"/>
  </cols>
  <sheetData>
    <row r="1" spans="1:20" ht="62.45" customHeight="1" thickBot="1" x14ac:dyDescent="0.3">
      <c r="A1" s="151" t="s">
        <v>0</v>
      </c>
      <c r="B1" s="152"/>
      <c r="C1" s="153" t="s">
        <v>1</v>
      </c>
      <c r="D1" s="154"/>
      <c r="E1" s="155"/>
      <c r="F1" s="151" t="s">
        <v>2</v>
      </c>
      <c r="G1" s="156"/>
      <c r="H1" s="152"/>
      <c r="I1" s="149" t="s">
        <v>3</v>
      </c>
      <c r="J1" s="149" t="s">
        <v>4</v>
      </c>
      <c r="K1" s="149" t="s">
        <v>5</v>
      </c>
      <c r="L1" s="149" t="s">
        <v>6</v>
      </c>
      <c r="M1" s="149" t="s">
        <v>7</v>
      </c>
      <c r="N1" s="157" t="s">
        <v>8</v>
      </c>
      <c r="O1" s="149" t="s">
        <v>9</v>
      </c>
      <c r="P1" s="159" t="s">
        <v>10</v>
      </c>
      <c r="Q1" s="1" t="s">
        <v>11</v>
      </c>
      <c r="S1" s="3" t="s">
        <v>12</v>
      </c>
    </row>
    <row r="2" spans="1:20" ht="60.75" thickBot="1" x14ac:dyDescent="0.3">
      <c r="A2" s="4" t="s">
        <v>13</v>
      </c>
      <c r="B2" s="4" t="s">
        <v>14</v>
      </c>
      <c r="C2" s="5" t="s">
        <v>15</v>
      </c>
      <c r="D2" s="4" t="s">
        <v>16</v>
      </c>
      <c r="E2" s="6" t="s">
        <v>17</v>
      </c>
      <c r="F2" s="5" t="s">
        <v>18</v>
      </c>
      <c r="G2" s="4" t="s">
        <v>19</v>
      </c>
      <c r="H2" s="6" t="s">
        <v>20</v>
      </c>
      <c r="I2" s="150"/>
      <c r="J2" s="150"/>
      <c r="K2" s="150"/>
      <c r="L2" s="150"/>
      <c r="M2" s="150"/>
      <c r="N2" s="158"/>
      <c r="O2" s="150"/>
      <c r="P2" s="160"/>
    </row>
    <row r="3" spans="1:20" ht="30" x14ac:dyDescent="0.25">
      <c r="A3" s="8" t="s">
        <v>21</v>
      </c>
      <c r="B3" s="9" t="s">
        <v>22</v>
      </c>
      <c r="C3" s="10">
        <v>1</v>
      </c>
      <c r="D3" s="11">
        <f>N3*O3*M3*(1-P3)+N3*(1-O3)*L3+IF(F3="г.ф.",L3*I3,M3*I3)</f>
        <v>0.34499999999999997</v>
      </c>
      <c r="E3" s="12">
        <f>D3*C3</f>
        <v>0.34499999999999997</v>
      </c>
      <c r="F3" s="10" t="s">
        <v>23</v>
      </c>
      <c r="G3" s="13">
        <v>1.6</v>
      </c>
      <c r="H3" s="14">
        <v>100</v>
      </c>
      <c r="I3" s="15">
        <f>PI()*(POWER(K3/1000,2)/4)*J3</f>
        <v>0</v>
      </c>
      <c r="J3" s="16">
        <v>0</v>
      </c>
      <c r="K3" s="17">
        <v>0</v>
      </c>
      <c r="L3" s="18">
        <v>3.4499999999999999E-3</v>
      </c>
      <c r="M3" s="19">
        <v>0.92500000000000004</v>
      </c>
      <c r="N3" s="20">
        <v>100</v>
      </c>
      <c r="O3" s="21">
        <v>0</v>
      </c>
      <c r="P3" s="22">
        <v>0.5</v>
      </c>
      <c r="Q3" s="23" t="s">
        <v>24</v>
      </c>
      <c r="S3" s="23" t="s">
        <v>24</v>
      </c>
      <c r="T3" s="24">
        <f>SUMIF(Q3:Q20,S3,D3:D20)</f>
        <v>454.81213437074985</v>
      </c>
    </row>
    <row r="4" spans="1:20" x14ac:dyDescent="0.25">
      <c r="B4" s="25" t="s">
        <v>25</v>
      </c>
      <c r="C4" s="26">
        <v>1</v>
      </c>
      <c r="D4" s="11">
        <f t="shared" ref="D4:D20" si="0">N4*O4*M4*(1-P4)+N4*(1-O4)*L4+IF(F4="г.ф.",L4*I4,M4*I4)</f>
        <v>121.76986698308151</v>
      </c>
      <c r="E4" s="27">
        <f t="shared" ref="E4:E12" si="1">D4*C4</f>
        <v>121.76986698308151</v>
      </c>
      <c r="F4" s="26" t="s">
        <v>26</v>
      </c>
      <c r="G4" s="28">
        <v>1</v>
      </c>
      <c r="H4" s="25">
        <v>100</v>
      </c>
      <c r="I4" s="29">
        <f t="shared" ref="I4:I20" si="2">PI()*(POWER(K4/1000,2)/4)*J4</f>
        <v>131.6430994411692</v>
      </c>
      <c r="J4" s="30">
        <v>6800</v>
      </c>
      <c r="K4" s="31">
        <v>157</v>
      </c>
      <c r="L4" s="18">
        <v>3.4499999999999999E-3</v>
      </c>
      <c r="M4" s="18">
        <v>0.92500000000000004</v>
      </c>
      <c r="N4" s="32">
        <v>0</v>
      </c>
      <c r="O4" s="33">
        <v>0.7</v>
      </c>
      <c r="P4" s="34">
        <v>0</v>
      </c>
      <c r="Q4" s="23" t="s">
        <v>27</v>
      </c>
      <c r="S4" s="23" t="s">
        <v>27</v>
      </c>
      <c r="T4" s="35">
        <f t="shared" ref="T4:T6" si="3">SUMIF(Q4:Q21,S4,D4:D21)</f>
        <v>1238.7188706665756</v>
      </c>
    </row>
    <row r="5" spans="1:20" ht="15.75" thickBot="1" x14ac:dyDescent="0.3">
      <c r="B5" s="25" t="s">
        <v>28</v>
      </c>
      <c r="C5" s="26">
        <v>1</v>
      </c>
      <c r="D5" s="11">
        <f>N5*O5*M5*(1-P5)+N5*(1-O5)*L5+IF(F5="г.ф.",L5*I5,M5*I5)</f>
        <v>15.199003683494027</v>
      </c>
      <c r="E5" s="27">
        <f t="shared" si="1"/>
        <v>15.199003683494027</v>
      </c>
      <c r="F5" s="26" t="s">
        <v>26</v>
      </c>
      <c r="G5" s="28">
        <v>0.8</v>
      </c>
      <c r="H5" s="25">
        <v>20</v>
      </c>
      <c r="I5" s="29">
        <f t="shared" si="2"/>
        <v>16.585556180154985</v>
      </c>
      <c r="J5" s="30">
        <v>2666</v>
      </c>
      <c r="K5" s="31">
        <v>89</v>
      </c>
      <c r="L5" s="18">
        <v>0</v>
      </c>
      <c r="M5" s="18">
        <v>0.91639999999999999</v>
      </c>
      <c r="N5" s="32">
        <v>0</v>
      </c>
      <c r="O5" s="33">
        <v>0.8</v>
      </c>
      <c r="P5" s="34">
        <v>0.15</v>
      </c>
      <c r="Q5" s="23" t="s">
        <v>29</v>
      </c>
      <c r="S5" s="23" t="s">
        <v>29</v>
      </c>
      <c r="T5" s="36">
        <f t="shared" si="3"/>
        <v>15.199003683494027</v>
      </c>
    </row>
    <row r="6" spans="1:20" ht="15.75" thickBot="1" x14ac:dyDescent="0.3">
      <c r="B6" s="25" t="s">
        <v>30</v>
      </c>
      <c r="C6" s="26">
        <v>1</v>
      </c>
      <c r="D6" s="11">
        <f>N6*O6*M6*(1-P6)+N6*(1-O6)*L6+IF(F6="г.ф.",L6*I6,M6*I6)</f>
        <v>44.810583683494023</v>
      </c>
      <c r="E6" s="27">
        <f t="shared" si="1"/>
        <v>44.810583683494023</v>
      </c>
      <c r="F6" s="26" t="s">
        <v>26</v>
      </c>
      <c r="G6" s="28">
        <v>1.6</v>
      </c>
      <c r="H6" s="25">
        <v>20</v>
      </c>
      <c r="I6" s="29">
        <f t="shared" si="2"/>
        <v>16.585556180154985</v>
      </c>
      <c r="J6" s="30">
        <v>2666</v>
      </c>
      <c r="K6" s="31">
        <v>89</v>
      </c>
      <c r="L6" s="18">
        <v>3.4499999999999999E-3</v>
      </c>
      <c r="M6" s="18">
        <v>0.91639999999999999</v>
      </c>
      <c r="N6" s="32">
        <v>100</v>
      </c>
      <c r="O6" s="33">
        <v>0.7</v>
      </c>
      <c r="P6" s="34">
        <v>0.54</v>
      </c>
      <c r="Q6" s="23" t="s">
        <v>24</v>
      </c>
      <c r="S6" s="23" t="s">
        <v>31</v>
      </c>
      <c r="T6" s="36">
        <f t="shared" si="3"/>
        <v>43.671659683494028</v>
      </c>
    </row>
    <row r="7" spans="1:20" x14ac:dyDescent="0.25">
      <c r="B7" s="25" t="s">
        <v>32</v>
      </c>
      <c r="C7" s="26">
        <v>1</v>
      </c>
      <c r="D7" s="11">
        <f t="shared" si="0"/>
        <v>86.380643683494029</v>
      </c>
      <c r="E7" s="27">
        <f t="shared" si="1"/>
        <v>86.380643683494029</v>
      </c>
      <c r="F7" s="26" t="s">
        <v>26</v>
      </c>
      <c r="G7" s="28">
        <v>1.6</v>
      </c>
      <c r="H7" s="25">
        <v>20</v>
      </c>
      <c r="I7" s="29">
        <f t="shared" si="2"/>
        <v>16.585556180154985</v>
      </c>
      <c r="J7" s="30">
        <v>2666</v>
      </c>
      <c r="K7" s="31">
        <v>89</v>
      </c>
      <c r="L7" s="18">
        <v>3.4499999999999999E-3</v>
      </c>
      <c r="M7" s="18">
        <v>0.91639999999999999</v>
      </c>
      <c r="N7" s="32">
        <v>100</v>
      </c>
      <c r="O7" s="33">
        <v>0.8</v>
      </c>
      <c r="P7" s="34">
        <v>0.03</v>
      </c>
      <c r="Q7" s="23" t="s">
        <v>24</v>
      </c>
    </row>
    <row r="8" spans="1:20" x14ac:dyDescent="0.25">
      <c r="B8" s="25" t="s">
        <v>33</v>
      </c>
      <c r="C8" s="26">
        <v>2</v>
      </c>
      <c r="D8" s="11">
        <f t="shared" si="0"/>
        <v>15.600063683494028</v>
      </c>
      <c r="E8" s="27">
        <f t="shared" si="1"/>
        <v>31.200127366988056</v>
      </c>
      <c r="F8" s="26" t="s">
        <v>26</v>
      </c>
      <c r="G8" s="28">
        <v>1</v>
      </c>
      <c r="H8" s="25">
        <v>20</v>
      </c>
      <c r="I8" s="29">
        <f t="shared" si="2"/>
        <v>16.585556180154985</v>
      </c>
      <c r="J8" s="30">
        <v>2666</v>
      </c>
      <c r="K8" s="31">
        <v>89</v>
      </c>
      <c r="L8" s="18">
        <v>3.4499999999999999E-3</v>
      </c>
      <c r="M8" s="18">
        <v>0.91639999999999999</v>
      </c>
      <c r="N8" s="32">
        <v>50</v>
      </c>
      <c r="O8" s="33">
        <v>0.8</v>
      </c>
      <c r="P8" s="34">
        <v>0.99</v>
      </c>
      <c r="Q8" s="23" t="s">
        <v>24</v>
      </c>
    </row>
    <row r="9" spans="1:20" ht="45" x14ac:dyDescent="0.25">
      <c r="B9" s="37" t="s">
        <v>34</v>
      </c>
      <c r="C9" s="38">
        <v>1</v>
      </c>
      <c r="D9" s="11">
        <f t="shared" si="0"/>
        <v>43.671659683494028</v>
      </c>
      <c r="E9" s="27">
        <f t="shared" si="1"/>
        <v>43.671659683494028</v>
      </c>
      <c r="F9" s="26" t="s">
        <v>26</v>
      </c>
      <c r="G9" s="28">
        <v>7.0000000000000007E-2</v>
      </c>
      <c r="H9" s="25">
        <v>20</v>
      </c>
      <c r="I9" s="29">
        <f t="shared" si="2"/>
        <v>16.585556180154985</v>
      </c>
      <c r="J9" s="30">
        <v>2666</v>
      </c>
      <c r="K9" s="31">
        <v>89</v>
      </c>
      <c r="L9" s="18">
        <v>3.4499999999999999E-3</v>
      </c>
      <c r="M9" s="18">
        <v>0.91639999999999999</v>
      </c>
      <c r="N9" s="32">
        <v>40</v>
      </c>
      <c r="O9" s="33">
        <v>0.8</v>
      </c>
      <c r="P9" s="34">
        <v>0.03</v>
      </c>
      <c r="Q9" s="23" t="s">
        <v>31</v>
      </c>
    </row>
    <row r="10" spans="1:20" ht="30" x14ac:dyDescent="0.25">
      <c r="B10" s="37" t="s">
        <v>35</v>
      </c>
      <c r="C10" s="26">
        <v>1</v>
      </c>
      <c r="D10" s="11">
        <f t="shared" si="0"/>
        <v>6.2220168821534694E-2</v>
      </c>
      <c r="E10" s="27">
        <f t="shared" si="1"/>
        <v>6.2220168821534694E-2</v>
      </c>
      <c r="F10" s="26" t="s">
        <v>36</v>
      </c>
      <c r="G10" s="28">
        <v>0.6</v>
      </c>
      <c r="H10" s="25">
        <v>100</v>
      </c>
      <c r="I10" s="29">
        <f t="shared" si="2"/>
        <v>16.585556180154985</v>
      </c>
      <c r="J10" s="30">
        <v>2666</v>
      </c>
      <c r="K10" s="31">
        <v>89</v>
      </c>
      <c r="L10" s="18">
        <v>3.4499999999999999E-3</v>
      </c>
      <c r="M10" s="18">
        <f>1.25/1000</f>
        <v>1.25E-3</v>
      </c>
      <c r="N10" s="32">
        <v>4</v>
      </c>
      <c r="O10" s="33">
        <v>1</v>
      </c>
      <c r="P10" s="34">
        <v>0</v>
      </c>
      <c r="Q10" s="23" t="s">
        <v>24</v>
      </c>
    </row>
    <row r="11" spans="1:20" x14ac:dyDescent="0.25">
      <c r="B11" s="37" t="s">
        <v>37</v>
      </c>
      <c r="C11" s="38">
        <v>1</v>
      </c>
      <c r="D11" s="11">
        <f t="shared" si="0"/>
        <v>15.233503683494027</v>
      </c>
      <c r="E11" s="27">
        <f t="shared" si="1"/>
        <v>15.233503683494027</v>
      </c>
      <c r="F11" s="26" t="s">
        <v>26</v>
      </c>
      <c r="G11" s="28">
        <v>7.0000000000000007E-2</v>
      </c>
      <c r="H11" s="25">
        <v>20</v>
      </c>
      <c r="I11" s="29">
        <f t="shared" si="2"/>
        <v>16.585556180154985</v>
      </c>
      <c r="J11" s="30">
        <v>2666</v>
      </c>
      <c r="K11" s="31">
        <v>89</v>
      </c>
      <c r="L11" s="18">
        <v>3.4499999999999999E-3</v>
      </c>
      <c r="M11" s="18">
        <v>0.91639999999999999</v>
      </c>
      <c r="N11" s="32">
        <v>50</v>
      </c>
      <c r="O11" s="33">
        <v>0.8</v>
      </c>
      <c r="P11" s="39">
        <v>1</v>
      </c>
      <c r="Q11" s="23" t="s">
        <v>24</v>
      </c>
    </row>
    <row r="12" spans="1:20" x14ac:dyDescent="0.25">
      <c r="B12" s="40" t="s">
        <v>38</v>
      </c>
      <c r="C12" s="38">
        <v>2</v>
      </c>
      <c r="D12" s="11">
        <f t="shared" si="0"/>
        <v>16.532365683494028</v>
      </c>
      <c r="E12" s="27">
        <f t="shared" si="1"/>
        <v>33.064731366988056</v>
      </c>
      <c r="F12" s="26" t="s">
        <v>23</v>
      </c>
      <c r="G12" s="28">
        <v>7.0000000000000007E-2</v>
      </c>
      <c r="H12" s="25">
        <v>70</v>
      </c>
      <c r="I12" s="29">
        <f t="shared" si="2"/>
        <v>16.585556180154985</v>
      </c>
      <c r="J12" s="30">
        <v>2666</v>
      </c>
      <c r="K12" s="31">
        <v>89</v>
      </c>
      <c r="L12" s="18">
        <v>3.4499999999999999E-3</v>
      </c>
      <c r="M12" s="18">
        <v>0.91639999999999999</v>
      </c>
      <c r="N12" s="32">
        <v>1.5</v>
      </c>
      <c r="O12" s="33">
        <v>1</v>
      </c>
      <c r="P12" s="34">
        <v>0.03</v>
      </c>
      <c r="Q12" s="23" t="s">
        <v>24</v>
      </c>
    </row>
    <row r="13" spans="1:20" x14ac:dyDescent="0.25">
      <c r="B13" s="25" t="s">
        <v>39</v>
      </c>
      <c r="C13" s="26">
        <v>1</v>
      </c>
      <c r="D13" s="11">
        <f t="shared" si="0"/>
        <v>26.740253683494025</v>
      </c>
      <c r="E13" s="27">
        <f>D13*C13</f>
        <v>26.740253683494025</v>
      </c>
      <c r="F13" s="26" t="s">
        <v>26</v>
      </c>
      <c r="G13" s="28">
        <v>0.5</v>
      </c>
      <c r="H13" s="25">
        <v>20</v>
      </c>
      <c r="I13" s="29">
        <f t="shared" si="2"/>
        <v>16.585556180154985</v>
      </c>
      <c r="J13" s="30">
        <v>2666</v>
      </c>
      <c r="K13" s="31">
        <v>89</v>
      </c>
      <c r="L13" s="18">
        <v>3.4499999999999999E-3</v>
      </c>
      <c r="M13" s="18">
        <v>0.91639999999999999</v>
      </c>
      <c r="N13" s="32">
        <v>50</v>
      </c>
      <c r="O13" s="33">
        <v>0.5</v>
      </c>
      <c r="P13" s="34">
        <v>0.5</v>
      </c>
      <c r="Q13" s="23" t="s">
        <v>24</v>
      </c>
    </row>
    <row r="14" spans="1:20" ht="30" x14ac:dyDescent="0.25">
      <c r="B14" s="37" t="s">
        <v>40</v>
      </c>
      <c r="C14" s="26">
        <v>2</v>
      </c>
      <c r="D14" s="11">
        <f t="shared" si="0"/>
        <v>77.58320368349402</v>
      </c>
      <c r="E14" s="27">
        <f>D14*C14</f>
        <v>155.16640736698804</v>
      </c>
      <c r="F14" s="26" t="s">
        <v>26</v>
      </c>
      <c r="G14" s="28">
        <v>0.5</v>
      </c>
      <c r="H14" s="25">
        <v>20</v>
      </c>
      <c r="I14" s="29">
        <f t="shared" si="2"/>
        <v>16.585556180154985</v>
      </c>
      <c r="J14" s="30">
        <v>2666</v>
      </c>
      <c r="K14" s="31">
        <v>89</v>
      </c>
      <c r="L14" s="18">
        <v>3.4499999999999999E-3</v>
      </c>
      <c r="M14" s="18">
        <v>0.91639999999999999</v>
      </c>
      <c r="N14" s="32">
        <v>100</v>
      </c>
      <c r="O14" s="33">
        <v>0.8</v>
      </c>
      <c r="P14" s="34">
        <v>0.15</v>
      </c>
      <c r="Q14" s="23" t="s">
        <v>24</v>
      </c>
    </row>
    <row r="15" spans="1:20" ht="30" x14ac:dyDescent="0.25">
      <c r="B15" s="37" t="s">
        <v>41</v>
      </c>
      <c r="C15" s="26">
        <v>1</v>
      </c>
      <c r="D15" s="11">
        <f t="shared" si="0"/>
        <v>15.600063683494028</v>
      </c>
      <c r="E15" s="27">
        <f>D15*C15</f>
        <v>15.600063683494028</v>
      </c>
      <c r="F15" s="26" t="s">
        <v>26</v>
      </c>
      <c r="G15" s="28">
        <v>0.2</v>
      </c>
      <c r="H15" s="25">
        <v>20</v>
      </c>
      <c r="I15" s="29">
        <f t="shared" si="2"/>
        <v>16.585556180154985</v>
      </c>
      <c r="J15" s="30">
        <v>2666</v>
      </c>
      <c r="K15" s="31">
        <v>89</v>
      </c>
      <c r="L15" s="18">
        <v>3.4499999999999999E-3</v>
      </c>
      <c r="M15" s="18">
        <v>0.91639999999999999</v>
      </c>
      <c r="N15" s="32">
        <v>50</v>
      </c>
      <c r="O15" s="33">
        <v>0.8</v>
      </c>
      <c r="P15" s="34">
        <v>0.99</v>
      </c>
      <c r="Q15" s="23" t="s">
        <v>24</v>
      </c>
    </row>
    <row r="16" spans="1:20" ht="30" x14ac:dyDescent="0.25">
      <c r="B16" s="37" t="s">
        <v>42</v>
      </c>
      <c r="C16" s="26">
        <v>1</v>
      </c>
      <c r="D16" s="11">
        <f t="shared" si="0"/>
        <v>16.532365683494028</v>
      </c>
      <c r="E16" s="27">
        <f t="shared" ref="E16:E20" si="4">D16*C16</f>
        <v>16.532365683494028</v>
      </c>
      <c r="F16" s="26" t="s">
        <v>23</v>
      </c>
      <c r="G16" s="28">
        <v>7.0000000000000007E-2</v>
      </c>
      <c r="H16" s="25">
        <v>90</v>
      </c>
      <c r="I16" s="29">
        <f t="shared" si="2"/>
        <v>16.585556180154985</v>
      </c>
      <c r="J16" s="30">
        <v>2666</v>
      </c>
      <c r="K16" s="31">
        <v>89</v>
      </c>
      <c r="L16" s="18">
        <v>3.4499999999999999E-3</v>
      </c>
      <c r="M16" s="18">
        <v>0.91639999999999999</v>
      </c>
      <c r="N16" s="32">
        <v>1.5</v>
      </c>
      <c r="O16" s="33">
        <v>1</v>
      </c>
      <c r="P16" s="34">
        <v>0.03</v>
      </c>
      <c r="Q16" s="23" t="s">
        <v>24</v>
      </c>
    </row>
    <row r="17" spans="2:17" x14ac:dyDescent="0.25">
      <c r="B17" s="37" t="s">
        <v>43</v>
      </c>
      <c r="C17" s="26">
        <v>1</v>
      </c>
      <c r="D17" s="11">
        <f t="shared" si="0"/>
        <v>1116.9490036834941</v>
      </c>
      <c r="E17" s="27">
        <f t="shared" si="4"/>
        <v>1116.9490036834941</v>
      </c>
      <c r="F17" s="26" t="s">
        <v>23</v>
      </c>
      <c r="G17" s="28">
        <v>7.0000000000000007E-2</v>
      </c>
      <c r="H17" s="25">
        <v>90</v>
      </c>
      <c r="I17" s="29">
        <f t="shared" si="2"/>
        <v>16.585556180154985</v>
      </c>
      <c r="J17" s="30">
        <v>2666</v>
      </c>
      <c r="K17" s="31">
        <v>89</v>
      </c>
      <c r="L17" s="18">
        <v>3.4499999999999999E-3</v>
      </c>
      <c r="M17" s="18">
        <v>0.91639999999999999</v>
      </c>
      <c r="N17" s="32">
        <v>3000</v>
      </c>
      <c r="O17" s="33">
        <v>0.8</v>
      </c>
      <c r="P17" s="34">
        <v>0.5</v>
      </c>
      <c r="Q17" s="23" t="s">
        <v>27</v>
      </c>
    </row>
    <row r="18" spans="2:17" ht="30" x14ac:dyDescent="0.25">
      <c r="B18" s="37" t="s">
        <v>44</v>
      </c>
      <c r="C18" s="26">
        <v>1</v>
      </c>
      <c r="D18" s="11">
        <f t="shared" si="0"/>
        <v>77.58320368349402</v>
      </c>
      <c r="E18" s="27">
        <f t="shared" si="4"/>
        <v>77.58320368349402</v>
      </c>
      <c r="F18" s="26" t="s">
        <v>26</v>
      </c>
      <c r="G18" s="28">
        <v>7.0000000000000007E-2</v>
      </c>
      <c r="H18" s="25">
        <v>20</v>
      </c>
      <c r="I18" s="29">
        <f t="shared" si="2"/>
        <v>16.585556180154985</v>
      </c>
      <c r="J18" s="30">
        <v>2666</v>
      </c>
      <c r="K18" s="31">
        <v>89</v>
      </c>
      <c r="L18" s="18">
        <v>3.4499999999999999E-3</v>
      </c>
      <c r="M18" s="18">
        <v>0.91639999999999999</v>
      </c>
      <c r="N18" s="32">
        <v>100</v>
      </c>
      <c r="O18" s="33">
        <v>0.8</v>
      </c>
      <c r="P18" s="34">
        <v>0.15</v>
      </c>
      <c r="Q18" s="23" t="s">
        <v>24</v>
      </c>
    </row>
    <row r="19" spans="2:17" ht="30" x14ac:dyDescent="0.25">
      <c r="B19" s="37" t="s">
        <v>45</v>
      </c>
      <c r="C19" s="26">
        <v>1</v>
      </c>
      <c r="D19" s="11">
        <f t="shared" si="0"/>
        <v>18.137003683494026</v>
      </c>
      <c r="E19" s="27">
        <f t="shared" si="4"/>
        <v>18.137003683494026</v>
      </c>
      <c r="F19" s="26" t="s">
        <v>26</v>
      </c>
      <c r="G19" s="28">
        <v>7.0000000000000007E-2</v>
      </c>
      <c r="H19" s="25">
        <v>20</v>
      </c>
      <c r="I19" s="29">
        <f t="shared" si="2"/>
        <v>16.585556180154985</v>
      </c>
      <c r="J19" s="30">
        <v>2666</v>
      </c>
      <c r="K19" s="31">
        <v>89</v>
      </c>
      <c r="L19" s="18">
        <v>3.4499999999999999E-3</v>
      </c>
      <c r="M19" s="18">
        <v>0.91639999999999999</v>
      </c>
      <c r="N19" s="32">
        <v>8</v>
      </c>
      <c r="O19" s="33">
        <v>0.8</v>
      </c>
      <c r="P19" s="34">
        <v>0.5</v>
      </c>
      <c r="Q19" s="23" t="s">
        <v>24</v>
      </c>
    </row>
    <row r="20" spans="2:17" ht="30" x14ac:dyDescent="0.25">
      <c r="B20" s="37" t="s">
        <v>46</v>
      </c>
      <c r="C20" s="26">
        <v>1</v>
      </c>
      <c r="D20" s="11">
        <f t="shared" si="0"/>
        <v>43.671659683494028</v>
      </c>
      <c r="E20" s="27">
        <f t="shared" si="4"/>
        <v>43.671659683494028</v>
      </c>
      <c r="F20" s="26" t="s">
        <v>26</v>
      </c>
      <c r="G20" s="28">
        <v>7.0000000000000007E-2</v>
      </c>
      <c r="H20" s="25">
        <v>20</v>
      </c>
      <c r="I20" s="29">
        <f t="shared" si="2"/>
        <v>16.585556180154985</v>
      </c>
      <c r="J20" s="30">
        <v>2666</v>
      </c>
      <c r="K20" s="31">
        <v>89</v>
      </c>
      <c r="L20" s="18">
        <v>3.4499999999999999E-3</v>
      </c>
      <c r="M20" s="18">
        <v>0.91639999999999999</v>
      </c>
      <c r="N20" s="32">
        <v>40</v>
      </c>
      <c r="O20" s="33">
        <v>0.8</v>
      </c>
      <c r="P20" s="34">
        <v>0.03</v>
      </c>
      <c r="Q20" s="23" t="s">
        <v>24</v>
      </c>
    </row>
    <row r="22" spans="2:17" x14ac:dyDescent="0.25">
      <c r="D22" s="42"/>
      <c r="E22" s="43"/>
      <c r="F22" s="44"/>
    </row>
    <row r="24" spans="2:17" x14ac:dyDescent="0.25">
      <c r="E24" s="46"/>
    </row>
    <row r="25" spans="2:17" x14ac:dyDescent="0.25">
      <c r="E25" s="46"/>
    </row>
    <row r="26" spans="2:17" x14ac:dyDescent="0.25">
      <c r="E26" s="46"/>
    </row>
  </sheetData>
  <mergeCells count="11">
    <mergeCell ref="L1:L2"/>
    <mergeCell ref="M1:M2"/>
    <mergeCell ref="N1:N2"/>
    <mergeCell ref="O1:O2"/>
    <mergeCell ref="P1:P2"/>
    <mergeCell ref="K1:K2"/>
    <mergeCell ref="A1:B1"/>
    <mergeCell ref="C1:E1"/>
    <mergeCell ref="F1:H1"/>
    <mergeCell ref="I1:I2"/>
    <mergeCell ref="J1:J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2"/>
  <sheetViews>
    <sheetView tabSelected="1" topLeftCell="R1" zoomScale="85" zoomScaleNormal="85" workbookViewId="0">
      <pane ySplit="1" topLeftCell="A100" activePane="bottomLeft" state="frozen"/>
      <selection pane="bottomLeft" activeCell="W135" sqref="W135"/>
    </sheetView>
  </sheetViews>
  <sheetFormatPr defaultColWidth="8.85546875" defaultRowHeight="16.5" x14ac:dyDescent="0.3"/>
  <cols>
    <col min="1" max="1" width="12" style="58" customWidth="1"/>
    <col min="2" max="2" width="31.140625" style="58" customWidth="1"/>
    <col min="3" max="3" width="27.28515625" style="2" customWidth="1"/>
    <col min="4" max="4" width="33.85546875" style="3" customWidth="1"/>
    <col min="5" max="5" width="16.5703125" style="58" customWidth="1"/>
    <col min="6" max="6" width="16.28515625" style="58" customWidth="1"/>
    <col min="7" max="7" width="11.5703125" style="58" customWidth="1"/>
    <col min="8" max="8" width="16.5703125" style="58" customWidth="1"/>
    <col min="9" max="9" width="14.7109375" style="58" customWidth="1"/>
    <col min="10" max="11" width="20.7109375" style="58" customWidth="1"/>
    <col min="12" max="12" width="8.85546875" style="2" customWidth="1"/>
    <col min="13" max="13" width="13.28515625" style="2" customWidth="1"/>
    <col min="14" max="14" width="37.85546875" style="2" customWidth="1"/>
    <col min="15" max="15" width="31" style="2" customWidth="1"/>
    <col min="16" max="33" width="8.85546875" style="2" customWidth="1"/>
    <col min="34" max="34" width="10.85546875" style="2" customWidth="1"/>
    <col min="35" max="35" width="13.28515625" style="2" customWidth="1"/>
    <col min="36" max="36" width="22.7109375" style="2" customWidth="1"/>
    <col min="37" max="37" width="17.85546875" style="2" customWidth="1"/>
    <col min="38" max="38" width="13.28515625" style="2" customWidth="1"/>
    <col min="39" max="41" width="8.85546875" style="2" customWidth="1"/>
    <col min="42" max="42" width="12.28515625" style="2" customWidth="1"/>
    <col min="43" max="43" width="11.85546875" style="2" customWidth="1"/>
    <col min="44" max="44" width="10.42578125" style="2" customWidth="1"/>
    <col min="45" max="45" width="14.28515625" style="2" customWidth="1"/>
    <col min="46" max="46" width="12" style="2" customWidth="1"/>
    <col min="47" max="47" width="11.140625" style="2" customWidth="1"/>
    <col min="48" max="48" width="13.7109375" style="2" customWidth="1"/>
    <col min="49" max="49" width="16" style="2" customWidth="1"/>
    <col min="50" max="16384" width="8.85546875" style="2"/>
  </cols>
  <sheetData>
    <row r="1" spans="1:49" ht="66.75" thickBot="1" x14ac:dyDescent="0.35">
      <c r="A1" s="47" t="s">
        <v>107</v>
      </c>
      <c r="B1" s="47" t="s">
        <v>47</v>
      </c>
      <c r="C1" s="47" t="s">
        <v>108</v>
      </c>
      <c r="D1" s="48" t="s">
        <v>109</v>
      </c>
      <c r="E1" s="48" t="s">
        <v>110</v>
      </c>
      <c r="F1" s="48" t="s">
        <v>111</v>
      </c>
      <c r="G1" s="48" t="s">
        <v>112</v>
      </c>
      <c r="H1" s="48" t="s">
        <v>113</v>
      </c>
      <c r="I1" s="48" t="s">
        <v>114</v>
      </c>
      <c r="J1" s="48" t="s">
        <v>115</v>
      </c>
      <c r="K1" s="48" t="s">
        <v>116</v>
      </c>
      <c r="M1" s="42" t="str">
        <f t="shared" ref="M1:N10" si="0">A1</f>
        <v>№ сценария</v>
      </c>
      <c r="N1" s="42" t="str">
        <f t="shared" si="0"/>
        <v>Оборудование</v>
      </c>
      <c r="O1" s="2" t="str">
        <f t="shared" ref="O1:O9" si="1">D1</f>
        <v>Кратко сценарий</v>
      </c>
      <c r="P1" s="87" t="s">
        <v>117</v>
      </c>
      <c r="Q1" s="87" t="s">
        <v>118</v>
      </c>
      <c r="R1" s="87" t="s">
        <v>119</v>
      </c>
      <c r="S1" s="87" t="s">
        <v>120</v>
      </c>
      <c r="T1" s="87" t="s">
        <v>121</v>
      </c>
      <c r="U1" s="87" t="s">
        <v>122</v>
      </c>
      <c r="V1" s="87" t="s">
        <v>123</v>
      </c>
      <c r="W1" s="87" t="s">
        <v>124</v>
      </c>
      <c r="X1" s="87" t="s">
        <v>125</v>
      </c>
      <c r="Y1" s="87" t="s">
        <v>126</v>
      </c>
      <c r="Z1" s="87" t="s">
        <v>127</v>
      </c>
      <c r="AA1" s="87" t="s">
        <v>128</v>
      </c>
      <c r="AB1" s="47" t="s">
        <v>129</v>
      </c>
      <c r="AC1" s="47" t="s">
        <v>130</v>
      </c>
      <c r="AD1" s="87" t="s">
        <v>131</v>
      </c>
      <c r="AE1" s="87" t="s">
        <v>132</v>
      </c>
      <c r="AF1" s="87" t="s">
        <v>133</v>
      </c>
      <c r="AG1" s="87" t="s">
        <v>134</v>
      </c>
      <c r="AH1" s="48" t="s">
        <v>249</v>
      </c>
      <c r="AI1" s="48" t="s">
        <v>135</v>
      </c>
      <c r="AJ1" s="88" t="s">
        <v>136</v>
      </c>
      <c r="AK1" s="61" t="s">
        <v>137</v>
      </c>
      <c r="AL1" s="61" t="s">
        <v>138</v>
      </c>
      <c r="AO1" s="48" t="s">
        <v>139</v>
      </c>
      <c r="AP1" s="48" t="s">
        <v>140</v>
      </c>
      <c r="AQ1" s="48" t="s">
        <v>141</v>
      </c>
      <c r="AR1" s="48" t="s">
        <v>142</v>
      </c>
      <c r="AS1" s="48" t="s">
        <v>143</v>
      </c>
      <c r="AT1" s="48" t="s">
        <v>144</v>
      </c>
      <c r="AU1" s="48" t="s">
        <v>145</v>
      </c>
      <c r="AV1" s="48" t="s">
        <v>146</v>
      </c>
      <c r="AW1" s="48" t="s">
        <v>147</v>
      </c>
    </row>
    <row r="2" spans="1:49" s="98" customFormat="1" ht="18" customHeight="1" x14ac:dyDescent="0.3">
      <c r="A2" s="89" t="s">
        <v>80</v>
      </c>
      <c r="B2" s="90" t="s">
        <v>62</v>
      </c>
      <c r="C2" s="33" t="s">
        <v>81</v>
      </c>
      <c r="D2" s="91" t="s">
        <v>82</v>
      </c>
      <c r="E2" s="92">
        <v>9.9999999999999995E-7</v>
      </c>
      <c r="F2" s="90">
        <v>1</v>
      </c>
      <c r="G2" s="89">
        <v>0.05</v>
      </c>
      <c r="H2" s="93">
        <f>E2*F2*G2</f>
        <v>4.9999999999999998E-8</v>
      </c>
      <c r="I2" s="94">
        <v>21.4</v>
      </c>
      <c r="J2" s="95">
        <f>I2</f>
        <v>21.4</v>
      </c>
      <c r="K2" s="96" t="s">
        <v>83</v>
      </c>
      <c r="L2" s="97">
        <v>400</v>
      </c>
      <c r="M2" s="98" t="str">
        <f t="shared" si="0"/>
        <v>С1</v>
      </c>
      <c r="N2" s="98" t="str">
        <f t="shared" si="0"/>
        <v>Отстойник ОГЖФ - 25-1, per. № 1</v>
      </c>
      <c r="O2" s="98" t="str">
        <f t="shared" si="1"/>
        <v>Полное-пожар</v>
      </c>
      <c r="P2" s="98">
        <v>17.8</v>
      </c>
      <c r="Q2" s="98">
        <v>24.6</v>
      </c>
      <c r="R2" s="98">
        <v>35.1</v>
      </c>
      <c r="S2" s="98">
        <v>65.2</v>
      </c>
      <c r="T2" s="98" t="s">
        <v>84</v>
      </c>
      <c r="U2" s="98" t="s">
        <v>84</v>
      </c>
      <c r="V2" s="98" t="s">
        <v>84</v>
      </c>
      <c r="W2" s="98" t="s">
        <v>84</v>
      </c>
      <c r="X2" s="98" t="s">
        <v>84</v>
      </c>
      <c r="Y2" s="98" t="s">
        <v>84</v>
      </c>
      <c r="Z2" s="98" t="s">
        <v>84</v>
      </c>
      <c r="AA2" s="98" t="s">
        <v>84</v>
      </c>
      <c r="AB2" s="98" t="s">
        <v>84</v>
      </c>
      <c r="AC2" s="98" t="s">
        <v>84</v>
      </c>
      <c r="AD2" s="98" t="s">
        <v>84</v>
      </c>
      <c r="AE2" s="98" t="s">
        <v>84</v>
      </c>
      <c r="AF2" s="98" t="s">
        <v>84</v>
      </c>
      <c r="AG2" s="98" t="s">
        <v>84</v>
      </c>
      <c r="AH2" s="54">
        <v>1</v>
      </c>
      <c r="AI2" s="54">
        <v>2</v>
      </c>
      <c r="AJ2" s="99">
        <v>0.75</v>
      </c>
      <c r="AK2" s="99">
        <v>2.7E-2</v>
      </c>
      <c r="AL2" s="99">
        <v>3</v>
      </c>
      <c r="AO2" s="100">
        <f>AK2*I2+AJ2</f>
        <v>1.3277999999999999</v>
      </c>
      <c r="AP2" s="100">
        <f>0.1*AO2</f>
        <v>0.13277999999999998</v>
      </c>
      <c r="AQ2" s="55">
        <f>AH2*3+0.25*AI2</f>
        <v>3.5</v>
      </c>
      <c r="AR2" s="55">
        <f>SUM(AO2:AQ2)/4</f>
        <v>1.2401450000000001</v>
      </c>
      <c r="AS2" s="100">
        <f>10068.2*J2*POWER(10,-6)</f>
        <v>0.21545948000000001</v>
      </c>
      <c r="AT2" s="55">
        <f t="shared" ref="AT2:AT10" si="2">AS2+AR2+AQ2+AP2+AO2</f>
        <v>6.4161844800000001</v>
      </c>
      <c r="AU2" s="101">
        <f>AH2*H2</f>
        <v>4.9999999999999998E-8</v>
      </c>
      <c r="AV2" s="101">
        <f>H2*AI2</f>
        <v>9.9999999999999995E-8</v>
      </c>
      <c r="AW2" s="101">
        <f>H2*AT2</f>
        <v>3.2080922399999996E-7</v>
      </c>
    </row>
    <row r="3" spans="1:49" s="98" customFormat="1" x14ac:dyDescent="0.3">
      <c r="A3" s="89" t="s">
        <v>85</v>
      </c>
      <c r="B3" s="89" t="str">
        <f>B2</f>
        <v>Отстойник ОГЖФ - 25-1, per. № 1</v>
      </c>
      <c r="C3" s="33" t="s">
        <v>86</v>
      </c>
      <c r="D3" s="91" t="s">
        <v>87</v>
      </c>
      <c r="E3" s="102">
        <f>E2</f>
        <v>9.9999999999999995E-7</v>
      </c>
      <c r="F3" s="103">
        <f>F2</f>
        <v>1</v>
      </c>
      <c r="G3" s="89">
        <v>0.19</v>
      </c>
      <c r="H3" s="93">
        <f t="shared" ref="H3:H10" si="3">E3*F3*G3</f>
        <v>1.8999999999999998E-7</v>
      </c>
      <c r="I3" s="104">
        <f>I2</f>
        <v>21.4</v>
      </c>
      <c r="J3" s="112">
        <v>2.5000000000000001E-2</v>
      </c>
      <c r="K3" s="105" t="s">
        <v>88</v>
      </c>
      <c r="L3" s="106">
        <v>0.35</v>
      </c>
      <c r="M3" s="98" t="str">
        <f t="shared" si="0"/>
        <v>С2</v>
      </c>
      <c r="N3" s="98" t="str">
        <f t="shared" si="0"/>
        <v>Отстойник ОГЖФ - 25-1, per. № 1</v>
      </c>
      <c r="O3" s="98" t="str">
        <f t="shared" si="1"/>
        <v>Полное-взрыв</v>
      </c>
      <c r="P3" s="98" t="s">
        <v>84</v>
      </c>
      <c r="Q3" s="98" t="s">
        <v>84</v>
      </c>
      <c r="R3" s="98" t="s">
        <v>84</v>
      </c>
      <c r="S3" s="98" t="s">
        <v>84</v>
      </c>
      <c r="T3" s="98">
        <v>9.6</v>
      </c>
      <c r="U3" s="98">
        <v>21.6</v>
      </c>
      <c r="V3" s="98">
        <v>58.6</v>
      </c>
      <c r="W3" s="98">
        <v>100.6</v>
      </c>
      <c r="X3" s="98" t="s">
        <v>84</v>
      </c>
      <c r="Y3" s="98" t="s">
        <v>84</v>
      </c>
      <c r="Z3" s="98" t="s">
        <v>84</v>
      </c>
      <c r="AA3" s="98" t="s">
        <v>84</v>
      </c>
      <c r="AB3" s="98" t="s">
        <v>84</v>
      </c>
      <c r="AC3" s="98" t="s">
        <v>84</v>
      </c>
      <c r="AD3" s="98" t="s">
        <v>84</v>
      </c>
      <c r="AE3" s="98" t="s">
        <v>84</v>
      </c>
      <c r="AF3" s="98" t="s">
        <v>84</v>
      </c>
      <c r="AG3" s="98" t="s">
        <v>84</v>
      </c>
      <c r="AH3" s="54">
        <v>2</v>
      </c>
      <c r="AI3" s="54">
        <v>2</v>
      </c>
      <c r="AJ3" s="98">
        <f>AJ2</f>
        <v>0.75</v>
      </c>
      <c r="AK3" s="98">
        <f>AK2</f>
        <v>2.7E-2</v>
      </c>
      <c r="AL3" s="98">
        <f>AL2</f>
        <v>3</v>
      </c>
      <c r="AO3" s="100">
        <f>AK3*I3+AJ3</f>
        <v>1.3277999999999999</v>
      </c>
      <c r="AP3" s="100">
        <f t="shared" ref="AP3:AP9" si="4">0.1*AO3</f>
        <v>0.13277999999999998</v>
      </c>
      <c r="AQ3" s="55">
        <f t="shared" ref="AQ3:AQ9" si="5">AH3*3+0.25*AI3</f>
        <v>6.5</v>
      </c>
      <c r="AR3" s="55">
        <f t="shared" ref="AR3:AR9" si="6">SUM(AO3:AQ3)/4</f>
        <v>1.9901450000000001</v>
      </c>
      <c r="AS3" s="100">
        <f>10068.2*J3*POWER(10,-6)*10</f>
        <v>2.5170500000000003E-3</v>
      </c>
      <c r="AT3" s="55">
        <f t="shared" si="2"/>
        <v>9.9532420500000001</v>
      </c>
      <c r="AU3" s="101">
        <f t="shared" ref="AU3:AU9" si="7">AH3*H3</f>
        <v>3.7999999999999996E-7</v>
      </c>
      <c r="AV3" s="101">
        <f t="shared" ref="AV3:AV9" si="8">H3*AI3</f>
        <v>3.7999999999999996E-7</v>
      </c>
      <c r="AW3" s="101">
        <f t="shared" ref="AW3" si="9">H3*AT3</f>
        <v>1.8911159894999998E-6</v>
      </c>
    </row>
    <row r="4" spans="1:49" s="98" customFormat="1" x14ac:dyDescent="0.3">
      <c r="A4" s="89" t="s">
        <v>89</v>
      </c>
      <c r="B4" s="89" t="str">
        <f>B2</f>
        <v>Отстойник ОГЖФ - 25-1, per. № 1</v>
      </c>
      <c r="C4" s="33" t="s">
        <v>163</v>
      </c>
      <c r="D4" s="91" t="s">
        <v>90</v>
      </c>
      <c r="E4" s="102">
        <f>E2</f>
        <v>9.9999999999999995E-7</v>
      </c>
      <c r="F4" s="103">
        <f>F2</f>
        <v>1</v>
      </c>
      <c r="G4" s="89">
        <v>0.76</v>
      </c>
      <c r="H4" s="93">
        <f t="shared" si="3"/>
        <v>7.5999999999999992E-7</v>
      </c>
      <c r="I4" s="104">
        <f>I2</f>
        <v>21.4</v>
      </c>
      <c r="J4" s="107">
        <v>0</v>
      </c>
      <c r="K4" s="105" t="s">
        <v>91</v>
      </c>
      <c r="L4" s="106">
        <v>3</v>
      </c>
      <c r="M4" s="98" t="str">
        <f t="shared" si="0"/>
        <v>С3</v>
      </c>
      <c r="N4" s="98" t="str">
        <f t="shared" si="0"/>
        <v>Отстойник ОГЖФ - 25-1, per. № 1</v>
      </c>
      <c r="O4" s="98" t="str">
        <f t="shared" si="1"/>
        <v>Полное-ликвидация</v>
      </c>
      <c r="P4" s="98" t="s">
        <v>84</v>
      </c>
      <c r="Q4" s="98" t="s">
        <v>84</v>
      </c>
      <c r="R4" s="98" t="s">
        <v>84</v>
      </c>
      <c r="S4" s="98" t="s">
        <v>84</v>
      </c>
      <c r="T4" s="98" t="s">
        <v>84</v>
      </c>
      <c r="U4" s="98" t="s">
        <v>84</v>
      </c>
      <c r="V4" s="98" t="s">
        <v>84</v>
      </c>
      <c r="W4" s="98" t="s">
        <v>84</v>
      </c>
      <c r="X4" s="98" t="s">
        <v>84</v>
      </c>
      <c r="Y4" s="98" t="s">
        <v>84</v>
      </c>
      <c r="Z4" s="98" t="s">
        <v>84</v>
      </c>
      <c r="AA4" s="98" t="s">
        <v>84</v>
      </c>
      <c r="AB4" s="98" t="s">
        <v>84</v>
      </c>
      <c r="AC4" s="98" t="s">
        <v>84</v>
      </c>
      <c r="AD4" s="98" t="s">
        <v>84</v>
      </c>
      <c r="AE4" s="98" t="s">
        <v>84</v>
      </c>
      <c r="AF4" s="98" t="s">
        <v>84</v>
      </c>
      <c r="AG4" s="98" t="s">
        <v>84</v>
      </c>
      <c r="AH4" s="98">
        <v>0</v>
      </c>
      <c r="AI4" s="98">
        <v>0</v>
      </c>
      <c r="AJ4" s="98">
        <f>AJ2</f>
        <v>0.75</v>
      </c>
      <c r="AK4" s="98">
        <f>AK2</f>
        <v>2.7E-2</v>
      </c>
      <c r="AL4" s="98">
        <f>AL2</f>
        <v>3</v>
      </c>
      <c r="AO4" s="100">
        <f>AK4*I4*0.1+AJ4</f>
        <v>0.80777999999999994</v>
      </c>
      <c r="AP4" s="100">
        <f t="shared" si="4"/>
        <v>8.0778000000000003E-2</v>
      </c>
      <c r="AQ4" s="55">
        <f t="shared" si="5"/>
        <v>0</v>
      </c>
      <c r="AR4" s="55">
        <f t="shared" si="6"/>
        <v>0.22213949999999999</v>
      </c>
      <c r="AS4" s="100">
        <f>1333*J2*POWER(10,-6)</f>
        <v>2.8526199999999995E-2</v>
      </c>
      <c r="AT4" s="55">
        <f t="shared" si="2"/>
        <v>1.1392237000000001</v>
      </c>
      <c r="AU4" s="101">
        <f t="shared" si="7"/>
        <v>0</v>
      </c>
      <c r="AV4" s="101">
        <f t="shared" si="8"/>
        <v>0</v>
      </c>
      <c r="AW4" s="101">
        <f>H4*AT4</f>
        <v>8.6581001199999993E-7</v>
      </c>
    </row>
    <row r="5" spans="1:49" s="98" customFormat="1" x14ac:dyDescent="0.3">
      <c r="A5" s="89" t="s">
        <v>92</v>
      </c>
      <c r="B5" s="89" t="str">
        <f>B2</f>
        <v>Отстойник ОГЖФ - 25-1, per. № 1</v>
      </c>
      <c r="C5" s="33" t="s">
        <v>93</v>
      </c>
      <c r="D5" s="91" t="s">
        <v>94</v>
      </c>
      <c r="E5" s="92">
        <v>1.0000000000000001E-5</v>
      </c>
      <c r="F5" s="103">
        <f>F2</f>
        <v>1</v>
      </c>
      <c r="G5" s="89">
        <v>4.0000000000000008E-2</v>
      </c>
      <c r="H5" s="93">
        <f t="shared" si="3"/>
        <v>4.0000000000000009E-7</v>
      </c>
      <c r="I5" s="104">
        <f>0.15*I2</f>
        <v>3.2099999999999995</v>
      </c>
      <c r="J5" s="95">
        <f>I5</f>
        <v>3.2099999999999995</v>
      </c>
      <c r="K5" s="105" t="s">
        <v>95</v>
      </c>
      <c r="L5" s="106">
        <v>45390</v>
      </c>
      <c r="M5" s="98" t="str">
        <f t="shared" si="0"/>
        <v>С4</v>
      </c>
      <c r="N5" s="98" t="str">
        <f t="shared" si="0"/>
        <v>Отстойник ОГЖФ - 25-1, per. № 1</v>
      </c>
      <c r="O5" s="98" t="str">
        <f t="shared" si="1"/>
        <v>Частичное факел</v>
      </c>
      <c r="P5" s="98" t="s">
        <v>84</v>
      </c>
      <c r="Q5" s="98" t="s">
        <v>84</v>
      </c>
      <c r="R5" s="98" t="s">
        <v>84</v>
      </c>
      <c r="S5" s="98" t="s">
        <v>84</v>
      </c>
      <c r="T5" s="98" t="s">
        <v>84</v>
      </c>
      <c r="U5" s="98" t="s">
        <v>84</v>
      </c>
      <c r="V5" s="98" t="s">
        <v>84</v>
      </c>
      <c r="W5" s="98" t="s">
        <v>84</v>
      </c>
      <c r="X5" s="98">
        <v>23</v>
      </c>
      <c r="Y5" s="98">
        <v>4</v>
      </c>
      <c r="Z5" s="98" t="s">
        <v>84</v>
      </c>
      <c r="AA5" s="98" t="s">
        <v>84</v>
      </c>
      <c r="AB5" s="98" t="s">
        <v>84</v>
      </c>
      <c r="AC5" s="98" t="s">
        <v>84</v>
      </c>
      <c r="AD5" s="98" t="s">
        <v>84</v>
      </c>
      <c r="AE5" s="98" t="s">
        <v>84</v>
      </c>
      <c r="AF5" s="98" t="s">
        <v>84</v>
      </c>
      <c r="AG5" s="98" t="s">
        <v>84</v>
      </c>
      <c r="AH5" s="98">
        <v>0</v>
      </c>
      <c r="AI5" s="98">
        <v>1</v>
      </c>
      <c r="AJ5" s="98">
        <f>0.1*$AJ$126</f>
        <v>7.5000000000000015E-3</v>
      </c>
      <c r="AK5" s="98">
        <f>AK3</f>
        <v>2.7E-2</v>
      </c>
      <c r="AL5" s="98">
        <f>AL2</f>
        <v>3</v>
      </c>
      <c r="AO5" s="100">
        <f>AK5*I5*0.1+AJ5</f>
        <v>1.6167000000000001E-2</v>
      </c>
      <c r="AP5" s="100">
        <f t="shared" si="4"/>
        <v>1.6167000000000002E-3</v>
      </c>
      <c r="AQ5" s="55">
        <f t="shared" si="5"/>
        <v>0.25</v>
      </c>
      <c r="AR5" s="55">
        <f t="shared" si="6"/>
        <v>6.6945925000000003E-2</v>
      </c>
      <c r="AS5" s="100">
        <f>10068.2*J5*POWER(10,-6)</f>
        <v>3.2318922E-2</v>
      </c>
      <c r="AT5" s="55">
        <f t="shared" si="2"/>
        <v>0.367048547</v>
      </c>
      <c r="AU5" s="101">
        <f t="shared" si="7"/>
        <v>0</v>
      </c>
      <c r="AV5" s="101">
        <f t="shared" si="8"/>
        <v>4.0000000000000009E-7</v>
      </c>
      <c r="AW5" s="101">
        <f t="shared" ref="AW5:AW9" si="10">H5*AT5</f>
        <v>1.4681941880000003E-7</v>
      </c>
    </row>
    <row r="6" spans="1:49" s="98" customFormat="1" x14ac:dyDescent="0.3">
      <c r="A6" s="89" t="s">
        <v>96</v>
      </c>
      <c r="B6" s="89" t="str">
        <f>B2</f>
        <v>Отстойник ОГЖФ - 25-1, per. № 1</v>
      </c>
      <c r="C6" s="33" t="s">
        <v>164</v>
      </c>
      <c r="D6" s="91" t="s">
        <v>97</v>
      </c>
      <c r="E6" s="102">
        <f>E5</f>
        <v>1.0000000000000001E-5</v>
      </c>
      <c r="F6" s="103">
        <f>F2</f>
        <v>1</v>
      </c>
      <c r="G6" s="89">
        <v>0.16000000000000003</v>
      </c>
      <c r="H6" s="93">
        <f t="shared" si="3"/>
        <v>1.6000000000000004E-6</v>
      </c>
      <c r="I6" s="104">
        <f>0.15*I2</f>
        <v>3.2099999999999995</v>
      </c>
      <c r="J6" s="95">
        <v>0</v>
      </c>
      <c r="K6" s="105" t="s">
        <v>98</v>
      </c>
      <c r="L6" s="106">
        <v>3</v>
      </c>
      <c r="M6" s="98" t="str">
        <f t="shared" si="0"/>
        <v>С5</v>
      </c>
      <c r="N6" s="98" t="str">
        <f t="shared" si="0"/>
        <v>Отстойник ОГЖФ - 25-1, per. № 1</v>
      </c>
      <c r="O6" s="98" t="str">
        <f t="shared" si="1"/>
        <v>Частичное-ликвидация</v>
      </c>
      <c r="P6" s="98" t="s">
        <v>84</v>
      </c>
      <c r="Q6" s="98" t="s">
        <v>84</v>
      </c>
      <c r="R6" s="98" t="s">
        <v>84</v>
      </c>
      <c r="S6" s="98" t="s">
        <v>84</v>
      </c>
      <c r="T6" s="98" t="s">
        <v>84</v>
      </c>
      <c r="U6" s="98" t="s">
        <v>84</v>
      </c>
      <c r="V6" s="98" t="s">
        <v>84</v>
      </c>
      <c r="W6" s="98" t="s">
        <v>84</v>
      </c>
      <c r="X6" s="98" t="s">
        <v>84</v>
      </c>
      <c r="Y6" s="98" t="s">
        <v>84</v>
      </c>
      <c r="Z6" s="98" t="s">
        <v>84</v>
      </c>
      <c r="AA6" s="98" t="s">
        <v>84</v>
      </c>
      <c r="AB6" s="98" t="s">
        <v>84</v>
      </c>
      <c r="AC6" s="98" t="s">
        <v>84</v>
      </c>
      <c r="AD6" s="98" t="s">
        <v>84</v>
      </c>
      <c r="AE6" s="98" t="s">
        <v>84</v>
      </c>
      <c r="AF6" s="98" t="s">
        <v>84</v>
      </c>
      <c r="AG6" s="98" t="s">
        <v>84</v>
      </c>
      <c r="AH6" s="98">
        <v>0</v>
      </c>
      <c r="AI6" s="98">
        <v>1</v>
      </c>
      <c r="AJ6" s="98">
        <f>0.1*$AJ$126</f>
        <v>7.5000000000000015E-3</v>
      </c>
      <c r="AK6" s="98">
        <f>AK2</f>
        <v>2.7E-2</v>
      </c>
      <c r="AL6" s="98">
        <f>ROUNDUP(AL2/3,0)</f>
        <v>1</v>
      </c>
      <c r="AO6" s="100">
        <f>AK6*I6+AJ6</f>
        <v>9.416999999999999E-2</v>
      </c>
      <c r="AP6" s="100">
        <f t="shared" si="4"/>
        <v>9.417E-3</v>
      </c>
      <c r="AQ6" s="55">
        <f t="shared" si="5"/>
        <v>0.25</v>
      </c>
      <c r="AR6" s="55">
        <f t="shared" si="6"/>
        <v>8.8396749999999996E-2</v>
      </c>
      <c r="AS6" s="100">
        <f>1333*J3*POWER(10,-6)*10</f>
        <v>3.3325000000000005E-4</v>
      </c>
      <c r="AT6" s="55">
        <f t="shared" si="2"/>
        <v>0.44231699999999996</v>
      </c>
      <c r="AU6" s="101">
        <f t="shared" si="7"/>
        <v>0</v>
      </c>
      <c r="AV6" s="101">
        <f t="shared" si="8"/>
        <v>1.6000000000000004E-6</v>
      </c>
      <c r="AW6" s="101">
        <f t="shared" si="10"/>
        <v>7.0770720000000009E-7</v>
      </c>
    </row>
    <row r="7" spans="1:49" s="98" customFormat="1" x14ac:dyDescent="0.3">
      <c r="A7" s="89" t="s">
        <v>99</v>
      </c>
      <c r="B7" s="89" t="str">
        <f>B2</f>
        <v>Отстойник ОГЖФ - 25-1, per. № 1</v>
      </c>
      <c r="C7" s="33" t="s">
        <v>100</v>
      </c>
      <c r="D7" s="91" t="s">
        <v>94</v>
      </c>
      <c r="E7" s="102">
        <f>E6</f>
        <v>1.0000000000000001E-5</v>
      </c>
      <c r="F7" s="103">
        <v>1</v>
      </c>
      <c r="G7" s="89">
        <v>4.0000000000000008E-2</v>
      </c>
      <c r="H7" s="93">
        <f t="shared" si="3"/>
        <v>4.0000000000000009E-7</v>
      </c>
      <c r="I7" s="104">
        <f>I5*0.15</f>
        <v>0.48149999999999993</v>
      </c>
      <c r="J7" s="95">
        <f>I7</f>
        <v>0.48149999999999993</v>
      </c>
      <c r="K7" s="108" t="s">
        <v>101</v>
      </c>
      <c r="L7" s="109">
        <v>12</v>
      </c>
      <c r="M7" s="98" t="str">
        <f t="shared" si="0"/>
        <v>С6</v>
      </c>
      <c r="N7" s="98" t="str">
        <f t="shared" si="0"/>
        <v>Отстойник ОГЖФ - 25-1, per. № 1</v>
      </c>
      <c r="O7" s="98" t="str">
        <f t="shared" si="1"/>
        <v>Частичное факел</v>
      </c>
      <c r="P7" s="98" t="s">
        <v>84</v>
      </c>
      <c r="Q7" s="98" t="s">
        <v>84</v>
      </c>
      <c r="R7" s="98" t="s">
        <v>84</v>
      </c>
      <c r="S7" s="98" t="s">
        <v>84</v>
      </c>
      <c r="T7" s="98" t="s">
        <v>84</v>
      </c>
      <c r="U7" s="98" t="s">
        <v>84</v>
      </c>
      <c r="V7" s="98" t="s">
        <v>84</v>
      </c>
      <c r="W7" s="98" t="s">
        <v>84</v>
      </c>
      <c r="X7" s="98">
        <v>8</v>
      </c>
      <c r="Y7" s="98">
        <v>2</v>
      </c>
      <c r="Z7" s="98" t="s">
        <v>84</v>
      </c>
      <c r="AA7" s="98" t="s">
        <v>84</v>
      </c>
      <c r="AB7" s="98" t="s">
        <v>84</v>
      </c>
      <c r="AC7" s="98" t="s">
        <v>84</v>
      </c>
      <c r="AD7" s="98" t="s">
        <v>84</v>
      </c>
      <c r="AE7" s="98" t="s">
        <v>84</v>
      </c>
      <c r="AF7" s="98" t="s">
        <v>84</v>
      </c>
      <c r="AG7" s="98" t="s">
        <v>84</v>
      </c>
      <c r="AH7" s="98">
        <v>0</v>
      </c>
      <c r="AI7" s="98">
        <v>1</v>
      </c>
      <c r="AJ7" s="98">
        <f>0.1*$AJ$126</f>
        <v>7.5000000000000015E-3</v>
      </c>
      <c r="AK7" s="98">
        <f>AK2</f>
        <v>2.7E-2</v>
      </c>
      <c r="AL7" s="98">
        <f>AL6</f>
        <v>1</v>
      </c>
      <c r="AO7" s="100">
        <f t="shared" ref="AO7:AO8" si="11">AK7*I7+AJ7</f>
        <v>2.0500499999999998E-2</v>
      </c>
      <c r="AP7" s="100">
        <f t="shared" si="4"/>
        <v>2.0500499999999999E-3</v>
      </c>
      <c r="AQ7" s="55">
        <f t="shared" si="5"/>
        <v>0.25</v>
      </c>
      <c r="AR7" s="55">
        <f t="shared" si="6"/>
        <v>6.8137637500000001E-2</v>
      </c>
      <c r="AS7" s="100">
        <f>10068.2*J7*POWER(10,-6)</f>
        <v>4.8478382999999989E-3</v>
      </c>
      <c r="AT7" s="55">
        <f t="shared" si="2"/>
        <v>0.34553602580000004</v>
      </c>
      <c r="AU7" s="101">
        <f t="shared" si="7"/>
        <v>0</v>
      </c>
      <c r="AV7" s="101">
        <f t="shared" si="8"/>
        <v>4.0000000000000009E-7</v>
      </c>
      <c r="AW7" s="101">
        <f t="shared" si="10"/>
        <v>1.3821441032000005E-7</v>
      </c>
    </row>
    <row r="8" spans="1:49" s="98" customFormat="1" x14ac:dyDescent="0.3">
      <c r="A8" s="89" t="s">
        <v>102</v>
      </c>
      <c r="B8" s="89" t="str">
        <f>B2</f>
        <v>Отстойник ОГЖФ - 25-1, per. № 1</v>
      </c>
      <c r="C8" s="33" t="s">
        <v>103</v>
      </c>
      <c r="D8" s="91" t="s">
        <v>104</v>
      </c>
      <c r="E8" s="102">
        <f>E6</f>
        <v>1.0000000000000001E-5</v>
      </c>
      <c r="F8" s="103">
        <f>F2</f>
        <v>1</v>
      </c>
      <c r="G8" s="89">
        <v>0.15200000000000002</v>
      </c>
      <c r="H8" s="93">
        <f t="shared" si="3"/>
        <v>1.5200000000000003E-6</v>
      </c>
      <c r="I8" s="104">
        <f>I5*0.15</f>
        <v>0.48149999999999993</v>
      </c>
      <c r="J8" s="95">
        <f>I8</f>
        <v>0.48149999999999993</v>
      </c>
      <c r="K8" s="105"/>
      <c r="L8" s="106"/>
      <c r="M8" s="98" t="str">
        <f t="shared" si="0"/>
        <v>С7</v>
      </c>
      <c r="N8" s="98" t="str">
        <f t="shared" si="0"/>
        <v>Отстойник ОГЖФ - 25-1, per. № 1</v>
      </c>
      <c r="O8" s="98" t="str">
        <f t="shared" si="1"/>
        <v>Частичное-пожар-вспышка</v>
      </c>
      <c r="P8" s="98" t="s">
        <v>84</v>
      </c>
      <c r="Q8" s="98" t="s">
        <v>84</v>
      </c>
      <c r="R8" s="98" t="s">
        <v>84</v>
      </c>
      <c r="S8" s="98" t="s">
        <v>84</v>
      </c>
      <c r="T8" s="98" t="s">
        <v>84</v>
      </c>
      <c r="U8" s="98" t="s">
        <v>84</v>
      </c>
      <c r="V8" s="98" t="s">
        <v>84</v>
      </c>
      <c r="W8" s="98" t="s">
        <v>84</v>
      </c>
      <c r="X8" s="98" t="s">
        <v>84</v>
      </c>
      <c r="Y8" s="98" t="s">
        <v>84</v>
      </c>
      <c r="Z8" s="98">
        <v>26.34</v>
      </c>
      <c r="AA8" s="98">
        <v>31.61</v>
      </c>
      <c r="AB8" s="98" t="s">
        <v>84</v>
      </c>
      <c r="AC8" s="98" t="s">
        <v>84</v>
      </c>
      <c r="AD8" s="98" t="s">
        <v>84</v>
      </c>
      <c r="AE8" s="98" t="s">
        <v>84</v>
      </c>
      <c r="AF8" s="98" t="s">
        <v>84</v>
      </c>
      <c r="AG8" s="98" t="s">
        <v>84</v>
      </c>
      <c r="AH8" s="98">
        <v>0</v>
      </c>
      <c r="AI8" s="98">
        <v>1</v>
      </c>
      <c r="AJ8" s="98">
        <f>0.1*$AJ$126</f>
        <v>7.5000000000000015E-3</v>
      </c>
      <c r="AK8" s="98">
        <f>AK2</f>
        <v>2.7E-2</v>
      </c>
      <c r="AL8" s="98">
        <f>ROUNDUP(AL2/3,0)</f>
        <v>1</v>
      </c>
      <c r="AO8" s="100">
        <f t="shared" si="11"/>
        <v>2.0500499999999998E-2</v>
      </c>
      <c r="AP8" s="100">
        <f t="shared" si="4"/>
        <v>2.0500499999999999E-3</v>
      </c>
      <c r="AQ8" s="55">
        <f t="shared" si="5"/>
        <v>0.25</v>
      </c>
      <c r="AR8" s="55">
        <f t="shared" si="6"/>
        <v>6.8137637500000001E-2</v>
      </c>
      <c r="AS8" s="100">
        <f>10068.2*J8*POWER(10,-6)</f>
        <v>4.8478382999999989E-3</v>
      </c>
      <c r="AT8" s="55">
        <f t="shared" si="2"/>
        <v>0.34553602580000004</v>
      </c>
      <c r="AU8" s="101">
        <f t="shared" si="7"/>
        <v>0</v>
      </c>
      <c r="AV8" s="101">
        <f t="shared" si="8"/>
        <v>1.5200000000000003E-6</v>
      </c>
      <c r="AW8" s="101">
        <f t="shared" si="10"/>
        <v>5.2521475921600011E-7</v>
      </c>
    </row>
    <row r="9" spans="1:49" s="98" customFormat="1" ht="17.25" thickBot="1" x14ac:dyDescent="0.35">
      <c r="A9" s="89" t="s">
        <v>105</v>
      </c>
      <c r="B9" s="89" t="str">
        <f>B2</f>
        <v>Отстойник ОГЖФ - 25-1, per. № 1</v>
      </c>
      <c r="C9" s="33" t="s">
        <v>106</v>
      </c>
      <c r="D9" s="91" t="s">
        <v>97</v>
      </c>
      <c r="E9" s="102">
        <f>E6</f>
        <v>1.0000000000000001E-5</v>
      </c>
      <c r="F9" s="103">
        <f>F2</f>
        <v>1</v>
      </c>
      <c r="G9" s="89">
        <v>0.6080000000000001</v>
      </c>
      <c r="H9" s="93">
        <f t="shared" si="3"/>
        <v>6.0800000000000011E-6</v>
      </c>
      <c r="I9" s="104">
        <f>I5*0.15</f>
        <v>0.48149999999999993</v>
      </c>
      <c r="J9" s="107">
        <v>0</v>
      </c>
      <c r="K9" s="110"/>
      <c r="L9" s="111"/>
      <c r="M9" s="98" t="str">
        <f t="shared" si="0"/>
        <v>С8</v>
      </c>
      <c r="N9" s="98" t="str">
        <f t="shared" si="0"/>
        <v>Отстойник ОГЖФ - 25-1, per. № 1</v>
      </c>
      <c r="O9" s="98" t="str">
        <f t="shared" si="1"/>
        <v>Частичное-ликвидация</v>
      </c>
      <c r="P9" s="98" t="s">
        <v>84</v>
      </c>
      <c r="Q9" s="98" t="s">
        <v>84</v>
      </c>
      <c r="R9" s="98" t="s">
        <v>84</v>
      </c>
      <c r="S9" s="98" t="s">
        <v>84</v>
      </c>
      <c r="T9" s="98" t="s">
        <v>84</v>
      </c>
      <c r="U9" s="98" t="s">
        <v>84</v>
      </c>
      <c r="V9" s="98" t="s">
        <v>84</v>
      </c>
      <c r="W9" s="98" t="s">
        <v>84</v>
      </c>
      <c r="X9" s="98" t="s">
        <v>84</v>
      </c>
      <c r="Y9" s="98" t="s">
        <v>84</v>
      </c>
      <c r="Z9" s="98" t="s">
        <v>84</v>
      </c>
      <c r="AA9" s="98" t="s">
        <v>84</v>
      </c>
      <c r="AB9" s="98" t="s">
        <v>84</v>
      </c>
      <c r="AC9" s="98" t="s">
        <v>84</v>
      </c>
      <c r="AD9" s="98" t="s">
        <v>84</v>
      </c>
      <c r="AE9" s="98" t="s">
        <v>84</v>
      </c>
      <c r="AF9" s="98" t="s">
        <v>84</v>
      </c>
      <c r="AG9" s="98" t="s">
        <v>84</v>
      </c>
      <c r="AH9" s="98">
        <v>0</v>
      </c>
      <c r="AI9" s="98">
        <v>0</v>
      </c>
      <c r="AJ9" s="98">
        <f>0.1*$AJ$126</f>
        <v>7.5000000000000015E-3</v>
      </c>
      <c r="AK9" s="98">
        <f>AK2</f>
        <v>2.7E-2</v>
      </c>
      <c r="AL9" s="98">
        <f>ROUNDUP(AL2/3,0)</f>
        <v>1</v>
      </c>
      <c r="AO9" s="100">
        <f>AK9*I9*0.1+AJ9</f>
        <v>8.800050000000002E-3</v>
      </c>
      <c r="AP9" s="100">
        <f t="shared" si="4"/>
        <v>8.8000500000000022E-4</v>
      </c>
      <c r="AQ9" s="55">
        <f t="shared" si="5"/>
        <v>0</v>
      </c>
      <c r="AR9" s="55">
        <f t="shared" si="6"/>
        <v>2.4200137500000004E-3</v>
      </c>
      <c r="AS9" s="100">
        <f>1333*J7*POWER(10,-6)</f>
        <v>6.418394999999999E-4</v>
      </c>
      <c r="AT9" s="55">
        <f t="shared" si="2"/>
        <v>1.2741908250000003E-2</v>
      </c>
      <c r="AU9" s="101">
        <f t="shared" si="7"/>
        <v>0</v>
      </c>
      <c r="AV9" s="101">
        <f t="shared" si="8"/>
        <v>0</v>
      </c>
      <c r="AW9" s="101">
        <f t="shared" si="10"/>
        <v>7.7470802160000026E-8</v>
      </c>
    </row>
    <row r="10" spans="1:49" s="98" customFormat="1" x14ac:dyDescent="0.3">
      <c r="A10" s="89" t="s">
        <v>160</v>
      </c>
      <c r="B10" s="89" t="str">
        <f>B2</f>
        <v>Отстойник ОГЖФ - 25-1, per. № 1</v>
      </c>
      <c r="C10" s="89" t="s">
        <v>161</v>
      </c>
      <c r="D10" s="89" t="s">
        <v>162</v>
      </c>
      <c r="E10" s="92">
        <v>2.5000000000000001E-5</v>
      </c>
      <c r="F10" s="89">
        <v>1</v>
      </c>
      <c r="G10" s="89">
        <v>1</v>
      </c>
      <c r="H10" s="93">
        <f t="shared" si="3"/>
        <v>2.5000000000000001E-5</v>
      </c>
      <c r="I10" s="104">
        <f>I2</f>
        <v>21.4</v>
      </c>
      <c r="J10" s="104">
        <f>J2*0.12</f>
        <v>2.5679999999999996</v>
      </c>
      <c r="K10" s="89"/>
      <c r="L10" s="89"/>
      <c r="M10" s="98" t="str">
        <f t="shared" si="0"/>
        <v>С9</v>
      </c>
      <c r="N10" s="98" t="str">
        <f t="shared" ref="N10" si="12">B10</f>
        <v>Отстойник ОГЖФ - 25-1, per. № 1</v>
      </c>
      <c r="O10" s="98" t="str">
        <f t="shared" ref="O10" si="13">D10</f>
        <v>Частичное-шар</v>
      </c>
      <c r="P10" s="98" t="s">
        <v>84</v>
      </c>
      <c r="Q10" s="98" t="s">
        <v>84</v>
      </c>
      <c r="R10" s="98" t="s">
        <v>84</v>
      </c>
      <c r="S10" s="98" t="s">
        <v>84</v>
      </c>
      <c r="T10" s="98" t="s">
        <v>84</v>
      </c>
      <c r="U10" s="98" t="s">
        <v>84</v>
      </c>
      <c r="V10" s="98" t="s">
        <v>84</v>
      </c>
      <c r="W10" s="98" t="s">
        <v>84</v>
      </c>
      <c r="X10" s="98" t="s">
        <v>84</v>
      </c>
      <c r="Y10" s="98" t="s">
        <v>84</v>
      </c>
      <c r="Z10" s="98" t="s">
        <v>84</v>
      </c>
      <c r="AA10" s="98" t="s">
        <v>84</v>
      </c>
      <c r="AB10" s="98" t="s">
        <v>84</v>
      </c>
      <c r="AC10" s="98" t="s">
        <v>84</v>
      </c>
      <c r="AD10" s="98">
        <v>36</v>
      </c>
      <c r="AE10" s="98">
        <v>66.5</v>
      </c>
      <c r="AF10" s="98">
        <v>83</v>
      </c>
      <c r="AG10" s="98">
        <v>112</v>
      </c>
      <c r="AH10" s="98">
        <v>1</v>
      </c>
      <c r="AI10" s="98">
        <v>2</v>
      </c>
      <c r="AJ10" s="98">
        <f>AJ2</f>
        <v>0.75</v>
      </c>
      <c r="AK10" s="98">
        <f>AK2</f>
        <v>2.7E-2</v>
      </c>
      <c r="AL10" s="98">
        <v>5</v>
      </c>
      <c r="AO10" s="100">
        <f>AK10*I10+AJ10</f>
        <v>1.3277999999999999</v>
      </c>
      <c r="AP10" s="100">
        <f>0.1*AO10</f>
        <v>0.13277999999999998</v>
      </c>
      <c r="AQ10" s="55">
        <f>AH10*3+0.25*AI10</f>
        <v>3.5</v>
      </c>
      <c r="AR10" s="55">
        <f>SUM(AO10:AQ10)/4</f>
        <v>1.2401450000000001</v>
      </c>
      <c r="AS10" s="100">
        <f>10068.2*J10*POWER(10,-6)</f>
        <v>2.5855137599999998E-2</v>
      </c>
      <c r="AT10" s="55">
        <f t="shared" si="2"/>
        <v>6.2265801376000001</v>
      </c>
      <c r="AU10" s="101">
        <f>AH10*H10</f>
        <v>2.5000000000000001E-5</v>
      </c>
      <c r="AV10" s="101">
        <f>H10*AI10</f>
        <v>5.0000000000000002E-5</v>
      </c>
      <c r="AW10" s="101">
        <f>H10*AT10</f>
        <v>1.5566450344000002E-4</v>
      </c>
    </row>
    <row r="11" spans="1:49" ht="17.25" thickBot="1" x14ac:dyDescent="0.35">
      <c r="A11" s="47"/>
      <c r="B11" s="47"/>
      <c r="C11" s="47"/>
      <c r="D11" s="48"/>
      <c r="E11" s="48"/>
      <c r="F11" s="48"/>
      <c r="G11" s="48"/>
      <c r="H11" s="48"/>
      <c r="I11" s="48"/>
      <c r="J11" s="48"/>
      <c r="K11" s="48"/>
      <c r="M11" s="42"/>
      <c r="N11" s="42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47"/>
      <c r="AC11" s="47"/>
      <c r="AD11" s="87"/>
      <c r="AE11" s="87"/>
      <c r="AF11" s="87"/>
      <c r="AG11" s="87"/>
      <c r="AH11" s="48"/>
      <c r="AI11" s="48"/>
      <c r="AJ11" s="88"/>
      <c r="AK11" s="61"/>
      <c r="AL11" s="61"/>
      <c r="AO11" s="48"/>
      <c r="AP11" s="48"/>
      <c r="AQ11" s="48"/>
      <c r="AR11" s="48"/>
      <c r="AS11" s="48"/>
      <c r="AT11" s="48"/>
      <c r="AU11" s="48"/>
      <c r="AV11" s="48"/>
      <c r="AW11" s="48"/>
    </row>
    <row r="12" spans="1:49" s="98" customFormat="1" ht="18" customHeight="1" x14ac:dyDescent="0.3">
      <c r="A12" s="89" t="s">
        <v>80</v>
      </c>
      <c r="B12" s="90" t="s">
        <v>63</v>
      </c>
      <c r="C12" s="33" t="s">
        <v>81</v>
      </c>
      <c r="D12" s="91" t="s">
        <v>82</v>
      </c>
      <c r="E12" s="92">
        <v>9.9999999999999995E-7</v>
      </c>
      <c r="F12" s="90">
        <v>1</v>
      </c>
      <c r="G12" s="89">
        <v>0.05</v>
      </c>
      <c r="H12" s="93">
        <f>E12*F12*G12</f>
        <v>4.9999999999999998E-8</v>
      </c>
      <c r="I12" s="94">
        <v>48.15</v>
      </c>
      <c r="J12" s="95">
        <f>I12</f>
        <v>48.15</v>
      </c>
      <c r="K12" s="96" t="s">
        <v>83</v>
      </c>
      <c r="L12" s="97">
        <v>900</v>
      </c>
      <c r="M12" s="98" t="str">
        <f t="shared" ref="M12:M20" si="14">A12</f>
        <v>С1</v>
      </c>
      <c r="N12" s="98" t="str">
        <f t="shared" ref="N12:N19" si="15">B12</f>
        <v>Отстойник ОГ - 50, per. № 14</v>
      </c>
      <c r="O12" s="98" t="str">
        <f t="shared" ref="O12:O19" si="16">D12</f>
        <v>Полное-пожар</v>
      </c>
      <c r="P12" s="98">
        <v>21.8</v>
      </c>
      <c r="Q12" s="98">
        <v>30.2</v>
      </c>
      <c r="R12" s="98">
        <v>43.6</v>
      </c>
      <c r="S12" s="98">
        <v>81.599999999999994</v>
      </c>
      <c r="T12" s="98" t="s">
        <v>84</v>
      </c>
      <c r="U12" s="98" t="s">
        <v>84</v>
      </c>
      <c r="V12" s="98" t="s">
        <v>84</v>
      </c>
      <c r="W12" s="98" t="s">
        <v>84</v>
      </c>
      <c r="X12" s="98" t="s">
        <v>84</v>
      </c>
      <c r="Y12" s="98" t="s">
        <v>84</v>
      </c>
      <c r="Z12" s="98" t="s">
        <v>84</v>
      </c>
      <c r="AA12" s="98" t="s">
        <v>84</v>
      </c>
      <c r="AB12" s="98" t="s">
        <v>84</v>
      </c>
      <c r="AC12" s="98" t="s">
        <v>84</v>
      </c>
      <c r="AD12" s="98" t="s">
        <v>84</v>
      </c>
      <c r="AE12" s="98" t="s">
        <v>84</v>
      </c>
      <c r="AF12" s="98" t="s">
        <v>84</v>
      </c>
      <c r="AG12" s="98" t="s">
        <v>84</v>
      </c>
      <c r="AH12" s="54">
        <v>1</v>
      </c>
      <c r="AI12" s="54">
        <v>2</v>
      </c>
      <c r="AJ12" s="99">
        <v>0.75</v>
      </c>
      <c r="AK12" s="99">
        <v>2.7E-2</v>
      </c>
      <c r="AL12" s="99">
        <v>3</v>
      </c>
      <c r="AO12" s="100">
        <f>AK12*I12+AJ12</f>
        <v>2.0500499999999997</v>
      </c>
      <c r="AP12" s="100">
        <f>0.1*AO12</f>
        <v>0.20500499999999999</v>
      </c>
      <c r="AQ12" s="55">
        <f>AH12*3+0.25*AI12</f>
        <v>3.5</v>
      </c>
      <c r="AR12" s="55">
        <f>SUM(AO12:AQ12)/4</f>
        <v>1.4387637499999999</v>
      </c>
      <c r="AS12" s="100">
        <f>10068.2*J12*POWER(10,-6)</f>
        <v>0.48478382999999997</v>
      </c>
      <c r="AT12" s="55">
        <f t="shared" ref="AT12:AT20" si="17">AS12+AR12+AQ12+AP12+AO12</f>
        <v>7.6786025799999997</v>
      </c>
      <c r="AU12" s="101">
        <f>AH12*H12</f>
        <v>4.9999999999999998E-8</v>
      </c>
      <c r="AV12" s="101">
        <f>H12*AI12</f>
        <v>9.9999999999999995E-8</v>
      </c>
      <c r="AW12" s="101">
        <f>H12*AT12</f>
        <v>3.8393012899999996E-7</v>
      </c>
    </row>
    <row r="13" spans="1:49" s="98" customFormat="1" x14ac:dyDescent="0.3">
      <c r="A13" s="89" t="s">
        <v>85</v>
      </c>
      <c r="B13" s="89" t="str">
        <f>B12</f>
        <v>Отстойник ОГ - 50, per. № 14</v>
      </c>
      <c r="C13" s="33" t="s">
        <v>86</v>
      </c>
      <c r="D13" s="91" t="s">
        <v>87</v>
      </c>
      <c r="E13" s="102">
        <f>E12</f>
        <v>9.9999999999999995E-7</v>
      </c>
      <c r="F13" s="103">
        <f>F12</f>
        <v>1</v>
      </c>
      <c r="G13" s="89">
        <v>0.19</v>
      </c>
      <c r="H13" s="93">
        <f t="shared" ref="H13:H20" si="18">E13*F13*G13</f>
        <v>1.8999999999999998E-7</v>
      </c>
      <c r="I13" s="104">
        <f>I12</f>
        <v>48.15</v>
      </c>
      <c r="J13" s="112">
        <v>5.6000000000000001E-2</v>
      </c>
      <c r="K13" s="105" t="s">
        <v>88</v>
      </c>
      <c r="L13" s="106">
        <v>0.35</v>
      </c>
      <c r="M13" s="98" t="str">
        <f t="shared" si="14"/>
        <v>С2</v>
      </c>
      <c r="N13" s="98" t="str">
        <f t="shared" si="15"/>
        <v>Отстойник ОГ - 50, per. № 14</v>
      </c>
      <c r="O13" s="98" t="str">
        <f t="shared" si="16"/>
        <v>Полное-взрыв</v>
      </c>
      <c r="P13" s="98" t="s">
        <v>84</v>
      </c>
      <c r="Q13" s="98" t="s">
        <v>84</v>
      </c>
      <c r="R13" s="98" t="s">
        <v>84</v>
      </c>
      <c r="S13" s="98" t="s">
        <v>84</v>
      </c>
      <c r="T13" s="98">
        <v>12.1</v>
      </c>
      <c r="U13" s="98">
        <v>28.1</v>
      </c>
      <c r="V13" s="98">
        <v>76.599999999999994</v>
      </c>
      <c r="W13" s="98">
        <v>131.6</v>
      </c>
      <c r="X13" s="98" t="s">
        <v>84</v>
      </c>
      <c r="Y13" s="98" t="s">
        <v>84</v>
      </c>
      <c r="Z13" s="98" t="s">
        <v>84</v>
      </c>
      <c r="AA13" s="98" t="s">
        <v>84</v>
      </c>
      <c r="AB13" s="98" t="s">
        <v>84</v>
      </c>
      <c r="AC13" s="98" t="s">
        <v>84</v>
      </c>
      <c r="AD13" s="98" t="s">
        <v>84</v>
      </c>
      <c r="AE13" s="98" t="s">
        <v>84</v>
      </c>
      <c r="AF13" s="98" t="s">
        <v>84</v>
      </c>
      <c r="AG13" s="98" t="s">
        <v>84</v>
      </c>
      <c r="AH13" s="54">
        <v>2</v>
      </c>
      <c r="AI13" s="54">
        <v>2</v>
      </c>
      <c r="AJ13" s="98">
        <f>AJ12</f>
        <v>0.75</v>
      </c>
      <c r="AK13" s="98">
        <f>AK12</f>
        <v>2.7E-2</v>
      </c>
      <c r="AL13" s="98">
        <f>AL12</f>
        <v>3</v>
      </c>
      <c r="AO13" s="100">
        <f>AK13*I13+AJ13</f>
        <v>2.0500499999999997</v>
      </c>
      <c r="AP13" s="100">
        <f t="shared" ref="AP13:AP19" si="19">0.1*AO13</f>
        <v>0.20500499999999999</v>
      </c>
      <c r="AQ13" s="55">
        <f t="shared" ref="AQ13:AQ19" si="20">AH13*3+0.25*AI13</f>
        <v>6.5</v>
      </c>
      <c r="AR13" s="55">
        <f t="shared" ref="AR13:AR19" si="21">SUM(AO13:AQ13)/4</f>
        <v>2.1887637499999997</v>
      </c>
      <c r="AS13" s="100">
        <f>10068.2*J13*POWER(10,-6)*10</f>
        <v>5.6381920000000002E-3</v>
      </c>
      <c r="AT13" s="55">
        <f t="shared" si="17"/>
        <v>10.949456941999998</v>
      </c>
      <c r="AU13" s="101">
        <f t="shared" ref="AU13:AU19" si="22">AH13*H13</f>
        <v>3.7999999999999996E-7</v>
      </c>
      <c r="AV13" s="101">
        <f t="shared" ref="AV13:AV19" si="23">H13*AI13</f>
        <v>3.7999999999999996E-7</v>
      </c>
      <c r="AW13" s="101">
        <f t="shared" ref="AW13" si="24">H13*AT13</f>
        <v>2.0803968189799995E-6</v>
      </c>
    </row>
    <row r="14" spans="1:49" s="98" customFormat="1" x14ac:dyDescent="0.3">
      <c r="A14" s="89" t="s">
        <v>89</v>
      </c>
      <c r="B14" s="89" t="str">
        <f>B12</f>
        <v>Отстойник ОГ - 50, per. № 14</v>
      </c>
      <c r="C14" s="33" t="s">
        <v>163</v>
      </c>
      <c r="D14" s="91" t="s">
        <v>90</v>
      </c>
      <c r="E14" s="102">
        <f>E12</f>
        <v>9.9999999999999995E-7</v>
      </c>
      <c r="F14" s="103">
        <f>F12</f>
        <v>1</v>
      </c>
      <c r="G14" s="89">
        <v>0.76</v>
      </c>
      <c r="H14" s="93">
        <f t="shared" si="18"/>
        <v>7.5999999999999992E-7</v>
      </c>
      <c r="I14" s="104">
        <f>I12</f>
        <v>48.15</v>
      </c>
      <c r="J14" s="107">
        <v>0</v>
      </c>
      <c r="K14" s="105" t="s">
        <v>91</v>
      </c>
      <c r="L14" s="106">
        <v>3</v>
      </c>
      <c r="M14" s="98" t="str">
        <f t="shared" si="14"/>
        <v>С3</v>
      </c>
      <c r="N14" s="98" t="str">
        <f t="shared" si="15"/>
        <v>Отстойник ОГ - 50, per. № 14</v>
      </c>
      <c r="O14" s="98" t="str">
        <f t="shared" si="16"/>
        <v>Полное-ликвидация</v>
      </c>
      <c r="P14" s="98" t="s">
        <v>84</v>
      </c>
      <c r="Q14" s="98" t="s">
        <v>84</v>
      </c>
      <c r="R14" s="98" t="s">
        <v>84</v>
      </c>
      <c r="S14" s="98" t="s">
        <v>84</v>
      </c>
      <c r="T14" s="98" t="s">
        <v>84</v>
      </c>
      <c r="U14" s="98" t="s">
        <v>84</v>
      </c>
      <c r="V14" s="98" t="s">
        <v>84</v>
      </c>
      <c r="W14" s="98" t="s">
        <v>84</v>
      </c>
      <c r="X14" s="98" t="s">
        <v>84</v>
      </c>
      <c r="Y14" s="98" t="s">
        <v>84</v>
      </c>
      <c r="Z14" s="98" t="s">
        <v>84</v>
      </c>
      <c r="AA14" s="98" t="s">
        <v>84</v>
      </c>
      <c r="AB14" s="98" t="s">
        <v>84</v>
      </c>
      <c r="AC14" s="98" t="s">
        <v>84</v>
      </c>
      <c r="AD14" s="98" t="s">
        <v>84</v>
      </c>
      <c r="AE14" s="98" t="s">
        <v>84</v>
      </c>
      <c r="AF14" s="98" t="s">
        <v>84</v>
      </c>
      <c r="AG14" s="98" t="s">
        <v>84</v>
      </c>
      <c r="AH14" s="98">
        <v>0</v>
      </c>
      <c r="AI14" s="98">
        <v>0</v>
      </c>
      <c r="AJ14" s="98">
        <f>AJ12</f>
        <v>0.75</v>
      </c>
      <c r="AK14" s="98">
        <f>AK12</f>
        <v>2.7E-2</v>
      </c>
      <c r="AL14" s="98">
        <f>AL12</f>
        <v>3</v>
      </c>
      <c r="AO14" s="100">
        <f>AK14*I14*0.1+AJ14</f>
        <v>0.88000500000000004</v>
      </c>
      <c r="AP14" s="100">
        <f t="shared" si="19"/>
        <v>8.8000500000000009E-2</v>
      </c>
      <c r="AQ14" s="55">
        <f t="shared" si="20"/>
        <v>0</v>
      </c>
      <c r="AR14" s="55">
        <f t="shared" si="21"/>
        <v>0.24200137500000002</v>
      </c>
      <c r="AS14" s="100">
        <f>1333*J12*POWER(10,-6)</f>
        <v>6.418394999999999E-2</v>
      </c>
      <c r="AT14" s="55">
        <f t="shared" si="17"/>
        <v>1.274190825</v>
      </c>
      <c r="AU14" s="101">
        <f t="shared" si="22"/>
        <v>0</v>
      </c>
      <c r="AV14" s="101">
        <f t="shared" si="23"/>
        <v>0</v>
      </c>
      <c r="AW14" s="101">
        <f>H14*AT14</f>
        <v>9.6838502699999991E-7</v>
      </c>
    </row>
    <row r="15" spans="1:49" s="98" customFormat="1" x14ac:dyDescent="0.3">
      <c r="A15" s="89" t="s">
        <v>92</v>
      </c>
      <c r="B15" s="89" t="str">
        <f>B12</f>
        <v>Отстойник ОГ - 50, per. № 14</v>
      </c>
      <c r="C15" s="33" t="s">
        <v>93</v>
      </c>
      <c r="D15" s="91" t="s">
        <v>94</v>
      </c>
      <c r="E15" s="92">
        <v>1.0000000000000001E-5</v>
      </c>
      <c r="F15" s="103">
        <f>F12</f>
        <v>1</v>
      </c>
      <c r="G15" s="89">
        <v>4.0000000000000008E-2</v>
      </c>
      <c r="H15" s="93">
        <f t="shared" si="18"/>
        <v>4.0000000000000009E-7</v>
      </c>
      <c r="I15" s="104">
        <f>0.15*I12</f>
        <v>7.2224999999999993</v>
      </c>
      <c r="J15" s="95">
        <f>I15</f>
        <v>7.2224999999999993</v>
      </c>
      <c r="K15" s="105" t="s">
        <v>95</v>
      </c>
      <c r="L15" s="106">
        <v>45390</v>
      </c>
      <c r="M15" s="98" t="str">
        <f t="shared" si="14"/>
        <v>С4</v>
      </c>
      <c r="N15" s="98" t="str">
        <f t="shared" si="15"/>
        <v>Отстойник ОГ - 50, per. № 14</v>
      </c>
      <c r="O15" s="98" t="str">
        <f t="shared" si="16"/>
        <v>Частичное факел</v>
      </c>
      <c r="P15" s="98" t="s">
        <v>84</v>
      </c>
      <c r="Q15" s="98" t="s">
        <v>84</v>
      </c>
      <c r="R15" s="98" t="s">
        <v>84</v>
      </c>
      <c r="S15" s="98" t="s">
        <v>84</v>
      </c>
      <c r="T15" s="98" t="s">
        <v>84</v>
      </c>
      <c r="U15" s="98" t="s">
        <v>84</v>
      </c>
      <c r="V15" s="98" t="s">
        <v>84</v>
      </c>
      <c r="W15" s="98" t="s">
        <v>84</v>
      </c>
      <c r="X15" s="98">
        <v>23</v>
      </c>
      <c r="Y15" s="98">
        <v>4</v>
      </c>
      <c r="Z15" s="98" t="s">
        <v>84</v>
      </c>
      <c r="AA15" s="98" t="s">
        <v>84</v>
      </c>
      <c r="AB15" s="98" t="s">
        <v>84</v>
      </c>
      <c r="AC15" s="98" t="s">
        <v>84</v>
      </c>
      <c r="AD15" s="98" t="s">
        <v>84</v>
      </c>
      <c r="AE15" s="98" t="s">
        <v>84</v>
      </c>
      <c r="AF15" s="98" t="s">
        <v>84</v>
      </c>
      <c r="AG15" s="98" t="s">
        <v>84</v>
      </c>
      <c r="AH15" s="98">
        <v>0</v>
      </c>
      <c r="AI15" s="98">
        <v>1</v>
      </c>
      <c r="AJ15" s="98">
        <f>0.1*$AJ$126</f>
        <v>7.5000000000000015E-3</v>
      </c>
      <c r="AK15" s="98">
        <f>AK13</f>
        <v>2.7E-2</v>
      </c>
      <c r="AL15" s="98">
        <f>AL12</f>
        <v>3</v>
      </c>
      <c r="AO15" s="100">
        <f>AK15*I15*0.1+AJ15</f>
        <v>2.7000749999999997E-2</v>
      </c>
      <c r="AP15" s="100">
        <f t="shared" si="19"/>
        <v>2.7000749999999997E-3</v>
      </c>
      <c r="AQ15" s="55">
        <f t="shared" si="20"/>
        <v>0.25</v>
      </c>
      <c r="AR15" s="55">
        <f t="shared" si="21"/>
        <v>6.9925206249999997E-2</v>
      </c>
      <c r="AS15" s="100">
        <f>10068.2*J15*POWER(10,-6)</f>
        <v>7.2717574499999993E-2</v>
      </c>
      <c r="AT15" s="55">
        <f t="shared" si="17"/>
        <v>0.42234360575000002</v>
      </c>
      <c r="AU15" s="101">
        <f t="shared" si="22"/>
        <v>0</v>
      </c>
      <c r="AV15" s="101">
        <f t="shared" si="23"/>
        <v>4.0000000000000009E-7</v>
      </c>
      <c r="AW15" s="101">
        <f t="shared" ref="AW15:AW19" si="25">H15*AT15</f>
        <v>1.6893744230000005E-7</v>
      </c>
    </row>
    <row r="16" spans="1:49" s="98" customFormat="1" x14ac:dyDescent="0.3">
      <c r="A16" s="89" t="s">
        <v>96</v>
      </c>
      <c r="B16" s="89" t="str">
        <f>B12</f>
        <v>Отстойник ОГ - 50, per. № 14</v>
      </c>
      <c r="C16" s="33" t="s">
        <v>164</v>
      </c>
      <c r="D16" s="91" t="s">
        <v>97</v>
      </c>
      <c r="E16" s="102">
        <f>E15</f>
        <v>1.0000000000000001E-5</v>
      </c>
      <c r="F16" s="103">
        <f>F12</f>
        <v>1</v>
      </c>
      <c r="G16" s="89">
        <v>0.16000000000000003</v>
      </c>
      <c r="H16" s="93">
        <f t="shared" si="18"/>
        <v>1.6000000000000004E-6</v>
      </c>
      <c r="I16" s="104">
        <f>0.15*I12</f>
        <v>7.2224999999999993</v>
      </c>
      <c r="J16" s="95">
        <v>0</v>
      </c>
      <c r="K16" s="105" t="s">
        <v>98</v>
      </c>
      <c r="L16" s="106">
        <v>3</v>
      </c>
      <c r="M16" s="98" t="str">
        <f t="shared" si="14"/>
        <v>С5</v>
      </c>
      <c r="N16" s="98" t="str">
        <f t="shared" si="15"/>
        <v>Отстойник ОГ - 50, per. № 14</v>
      </c>
      <c r="O16" s="98" t="str">
        <f t="shared" si="16"/>
        <v>Частичное-ликвидация</v>
      </c>
      <c r="P16" s="98" t="s">
        <v>84</v>
      </c>
      <c r="Q16" s="98" t="s">
        <v>84</v>
      </c>
      <c r="R16" s="98" t="s">
        <v>84</v>
      </c>
      <c r="S16" s="98" t="s">
        <v>84</v>
      </c>
      <c r="T16" s="98" t="s">
        <v>84</v>
      </c>
      <c r="U16" s="98" t="s">
        <v>84</v>
      </c>
      <c r="V16" s="98" t="s">
        <v>84</v>
      </c>
      <c r="W16" s="98" t="s">
        <v>84</v>
      </c>
      <c r="X16" s="98" t="s">
        <v>84</v>
      </c>
      <c r="Y16" s="98" t="s">
        <v>84</v>
      </c>
      <c r="Z16" s="98" t="s">
        <v>84</v>
      </c>
      <c r="AA16" s="98" t="s">
        <v>84</v>
      </c>
      <c r="AB16" s="98" t="s">
        <v>84</v>
      </c>
      <c r="AC16" s="98" t="s">
        <v>84</v>
      </c>
      <c r="AD16" s="98" t="s">
        <v>84</v>
      </c>
      <c r="AE16" s="98" t="s">
        <v>84</v>
      </c>
      <c r="AF16" s="98" t="s">
        <v>84</v>
      </c>
      <c r="AG16" s="98" t="s">
        <v>84</v>
      </c>
      <c r="AH16" s="98">
        <v>0</v>
      </c>
      <c r="AI16" s="98">
        <v>1</v>
      </c>
      <c r="AJ16" s="98">
        <f>0.1*$AJ$126</f>
        <v>7.5000000000000015E-3</v>
      </c>
      <c r="AK16" s="98">
        <f>AK12</f>
        <v>2.7E-2</v>
      </c>
      <c r="AL16" s="98">
        <f>ROUNDUP(AL12/3,0)</f>
        <v>1</v>
      </c>
      <c r="AO16" s="100">
        <f>AK16*I16+AJ16</f>
        <v>0.20250749999999998</v>
      </c>
      <c r="AP16" s="100">
        <f t="shared" si="19"/>
        <v>2.0250749999999998E-2</v>
      </c>
      <c r="AQ16" s="55">
        <f t="shared" si="20"/>
        <v>0.25</v>
      </c>
      <c r="AR16" s="55">
        <f t="shared" si="21"/>
        <v>0.1181895625</v>
      </c>
      <c r="AS16" s="100">
        <f>1333*J13*POWER(10,-6)*10</f>
        <v>7.4647999999999989E-4</v>
      </c>
      <c r="AT16" s="55">
        <f t="shared" si="17"/>
        <v>0.59169429249999994</v>
      </c>
      <c r="AU16" s="101">
        <f t="shared" si="22"/>
        <v>0</v>
      </c>
      <c r="AV16" s="101">
        <f t="shared" si="23"/>
        <v>1.6000000000000004E-6</v>
      </c>
      <c r="AW16" s="101">
        <f t="shared" si="25"/>
        <v>9.4671086800000012E-7</v>
      </c>
    </row>
    <row r="17" spans="1:49" s="98" customFormat="1" x14ac:dyDescent="0.3">
      <c r="A17" s="89" t="s">
        <v>99</v>
      </c>
      <c r="B17" s="89" t="str">
        <f>B12</f>
        <v>Отстойник ОГ - 50, per. № 14</v>
      </c>
      <c r="C17" s="33" t="s">
        <v>100</v>
      </c>
      <c r="D17" s="91" t="s">
        <v>94</v>
      </c>
      <c r="E17" s="102">
        <f>E16</f>
        <v>1.0000000000000001E-5</v>
      </c>
      <c r="F17" s="103">
        <v>1</v>
      </c>
      <c r="G17" s="89">
        <v>4.0000000000000008E-2</v>
      </c>
      <c r="H17" s="93">
        <f t="shared" si="18"/>
        <v>4.0000000000000009E-7</v>
      </c>
      <c r="I17" s="104">
        <f>I15*0.15</f>
        <v>1.0833749999999998</v>
      </c>
      <c r="J17" s="95">
        <f>I17</f>
        <v>1.0833749999999998</v>
      </c>
      <c r="K17" s="108" t="s">
        <v>101</v>
      </c>
      <c r="L17" s="109">
        <v>12</v>
      </c>
      <c r="M17" s="98" t="str">
        <f t="shared" si="14"/>
        <v>С6</v>
      </c>
      <c r="N17" s="98" t="str">
        <f t="shared" si="15"/>
        <v>Отстойник ОГ - 50, per. № 14</v>
      </c>
      <c r="O17" s="98" t="str">
        <f t="shared" si="16"/>
        <v>Частичное факел</v>
      </c>
      <c r="P17" s="98" t="s">
        <v>84</v>
      </c>
      <c r="Q17" s="98" t="s">
        <v>84</v>
      </c>
      <c r="R17" s="98" t="s">
        <v>84</v>
      </c>
      <c r="S17" s="98" t="s">
        <v>84</v>
      </c>
      <c r="T17" s="98" t="s">
        <v>84</v>
      </c>
      <c r="U17" s="98" t="s">
        <v>84</v>
      </c>
      <c r="V17" s="98" t="s">
        <v>84</v>
      </c>
      <c r="W17" s="98" t="s">
        <v>84</v>
      </c>
      <c r="X17" s="98">
        <v>8</v>
      </c>
      <c r="Y17" s="98">
        <v>2</v>
      </c>
      <c r="Z17" s="98" t="s">
        <v>84</v>
      </c>
      <c r="AA17" s="98" t="s">
        <v>84</v>
      </c>
      <c r="AB17" s="98" t="s">
        <v>84</v>
      </c>
      <c r="AC17" s="98" t="s">
        <v>84</v>
      </c>
      <c r="AD17" s="98" t="s">
        <v>84</v>
      </c>
      <c r="AE17" s="98" t="s">
        <v>84</v>
      </c>
      <c r="AF17" s="98" t="s">
        <v>84</v>
      </c>
      <c r="AG17" s="98" t="s">
        <v>84</v>
      </c>
      <c r="AH17" s="98">
        <v>0</v>
      </c>
      <c r="AI17" s="98">
        <v>1</v>
      </c>
      <c r="AJ17" s="98">
        <f>0.1*$AJ$126</f>
        <v>7.5000000000000015E-3</v>
      </c>
      <c r="AK17" s="98">
        <f>AK12</f>
        <v>2.7E-2</v>
      </c>
      <c r="AL17" s="98">
        <f>AL16</f>
        <v>1</v>
      </c>
      <c r="AO17" s="100">
        <f t="shared" ref="AO17:AO18" si="26">AK17*I17+AJ17</f>
        <v>3.6751124999999996E-2</v>
      </c>
      <c r="AP17" s="100">
        <f t="shared" si="19"/>
        <v>3.6751124999999996E-3</v>
      </c>
      <c r="AQ17" s="55">
        <f t="shared" si="20"/>
        <v>0.25</v>
      </c>
      <c r="AR17" s="55">
        <f t="shared" si="21"/>
        <v>7.2606559375000004E-2</v>
      </c>
      <c r="AS17" s="100">
        <f>10068.2*J17*POWER(10,-6)</f>
        <v>1.0907636174999997E-2</v>
      </c>
      <c r="AT17" s="55">
        <f t="shared" si="17"/>
        <v>0.37394043305000002</v>
      </c>
      <c r="AU17" s="101">
        <f t="shared" si="22"/>
        <v>0</v>
      </c>
      <c r="AV17" s="101">
        <f t="shared" si="23"/>
        <v>4.0000000000000009E-7</v>
      </c>
      <c r="AW17" s="101">
        <f t="shared" si="25"/>
        <v>1.4957617322000003E-7</v>
      </c>
    </row>
    <row r="18" spans="1:49" s="98" customFormat="1" x14ac:dyDescent="0.3">
      <c r="A18" s="89" t="s">
        <v>102</v>
      </c>
      <c r="B18" s="89" t="str">
        <f>B12</f>
        <v>Отстойник ОГ - 50, per. № 14</v>
      </c>
      <c r="C18" s="33" t="s">
        <v>103</v>
      </c>
      <c r="D18" s="91" t="s">
        <v>104</v>
      </c>
      <c r="E18" s="102">
        <f>E16</f>
        <v>1.0000000000000001E-5</v>
      </c>
      <c r="F18" s="103">
        <f>F12</f>
        <v>1</v>
      </c>
      <c r="G18" s="89">
        <v>0.15200000000000002</v>
      </c>
      <c r="H18" s="93">
        <f t="shared" si="18"/>
        <v>1.5200000000000003E-6</v>
      </c>
      <c r="I18" s="104">
        <f>I15*0.15</f>
        <v>1.0833749999999998</v>
      </c>
      <c r="J18" s="95">
        <f>I18</f>
        <v>1.0833749999999998</v>
      </c>
      <c r="K18" s="105"/>
      <c r="L18" s="106"/>
      <c r="M18" s="98" t="str">
        <f t="shared" si="14"/>
        <v>С7</v>
      </c>
      <c r="N18" s="98" t="str">
        <f t="shared" si="15"/>
        <v>Отстойник ОГ - 50, per. № 14</v>
      </c>
      <c r="O18" s="98" t="str">
        <f t="shared" si="16"/>
        <v>Частичное-пожар-вспышка</v>
      </c>
      <c r="P18" s="98" t="s">
        <v>84</v>
      </c>
      <c r="Q18" s="98" t="s">
        <v>84</v>
      </c>
      <c r="R18" s="98" t="s">
        <v>84</v>
      </c>
      <c r="S18" s="98" t="s">
        <v>84</v>
      </c>
      <c r="T18" s="98" t="s">
        <v>84</v>
      </c>
      <c r="U18" s="98" t="s">
        <v>84</v>
      </c>
      <c r="V18" s="98" t="s">
        <v>84</v>
      </c>
      <c r="W18" s="98" t="s">
        <v>84</v>
      </c>
      <c r="X18" s="98" t="s">
        <v>84</v>
      </c>
      <c r="Y18" s="98" t="s">
        <v>84</v>
      </c>
      <c r="Z18" s="98">
        <v>34.42</v>
      </c>
      <c r="AA18" s="98">
        <v>41.3</v>
      </c>
      <c r="AB18" s="98" t="s">
        <v>84</v>
      </c>
      <c r="AC18" s="98" t="s">
        <v>84</v>
      </c>
      <c r="AD18" s="98" t="s">
        <v>84</v>
      </c>
      <c r="AE18" s="98" t="s">
        <v>84</v>
      </c>
      <c r="AF18" s="98" t="s">
        <v>84</v>
      </c>
      <c r="AG18" s="98" t="s">
        <v>84</v>
      </c>
      <c r="AH18" s="98">
        <v>0</v>
      </c>
      <c r="AI18" s="98">
        <v>1</v>
      </c>
      <c r="AJ18" s="98">
        <f>0.1*$AJ$126</f>
        <v>7.5000000000000015E-3</v>
      </c>
      <c r="AK18" s="98">
        <f>AK12</f>
        <v>2.7E-2</v>
      </c>
      <c r="AL18" s="98">
        <f>ROUNDUP(AL12/3,0)</f>
        <v>1</v>
      </c>
      <c r="AO18" s="100">
        <f t="shared" si="26"/>
        <v>3.6751124999999996E-2</v>
      </c>
      <c r="AP18" s="100">
        <f t="shared" si="19"/>
        <v>3.6751124999999996E-3</v>
      </c>
      <c r="AQ18" s="55">
        <f t="shared" si="20"/>
        <v>0.25</v>
      </c>
      <c r="AR18" s="55">
        <f t="shared" si="21"/>
        <v>7.2606559375000004E-2</v>
      </c>
      <c r="AS18" s="100">
        <f>10068.2*J18*POWER(10,-6)</f>
        <v>1.0907636174999997E-2</v>
      </c>
      <c r="AT18" s="55">
        <f t="shared" si="17"/>
        <v>0.37394043305000002</v>
      </c>
      <c r="AU18" s="101">
        <f t="shared" si="22"/>
        <v>0</v>
      </c>
      <c r="AV18" s="101">
        <f t="shared" si="23"/>
        <v>1.5200000000000003E-6</v>
      </c>
      <c r="AW18" s="101">
        <f t="shared" si="25"/>
        <v>5.6838945823600012E-7</v>
      </c>
    </row>
    <row r="19" spans="1:49" s="98" customFormat="1" ht="17.25" thickBot="1" x14ac:dyDescent="0.35">
      <c r="A19" s="89" t="s">
        <v>105</v>
      </c>
      <c r="B19" s="89" t="str">
        <f>B12</f>
        <v>Отстойник ОГ - 50, per. № 14</v>
      </c>
      <c r="C19" s="33" t="s">
        <v>106</v>
      </c>
      <c r="D19" s="91" t="s">
        <v>97</v>
      </c>
      <c r="E19" s="102">
        <f>E16</f>
        <v>1.0000000000000001E-5</v>
      </c>
      <c r="F19" s="103">
        <f>F12</f>
        <v>1</v>
      </c>
      <c r="G19" s="89">
        <v>0.6080000000000001</v>
      </c>
      <c r="H19" s="93">
        <f t="shared" si="18"/>
        <v>6.0800000000000011E-6</v>
      </c>
      <c r="I19" s="104">
        <f>I15*0.15</f>
        <v>1.0833749999999998</v>
      </c>
      <c r="J19" s="107">
        <v>0</v>
      </c>
      <c r="K19" s="110"/>
      <c r="L19" s="111"/>
      <c r="M19" s="98" t="str">
        <f t="shared" si="14"/>
        <v>С8</v>
      </c>
      <c r="N19" s="98" t="str">
        <f t="shared" si="15"/>
        <v>Отстойник ОГ - 50, per. № 14</v>
      </c>
      <c r="O19" s="98" t="str">
        <f t="shared" si="16"/>
        <v>Частичное-ликвидация</v>
      </c>
      <c r="P19" s="98" t="s">
        <v>84</v>
      </c>
      <c r="Q19" s="98" t="s">
        <v>84</v>
      </c>
      <c r="R19" s="98" t="s">
        <v>84</v>
      </c>
      <c r="S19" s="98" t="s">
        <v>84</v>
      </c>
      <c r="T19" s="98" t="s">
        <v>84</v>
      </c>
      <c r="U19" s="98" t="s">
        <v>84</v>
      </c>
      <c r="V19" s="98" t="s">
        <v>84</v>
      </c>
      <c r="W19" s="98" t="s">
        <v>84</v>
      </c>
      <c r="X19" s="98" t="s">
        <v>84</v>
      </c>
      <c r="Y19" s="98" t="s">
        <v>84</v>
      </c>
      <c r="Z19" s="98" t="s">
        <v>84</v>
      </c>
      <c r="AA19" s="98" t="s">
        <v>84</v>
      </c>
      <c r="AB19" s="98" t="s">
        <v>84</v>
      </c>
      <c r="AC19" s="98" t="s">
        <v>84</v>
      </c>
      <c r="AD19" s="98" t="s">
        <v>84</v>
      </c>
      <c r="AE19" s="98" t="s">
        <v>84</v>
      </c>
      <c r="AF19" s="98" t="s">
        <v>84</v>
      </c>
      <c r="AG19" s="98" t="s">
        <v>84</v>
      </c>
      <c r="AH19" s="98">
        <v>0</v>
      </c>
      <c r="AI19" s="98">
        <v>0</v>
      </c>
      <c r="AJ19" s="98">
        <f>0.1*$AJ$126</f>
        <v>7.5000000000000015E-3</v>
      </c>
      <c r="AK19" s="98">
        <f>AK12</f>
        <v>2.7E-2</v>
      </c>
      <c r="AL19" s="98">
        <f>ROUNDUP(AL12/3,0)</f>
        <v>1</v>
      </c>
      <c r="AO19" s="100">
        <f>AK19*I19*0.1+AJ19</f>
        <v>1.04251125E-2</v>
      </c>
      <c r="AP19" s="100">
        <f t="shared" si="19"/>
        <v>1.04251125E-3</v>
      </c>
      <c r="AQ19" s="55">
        <f t="shared" si="20"/>
        <v>0</v>
      </c>
      <c r="AR19" s="55">
        <f t="shared" si="21"/>
        <v>2.8669059374999998E-3</v>
      </c>
      <c r="AS19" s="100">
        <f>1333*J17*POWER(10,-6)</f>
        <v>1.4441388749999995E-3</v>
      </c>
      <c r="AT19" s="55">
        <f t="shared" si="17"/>
        <v>1.5778668562500001E-2</v>
      </c>
      <c r="AU19" s="101">
        <f t="shared" si="22"/>
        <v>0</v>
      </c>
      <c r="AV19" s="101">
        <f t="shared" si="23"/>
        <v>0</v>
      </c>
      <c r="AW19" s="101">
        <f t="shared" si="25"/>
        <v>9.5934304860000024E-8</v>
      </c>
    </row>
    <row r="20" spans="1:49" s="98" customFormat="1" x14ac:dyDescent="0.3">
      <c r="A20" s="89" t="s">
        <v>160</v>
      </c>
      <c r="B20" s="89" t="str">
        <f>B12</f>
        <v>Отстойник ОГ - 50, per. № 14</v>
      </c>
      <c r="C20" s="89" t="s">
        <v>161</v>
      </c>
      <c r="D20" s="89" t="s">
        <v>162</v>
      </c>
      <c r="E20" s="92">
        <v>2.5000000000000001E-5</v>
      </c>
      <c r="F20" s="89">
        <v>1</v>
      </c>
      <c r="G20" s="89">
        <v>1</v>
      </c>
      <c r="H20" s="93">
        <f t="shared" si="18"/>
        <v>2.5000000000000001E-5</v>
      </c>
      <c r="I20" s="104">
        <f>I12</f>
        <v>48.15</v>
      </c>
      <c r="J20" s="104">
        <f>J12*0.05</f>
        <v>2.4075000000000002</v>
      </c>
      <c r="K20" s="89"/>
      <c r="L20" s="89"/>
      <c r="M20" s="98" t="str">
        <f t="shared" si="14"/>
        <v>С9</v>
      </c>
      <c r="P20" s="98" t="s">
        <v>84</v>
      </c>
      <c r="Q20" s="98" t="s">
        <v>84</v>
      </c>
      <c r="R20" s="98" t="s">
        <v>84</v>
      </c>
      <c r="S20" s="98" t="s">
        <v>84</v>
      </c>
      <c r="T20" s="98" t="s">
        <v>84</v>
      </c>
      <c r="U20" s="98" t="s">
        <v>84</v>
      </c>
      <c r="V20" s="98" t="s">
        <v>84</v>
      </c>
      <c r="W20" s="98" t="s">
        <v>84</v>
      </c>
      <c r="X20" s="98" t="s">
        <v>84</v>
      </c>
      <c r="Y20" s="98" t="s">
        <v>84</v>
      </c>
      <c r="Z20" s="98" t="s">
        <v>84</v>
      </c>
      <c r="AA20" s="98" t="s">
        <v>84</v>
      </c>
      <c r="AB20" s="98" t="s">
        <v>84</v>
      </c>
      <c r="AC20" s="98" t="s">
        <v>84</v>
      </c>
      <c r="AD20" s="98">
        <v>34.5</v>
      </c>
      <c r="AE20" s="98">
        <v>64</v>
      </c>
      <c r="AF20" s="98">
        <v>80.5</v>
      </c>
      <c r="AG20" s="98">
        <v>109</v>
      </c>
      <c r="AH20" s="98">
        <v>1</v>
      </c>
      <c r="AI20" s="98">
        <v>2</v>
      </c>
      <c r="AJ20" s="98">
        <f>AJ12</f>
        <v>0.75</v>
      </c>
      <c r="AK20" s="98">
        <f>AK12</f>
        <v>2.7E-2</v>
      </c>
      <c r="AL20" s="98">
        <v>5</v>
      </c>
      <c r="AO20" s="100">
        <f>AK20*I20+AJ20</f>
        <v>2.0500499999999997</v>
      </c>
      <c r="AP20" s="100">
        <f>0.1*AO20</f>
        <v>0.20500499999999999</v>
      </c>
      <c r="AQ20" s="55">
        <f>AH20*3+0.25*AI20</f>
        <v>3.5</v>
      </c>
      <c r="AR20" s="55">
        <f>SUM(AO20:AQ20)/4</f>
        <v>1.4387637499999999</v>
      </c>
      <c r="AS20" s="100">
        <f>10068.2*J20*POWER(10,-6)</f>
        <v>2.4239191500000003E-2</v>
      </c>
      <c r="AT20" s="55">
        <f t="shared" si="17"/>
        <v>7.2180579414999997</v>
      </c>
      <c r="AU20" s="101">
        <f>AH20*H20</f>
        <v>2.5000000000000001E-5</v>
      </c>
      <c r="AV20" s="101">
        <f>H20*AI20</f>
        <v>5.0000000000000002E-5</v>
      </c>
      <c r="AW20" s="101">
        <f>H20*AT20</f>
        <v>1.8045144853750001E-4</v>
      </c>
    </row>
    <row r="21" spans="1:49" ht="17.25" thickBot="1" x14ac:dyDescent="0.35">
      <c r="A21" s="47"/>
      <c r="B21" s="47"/>
      <c r="C21" s="47"/>
      <c r="D21" s="48"/>
      <c r="E21" s="48"/>
      <c r="F21" s="48"/>
      <c r="G21" s="48"/>
      <c r="H21" s="48"/>
      <c r="I21" s="48"/>
      <c r="J21" s="48"/>
      <c r="K21" s="48"/>
      <c r="M21" s="42"/>
      <c r="N21" s="42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47"/>
      <c r="AC21" s="47"/>
      <c r="AD21" s="87"/>
      <c r="AE21" s="87"/>
      <c r="AF21" s="87"/>
      <c r="AG21" s="87"/>
      <c r="AH21" s="48"/>
      <c r="AI21" s="48"/>
      <c r="AJ21" s="88"/>
      <c r="AK21" s="61"/>
      <c r="AL21" s="61"/>
      <c r="AO21" s="48"/>
      <c r="AP21" s="48"/>
      <c r="AQ21" s="48"/>
      <c r="AR21" s="48"/>
      <c r="AS21" s="48"/>
      <c r="AT21" s="48"/>
      <c r="AU21" s="48"/>
      <c r="AV21" s="48"/>
      <c r="AW21" s="48"/>
    </row>
    <row r="22" spans="1:49" s="98" customFormat="1" ht="18" customHeight="1" x14ac:dyDescent="0.3">
      <c r="A22" s="89" t="s">
        <v>80</v>
      </c>
      <c r="B22" s="90" t="s">
        <v>64</v>
      </c>
      <c r="C22" s="33" t="s">
        <v>81</v>
      </c>
      <c r="D22" s="91" t="s">
        <v>82</v>
      </c>
      <c r="E22" s="92">
        <v>9.9999999999999995E-7</v>
      </c>
      <c r="F22" s="90">
        <v>1</v>
      </c>
      <c r="G22" s="89">
        <v>0.05</v>
      </c>
      <c r="H22" s="93">
        <f>E22*F22*G22</f>
        <v>4.9999999999999998E-8</v>
      </c>
      <c r="I22" s="94">
        <v>96.3</v>
      </c>
      <c r="J22" s="95">
        <f>I22</f>
        <v>96.3</v>
      </c>
      <c r="K22" s="96" t="s">
        <v>83</v>
      </c>
      <c r="L22" s="97">
        <v>1000</v>
      </c>
      <c r="M22" s="98" t="str">
        <f t="shared" ref="M22:M30" si="27">A22</f>
        <v>С1</v>
      </c>
      <c r="N22" s="98" t="str">
        <f t="shared" ref="N22:N29" si="28">B22</f>
        <v>Отстойник 1 - 100 -1,0 -2 -Т-И, рег.№15</v>
      </c>
      <c r="O22" s="98" t="str">
        <f t="shared" ref="O22:O29" si="29">D22</f>
        <v>Полное-пожар</v>
      </c>
      <c r="P22" s="98">
        <v>22.6</v>
      </c>
      <c r="Q22" s="98">
        <v>31.4</v>
      </c>
      <c r="R22" s="98">
        <v>45.2</v>
      </c>
      <c r="S22" s="98">
        <v>84.6</v>
      </c>
      <c r="T22" s="98" t="s">
        <v>84</v>
      </c>
      <c r="U22" s="98" t="s">
        <v>84</v>
      </c>
      <c r="V22" s="98" t="s">
        <v>84</v>
      </c>
      <c r="W22" s="98" t="s">
        <v>84</v>
      </c>
      <c r="X22" s="98" t="s">
        <v>84</v>
      </c>
      <c r="Y22" s="98" t="s">
        <v>84</v>
      </c>
      <c r="Z22" s="98" t="s">
        <v>84</v>
      </c>
      <c r="AA22" s="98" t="s">
        <v>84</v>
      </c>
      <c r="AB22" s="98" t="s">
        <v>84</v>
      </c>
      <c r="AC22" s="98" t="s">
        <v>84</v>
      </c>
      <c r="AD22" s="98" t="s">
        <v>84</v>
      </c>
      <c r="AE22" s="98" t="s">
        <v>84</v>
      </c>
      <c r="AF22" s="98" t="s">
        <v>84</v>
      </c>
      <c r="AG22" s="98" t="s">
        <v>84</v>
      </c>
      <c r="AH22" s="54">
        <v>1</v>
      </c>
      <c r="AI22" s="54">
        <v>2</v>
      </c>
      <c r="AJ22" s="99">
        <v>0.75</v>
      </c>
      <c r="AK22" s="99">
        <v>2.7E-2</v>
      </c>
      <c r="AL22" s="99">
        <v>3</v>
      </c>
      <c r="AO22" s="100">
        <f>AK22*I22+AJ22</f>
        <v>3.3500999999999999</v>
      </c>
      <c r="AP22" s="100">
        <f>0.1*AO22</f>
        <v>0.33501000000000003</v>
      </c>
      <c r="AQ22" s="55">
        <f>AH22*3+0.25*AI22</f>
        <v>3.5</v>
      </c>
      <c r="AR22" s="55">
        <f>SUM(AO22:AQ22)/4</f>
        <v>1.7962775</v>
      </c>
      <c r="AS22" s="100">
        <f>10068.2*J22*POWER(10,-6)</f>
        <v>0.96956765999999994</v>
      </c>
      <c r="AT22" s="55">
        <f t="shared" ref="AT22:AT30" si="30">AS22+AR22+AQ22+AP22+AO22</f>
        <v>9.9509551599999995</v>
      </c>
      <c r="AU22" s="101">
        <f>AH22*H22</f>
        <v>4.9999999999999998E-8</v>
      </c>
      <c r="AV22" s="101">
        <f>H22*AI22</f>
        <v>9.9999999999999995E-8</v>
      </c>
      <c r="AW22" s="101">
        <f>H22*AT22</f>
        <v>4.9754775799999992E-7</v>
      </c>
    </row>
    <row r="23" spans="1:49" s="98" customFormat="1" x14ac:dyDescent="0.3">
      <c r="A23" s="89" t="s">
        <v>85</v>
      </c>
      <c r="B23" s="89" t="str">
        <f>B22</f>
        <v>Отстойник 1 - 100 -1,0 -2 -Т-И, рег.№15</v>
      </c>
      <c r="C23" s="33" t="s">
        <v>86</v>
      </c>
      <c r="D23" s="91" t="s">
        <v>87</v>
      </c>
      <c r="E23" s="102">
        <f>E22</f>
        <v>9.9999999999999995E-7</v>
      </c>
      <c r="F23" s="103">
        <f>F22</f>
        <v>1</v>
      </c>
      <c r="G23" s="89">
        <v>0.19</v>
      </c>
      <c r="H23" s="93">
        <f t="shared" ref="H23:H30" si="31">E23*F23*G23</f>
        <v>1.8999999999999998E-7</v>
      </c>
      <c r="I23" s="104">
        <f>I22</f>
        <v>96.3</v>
      </c>
      <c r="J23" s="112">
        <v>6.2E-2</v>
      </c>
      <c r="K23" s="105" t="s">
        <v>88</v>
      </c>
      <c r="L23" s="106">
        <v>2</v>
      </c>
      <c r="M23" s="98" t="str">
        <f t="shared" si="27"/>
        <v>С2</v>
      </c>
      <c r="N23" s="98" t="str">
        <f t="shared" si="28"/>
        <v>Отстойник 1 - 100 -1,0 -2 -Т-И, рег.№15</v>
      </c>
      <c r="O23" s="98" t="str">
        <f t="shared" si="29"/>
        <v>Полное-взрыв</v>
      </c>
      <c r="P23" s="98" t="s">
        <v>84</v>
      </c>
      <c r="Q23" s="98" t="s">
        <v>84</v>
      </c>
      <c r="R23" s="98" t="s">
        <v>84</v>
      </c>
      <c r="S23" s="98" t="s">
        <v>84</v>
      </c>
      <c r="T23" s="98">
        <v>12.6</v>
      </c>
      <c r="U23" s="98">
        <v>29.1</v>
      </c>
      <c r="V23" s="98">
        <v>79.599999999999994</v>
      </c>
      <c r="W23" s="98">
        <v>136.1</v>
      </c>
      <c r="X23" s="98" t="s">
        <v>84</v>
      </c>
      <c r="Y23" s="98" t="s">
        <v>84</v>
      </c>
      <c r="Z23" s="98" t="s">
        <v>84</v>
      </c>
      <c r="AA23" s="98" t="s">
        <v>84</v>
      </c>
      <c r="AB23" s="98" t="s">
        <v>84</v>
      </c>
      <c r="AC23" s="98" t="s">
        <v>84</v>
      </c>
      <c r="AD23" s="98" t="s">
        <v>84</v>
      </c>
      <c r="AE23" s="98" t="s">
        <v>84</v>
      </c>
      <c r="AF23" s="98" t="s">
        <v>84</v>
      </c>
      <c r="AG23" s="98" t="s">
        <v>84</v>
      </c>
      <c r="AH23" s="54">
        <v>3</v>
      </c>
      <c r="AI23" s="54">
        <v>2</v>
      </c>
      <c r="AJ23" s="98">
        <f>AJ22</f>
        <v>0.75</v>
      </c>
      <c r="AK23" s="98">
        <f>AK22</f>
        <v>2.7E-2</v>
      </c>
      <c r="AL23" s="98">
        <f>AL22</f>
        <v>3</v>
      </c>
      <c r="AO23" s="100">
        <f>AK23*I23+AJ23</f>
        <v>3.3500999999999999</v>
      </c>
      <c r="AP23" s="100">
        <f t="shared" ref="AP23:AP29" si="32">0.1*AO23</f>
        <v>0.33501000000000003</v>
      </c>
      <c r="AQ23" s="55">
        <f t="shared" ref="AQ23:AQ29" si="33">AH23*3+0.25*AI23</f>
        <v>9.5</v>
      </c>
      <c r="AR23" s="55">
        <f t="shared" ref="AR23:AR29" si="34">SUM(AO23:AQ23)/4</f>
        <v>3.2962775</v>
      </c>
      <c r="AS23" s="100">
        <f>10068.2*J23*POWER(10,-6)*10</f>
        <v>6.2422840000000007E-3</v>
      </c>
      <c r="AT23" s="55">
        <f t="shared" si="30"/>
        <v>16.487629783999999</v>
      </c>
      <c r="AU23" s="101">
        <f t="shared" ref="AU23:AU29" si="35">AH23*H23</f>
        <v>5.6999999999999994E-7</v>
      </c>
      <c r="AV23" s="101">
        <f t="shared" ref="AV23:AV29" si="36">H23*AI23</f>
        <v>3.7999999999999996E-7</v>
      </c>
      <c r="AW23" s="101">
        <f t="shared" ref="AW23" si="37">H23*AT23</f>
        <v>3.1326496589599994E-6</v>
      </c>
    </row>
    <row r="24" spans="1:49" s="98" customFormat="1" x14ac:dyDescent="0.3">
      <c r="A24" s="89" t="s">
        <v>89</v>
      </c>
      <c r="B24" s="89" t="str">
        <f>B22</f>
        <v>Отстойник 1 - 100 -1,0 -2 -Т-И, рег.№15</v>
      </c>
      <c r="C24" s="33" t="s">
        <v>163</v>
      </c>
      <c r="D24" s="91" t="s">
        <v>90</v>
      </c>
      <c r="E24" s="102">
        <f>E22</f>
        <v>9.9999999999999995E-7</v>
      </c>
      <c r="F24" s="103">
        <f>F22</f>
        <v>1</v>
      </c>
      <c r="G24" s="89">
        <v>0.76</v>
      </c>
      <c r="H24" s="93">
        <f t="shared" si="31"/>
        <v>7.5999999999999992E-7</v>
      </c>
      <c r="I24" s="104">
        <f>I22</f>
        <v>96.3</v>
      </c>
      <c r="J24" s="107">
        <v>0</v>
      </c>
      <c r="K24" s="105" t="s">
        <v>91</v>
      </c>
      <c r="L24" s="106">
        <v>0.35</v>
      </c>
      <c r="M24" s="98" t="str">
        <f t="shared" si="27"/>
        <v>С3</v>
      </c>
      <c r="N24" s="98" t="str">
        <f t="shared" si="28"/>
        <v>Отстойник 1 - 100 -1,0 -2 -Т-И, рег.№15</v>
      </c>
      <c r="O24" s="98" t="str">
        <f t="shared" si="29"/>
        <v>Полное-ликвидация</v>
      </c>
      <c r="P24" s="98" t="s">
        <v>84</v>
      </c>
      <c r="Q24" s="98" t="s">
        <v>84</v>
      </c>
      <c r="R24" s="98" t="s">
        <v>84</v>
      </c>
      <c r="S24" s="98" t="s">
        <v>84</v>
      </c>
      <c r="T24" s="98" t="s">
        <v>84</v>
      </c>
      <c r="U24" s="98" t="s">
        <v>84</v>
      </c>
      <c r="V24" s="98" t="s">
        <v>84</v>
      </c>
      <c r="W24" s="98" t="s">
        <v>84</v>
      </c>
      <c r="X24" s="98" t="s">
        <v>84</v>
      </c>
      <c r="Y24" s="98" t="s">
        <v>84</v>
      </c>
      <c r="Z24" s="98" t="s">
        <v>84</v>
      </c>
      <c r="AA24" s="98" t="s">
        <v>84</v>
      </c>
      <c r="AB24" s="98" t="s">
        <v>84</v>
      </c>
      <c r="AC24" s="98" t="s">
        <v>84</v>
      </c>
      <c r="AD24" s="98" t="s">
        <v>84</v>
      </c>
      <c r="AE24" s="98" t="s">
        <v>84</v>
      </c>
      <c r="AF24" s="98" t="s">
        <v>84</v>
      </c>
      <c r="AG24" s="98" t="s">
        <v>84</v>
      </c>
      <c r="AH24" s="98">
        <v>0</v>
      </c>
      <c r="AI24" s="98">
        <v>0</v>
      </c>
      <c r="AJ24" s="98">
        <f>AJ22</f>
        <v>0.75</v>
      </c>
      <c r="AK24" s="98">
        <f>AK22</f>
        <v>2.7E-2</v>
      </c>
      <c r="AL24" s="98">
        <f>AL22</f>
        <v>3</v>
      </c>
      <c r="AO24" s="100">
        <f>AK24*I24*0.1+AJ24</f>
        <v>1.0100100000000001</v>
      </c>
      <c r="AP24" s="100">
        <f t="shared" si="32"/>
        <v>0.10100100000000001</v>
      </c>
      <c r="AQ24" s="55">
        <f t="shared" si="33"/>
        <v>0</v>
      </c>
      <c r="AR24" s="55">
        <f t="shared" si="34"/>
        <v>0.27775274999999999</v>
      </c>
      <c r="AS24" s="100">
        <f>1333*J22*POWER(10,-6)</f>
        <v>0.12836789999999998</v>
      </c>
      <c r="AT24" s="55">
        <f t="shared" si="30"/>
        <v>1.5171316500000001</v>
      </c>
      <c r="AU24" s="101">
        <f t="shared" si="35"/>
        <v>0</v>
      </c>
      <c r="AV24" s="101">
        <f t="shared" si="36"/>
        <v>0</v>
      </c>
      <c r="AW24" s="101">
        <f>H24*AT24</f>
        <v>1.1530200539999999E-6</v>
      </c>
    </row>
    <row r="25" spans="1:49" s="98" customFormat="1" x14ac:dyDescent="0.3">
      <c r="A25" s="89" t="s">
        <v>92</v>
      </c>
      <c r="B25" s="89" t="str">
        <f>B22</f>
        <v>Отстойник 1 - 100 -1,0 -2 -Т-И, рег.№15</v>
      </c>
      <c r="C25" s="33" t="s">
        <v>93</v>
      </c>
      <c r="D25" s="91" t="s">
        <v>94</v>
      </c>
      <c r="E25" s="92">
        <v>1.0000000000000001E-5</v>
      </c>
      <c r="F25" s="103">
        <f>F22</f>
        <v>1</v>
      </c>
      <c r="G25" s="89">
        <v>4.0000000000000008E-2</v>
      </c>
      <c r="H25" s="93">
        <f t="shared" si="31"/>
        <v>4.0000000000000009E-7</v>
      </c>
      <c r="I25" s="104">
        <f>0.15*I22</f>
        <v>14.444999999999999</v>
      </c>
      <c r="J25" s="95">
        <f>I25</f>
        <v>14.444999999999999</v>
      </c>
      <c r="K25" s="105" t="s">
        <v>95</v>
      </c>
      <c r="L25" s="106">
        <v>45390</v>
      </c>
      <c r="M25" s="98" t="str">
        <f t="shared" si="27"/>
        <v>С4</v>
      </c>
      <c r="N25" s="98" t="str">
        <f t="shared" si="28"/>
        <v>Отстойник 1 - 100 -1,0 -2 -Т-И, рег.№15</v>
      </c>
      <c r="O25" s="98" t="str">
        <f t="shared" si="29"/>
        <v>Частичное факел</v>
      </c>
      <c r="P25" s="98" t="s">
        <v>84</v>
      </c>
      <c r="Q25" s="98" t="s">
        <v>84</v>
      </c>
      <c r="R25" s="98" t="s">
        <v>84</v>
      </c>
      <c r="S25" s="98" t="s">
        <v>84</v>
      </c>
      <c r="T25" s="98" t="s">
        <v>84</v>
      </c>
      <c r="U25" s="98" t="s">
        <v>84</v>
      </c>
      <c r="V25" s="98" t="s">
        <v>84</v>
      </c>
      <c r="W25" s="98" t="s">
        <v>84</v>
      </c>
      <c r="X25" s="98">
        <v>9</v>
      </c>
      <c r="Y25" s="98">
        <v>2</v>
      </c>
      <c r="Z25" s="98" t="s">
        <v>84</v>
      </c>
      <c r="AA25" s="98" t="s">
        <v>84</v>
      </c>
      <c r="AB25" s="98" t="s">
        <v>84</v>
      </c>
      <c r="AC25" s="98" t="s">
        <v>84</v>
      </c>
      <c r="AD25" s="98" t="s">
        <v>84</v>
      </c>
      <c r="AE25" s="98" t="s">
        <v>84</v>
      </c>
      <c r="AF25" s="98" t="s">
        <v>84</v>
      </c>
      <c r="AG25" s="98" t="s">
        <v>84</v>
      </c>
      <c r="AH25" s="98">
        <v>0</v>
      </c>
      <c r="AI25" s="98">
        <v>1</v>
      </c>
      <c r="AJ25" s="98">
        <f>0.1*$AJ$126</f>
        <v>7.5000000000000015E-3</v>
      </c>
      <c r="AK25" s="98">
        <f>AK23</f>
        <v>2.7E-2</v>
      </c>
      <c r="AL25" s="98">
        <f>AL22</f>
        <v>3</v>
      </c>
      <c r="AO25" s="100">
        <f>AK25*I25*0.1+AJ25</f>
        <v>4.6501499999999994E-2</v>
      </c>
      <c r="AP25" s="100">
        <f t="shared" si="32"/>
        <v>4.6501499999999996E-3</v>
      </c>
      <c r="AQ25" s="55">
        <f t="shared" si="33"/>
        <v>0.25</v>
      </c>
      <c r="AR25" s="55">
        <f t="shared" si="34"/>
        <v>7.5287912499999998E-2</v>
      </c>
      <c r="AS25" s="100">
        <f>10068.2*J25*POWER(10,-6)</f>
        <v>0.14543514899999999</v>
      </c>
      <c r="AT25" s="55">
        <f t="shared" si="30"/>
        <v>0.52187471149999998</v>
      </c>
      <c r="AU25" s="101">
        <f t="shared" si="35"/>
        <v>0</v>
      </c>
      <c r="AV25" s="101">
        <f t="shared" si="36"/>
        <v>4.0000000000000009E-7</v>
      </c>
      <c r="AW25" s="101">
        <f t="shared" ref="AW25:AW29" si="38">H25*AT25</f>
        <v>2.0874988460000004E-7</v>
      </c>
    </row>
    <row r="26" spans="1:49" s="98" customFormat="1" x14ac:dyDescent="0.3">
      <c r="A26" s="89" t="s">
        <v>96</v>
      </c>
      <c r="B26" s="89" t="str">
        <f>B22</f>
        <v>Отстойник 1 - 100 -1,0 -2 -Т-И, рег.№15</v>
      </c>
      <c r="C26" s="33" t="s">
        <v>164</v>
      </c>
      <c r="D26" s="91" t="s">
        <v>97</v>
      </c>
      <c r="E26" s="102">
        <f>E25</f>
        <v>1.0000000000000001E-5</v>
      </c>
      <c r="F26" s="103">
        <f>F22</f>
        <v>1</v>
      </c>
      <c r="G26" s="89">
        <v>0.16000000000000003</v>
      </c>
      <c r="H26" s="93">
        <f t="shared" si="31"/>
        <v>1.6000000000000004E-6</v>
      </c>
      <c r="I26" s="104">
        <f>0.15*I22</f>
        <v>14.444999999999999</v>
      </c>
      <c r="J26" s="95">
        <v>0</v>
      </c>
      <c r="K26" s="105" t="s">
        <v>98</v>
      </c>
      <c r="L26" s="106">
        <v>3</v>
      </c>
      <c r="M26" s="98" t="str">
        <f t="shared" si="27"/>
        <v>С5</v>
      </c>
      <c r="N26" s="98" t="str">
        <f t="shared" si="28"/>
        <v>Отстойник 1 - 100 -1,0 -2 -Т-И, рег.№15</v>
      </c>
      <c r="O26" s="98" t="str">
        <f t="shared" si="29"/>
        <v>Частичное-ликвидация</v>
      </c>
      <c r="P26" s="98" t="s">
        <v>84</v>
      </c>
      <c r="Q26" s="98" t="s">
        <v>84</v>
      </c>
      <c r="R26" s="98" t="s">
        <v>84</v>
      </c>
      <c r="S26" s="98" t="s">
        <v>84</v>
      </c>
      <c r="T26" s="98" t="s">
        <v>84</v>
      </c>
      <c r="U26" s="98" t="s">
        <v>84</v>
      </c>
      <c r="V26" s="98" t="s">
        <v>84</v>
      </c>
      <c r="W26" s="98" t="s">
        <v>84</v>
      </c>
      <c r="X26" s="98" t="s">
        <v>84</v>
      </c>
      <c r="Y26" s="98" t="s">
        <v>84</v>
      </c>
      <c r="Z26" s="98" t="s">
        <v>84</v>
      </c>
      <c r="AA26" s="98" t="s">
        <v>84</v>
      </c>
      <c r="AB26" s="98" t="s">
        <v>84</v>
      </c>
      <c r="AC26" s="98" t="s">
        <v>84</v>
      </c>
      <c r="AD26" s="98" t="s">
        <v>84</v>
      </c>
      <c r="AE26" s="98" t="s">
        <v>84</v>
      </c>
      <c r="AF26" s="98" t="s">
        <v>84</v>
      </c>
      <c r="AG26" s="98" t="s">
        <v>84</v>
      </c>
      <c r="AH26" s="98">
        <v>0</v>
      </c>
      <c r="AI26" s="98">
        <v>1</v>
      </c>
      <c r="AJ26" s="98">
        <f>0.1*$AJ$126</f>
        <v>7.5000000000000015E-3</v>
      </c>
      <c r="AK26" s="98">
        <f>AK22</f>
        <v>2.7E-2</v>
      </c>
      <c r="AL26" s="98">
        <f>ROUNDUP(AL22/3,0)</f>
        <v>1</v>
      </c>
      <c r="AO26" s="100">
        <f>AK26*I26+AJ26</f>
        <v>0.39751499999999995</v>
      </c>
      <c r="AP26" s="100">
        <f t="shared" si="32"/>
        <v>3.9751499999999995E-2</v>
      </c>
      <c r="AQ26" s="55">
        <f t="shared" si="33"/>
        <v>0.25</v>
      </c>
      <c r="AR26" s="55">
        <f t="shared" si="34"/>
        <v>0.171816625</v>
      </c>
      <c r="AS26" s="100">
        <f>1333*J23*POWER(10,-6)*10</f>
        <v>8.2646E-4</v>
      </c>
      <c r="AT26" s="55">
        <f t="shared" si="30"/>
        <v>0.85990958500000003</v>
      </c>
      <c r="AU26" s="101">
        <f t="shared" si="35"/>
        <v>0</v>
      </c>
      <c r="AV26" s="101">
        <f t="shared" si="36"/>
        <v>1.6000000000000004E-6</v>
      </c>
      <c r="AW26" s="101">
        <f t="shared" si="38"/>
        <v>1.3758553360000004E-6</v>
      </c>
    </row>
    <row r="27" spans="1:49" s="98" customFormat="1" x14ac:dyDescent="0.3">
      <c r="A27" s="89" t="s">
        <v>99</v>
      </c>
      <c r="B27" s="89" t="str">
        <f>B22</f>
        <v>Отстойник 1 - 100 -1,0 -2 -Т-И, рег.№15</v>
      </c>
      <c r="C27" s="33" t="s">
        <v>100</v>
      </c>
      <c r="D27" s="91" t="s">
        <v>94</v>
      </c>
      <c r="E27" s="102">
        <f>E26</f>
        <v>1.0000000000000001E-5</v>
      </c>
      <c r="F27" s="103">
        <v>1</v>
      </c>
      <c r="G27" s="89">
        <v>4.0000000000000008E-2</v>
      </c>
      <c r="H27" s="93">
        <f t="shared" si="31"/>
        <v>4.0000000000000009E-7</v>
      </c>
      <c r="I27" s="104">
        <f>I25*0.15</f>
        <v>2.1667499999999995</v>
      </c>
      <c r="J27" s="95">
        <f>I27</f>
        <v>2.1667499999999995</v>
      </c>
      <c r="K27" s="108" t="s">
        <v>101</v>
      </c>
      <c r="L27" s="109">
        <v>12</v>
      </c>
      <c r="M27" s="98" t="str">
        <f t="shared" si="27"/>
        <v>С6</v>
      </c>
      <c r="N27" s="98" t="str">
        <f t="shared" si="28"/>
        <v>Отстойник 1 - 100 -1,0 -2 -Т-И, рег.№15</v>
      </c>
      <c r="O27" s="98" t="str">
        <f t="shared" si="29"/>
        <v>Частичное факел</v>
      </c>
      <c r="P27" s="98" t="s">
        <v>84</v>
      </c>
      <c r="Q27" s="98" t="s">
        <v>84</v>
      </c>
      <c r="R27" s="98" t="s">
        <v>84</v>
      </c>
      <c r="S27" s="98" t="s">
        <v>84</v>
      </c>
      <c r="T27" s="98" t="s">
        <v>84</v>
      </c>
      <c r="U27" s="98" t="s">
        <v>84</v>
      </c>
      <c r="V27" s="98" t="s">
        <v>84</v>
      </c>
      <c r="W27" s="98" t="s">
        <v>84</v>
      </c>
      <c r="X27" s="98">
        <v>16</v>
      </c>
      <c r="Y27" s="98">
        <v>3</v>
      </c>
      <c r="Z27" s="98" t="s">
        <v>84</v>
      </c>
      <c r="AA27" s="98" t="s">
        <v>84</v>
      </c>
      <c r="AB27" s="98" t="s">
        <v>84</v>
      </c>
      <c r="AC27" s="98" t="s">
        <v>84</v>
      </c>
      <c r="AD27" s="98" t="s">
        <v>84</v>
      </c>
      <c r="AE27" s="98" t="s">
        <v>84</v>
      </c>
      <c r="AF27" s="98" t="s">
        <v>84</v>
      </c>
      <c r="AG27" s="98" t="s">
        <v>84</v>
      </c>
      <c r="AH27" s="98">
        <v>0</v>
      </c>
      <c r="AI27" s="98">
        <v>1</v>
      </c>
      <c r="AJ27" s="98">
        <f>0.1*$AJ$126</f>
        <v>7.5000000000000015E-3</v>
      </c>
      <c r="AK27" s="98">
        <f>AK22</f>
        <v>2.7E-2</v>
      </c>
      <c r="AL27" s="98">
        <f>AL26</f>
        <v>1</v>
      </c>
      <c r="AO27" s="100">
        <f t="shared" ref="AO27:AO28" si="39">AK27*I27+AJ27</f>
        <v>6.6002249999999985E-2</v>
      </c>
      <c r="AP27" s="100">
        <f t="shared" si="32"/>
        <v>6.6002249999999986E-3</v>
      </c>
      <c r="AQ27" s="55">
        <f t="shared" si="33"/>
        <v>0.25</v>
      </c>
      <c r="AR27" s="55">
        <f t="shared" si="34"/>
        <v>8.065061875E-2</v>
      </c>
      <c r="AS27" s="100">
        <f>10068.2*J27*POWER(10,-6)</f>
        <v>2.1815272349999994E-2</v>
      </c>
      <c r="AT27" s="55">
        <f t="shared" si="30"/>
        <v>0.42506836609999998</v>
      </c>
      <c r="AU27" s="101">
        <f t="shared" si="35"/>
        <v>0</v>
      </c>
      <c r="AV27" s="101">
        <f t="shared" si="36"/>
        <v>4.0000000000000009E-7</v>
      </c>
      <c r="AW27" s="101">
        <f t="shared" si="38"/>
        <v>1.7002734644000003E-7</v>
      </c>
    </row>
    <row r="28" spans="1:49" s="98" customFormat="1" x14ac:dyDescent="0.3">
      <c r="A28" s="89" t="s">
        <v>102</v>
      </c>
      <c r="B28" s="89" t="str">
        <f>B22</f>
        <v>Отстойник 1 - 100 -1,0 -2 -Т-И, рег.№15</v>
      </c>
      <c r="C28" s="33" t="s">
        <v>103</v>
      </c>
      <c r="D28" s="91" t="s">
        <v>104</v>
      </c>
      <c r="E28" s="102">
        <f>E26</f>
        <v>1.0000000000000001E-5</v>
      </c>
      <c r="F28" s="103">
        <f>F22</f>
        <v>1</v>
      </c>
      <c r="G28" s="89">
        <v>0.15200000000000002</v>
      </c>
      <c r="H28" s="93">
        <f t="shared" si="31"/>
        <v>1.5200000000000003E-6</v>
      </c>
      <c r="I28" s="104">
        <f>I25*0.15</f>
        <v>2.1667499999999995</v>
      </c>
      <c r="J28" s="95">
        <f>I28</f>
        <v>2.1667499999999995</v>
      </c>
      <c r="K28" s="105"/>
      <c r="L28" s="106"/>
      <c r="M28" s="98" t="str">
        <f t="shared" si="27"/>
        <v>С7</v>
      </c>
      <c r="N28" s="98" t="str">
        <f t="shared" si="28"/>
        <v>Отстойник 1 - 100 -1,0 -2 -Т-И, рег.№15</v>
      </c>
      <c r="O28" s="98" t="str">
        <f t="shared" si="29"/>
        <v>Частичное-пожар-вспышка</v>
      </c>
      <c r="P28" s="98" t="s">
        <v>84</v>
      </c>
      <c r="Q28" s="98" t="s">
        <v>84</v>
      </c>
      <c r="R28" s="98" t="s">
        <v>84</v>
      </c>
      <c r="S28" s="98" t="s">
        <v>84</v>
      </c>
      <c r="T28" s="98" t="s">
        <v>84</v>
      </c>
      <c r="U28" s="98" t="s">
        <v>84</v>
      </c>
      <c r="V28" s="98" t="s">
        <v>84</v>
      </c>
      <c r="W28" s="98" t="s">
        <v>84</v>
      </c>
      <c r="X28" s="98" t="s">
        <v>84</v>
      </c>
      <c r="Y28" s="98" t="s">
        <v>84</v>
      </c>
      <c r="Z28" s="98">
        <v>43.26</v>
      </c>
      <c r="AA28" s="98">
        <v>51.91</v>
      </c>
      <c r="AB28" s="98" t="s">
        <v>84</v>
      </c>
      <c r="AC28" s="98" t="s">
        <v>84</v>
      </c>
      <c r="AD28" s="98" t="s">
        <v>84</v>
      </c>
      <c r="AE28" s="98" t="s">
        <v>84</v>
      </c>
      <c r="AF28" s="98" t="s">
        <v>84</v>
      </c>
      <c r="AG28" s="98" t="s">
        <v>84</v>
      </c>
      <c r="AH28" s="98">
        <v>0</v>
      </c>
      <c r="AI28" s="98">
        <v>1</v>
      </c>
      <c r="AJ28" s="98">
        <f>0.1*$AJ$126</f>
        <v>7.5000000000000015E-3</v>
      </c>
      <c r="AK28" s="98">
        <f>AK22</f>
        <v>2.7E-2</v>
      </c>
      <c r="AL28" s="98">
        <f>ROUNDUP(AL22/3,0)</f>
        <v>1</v>
      </c>
      <c r="AO28" s="100">
        <f t="shared" si="39"/>
        <v>6.6002249999999985E-2</v>
      </c>
      <c r="AP28" s="100">
        <f t="shared" si="32"/>
        <v>6.6002249999999986E-3</v>
      </c>
      <c r="AQ28" s="55">
        <f t="shared" si="33"/>
        <v>0.25</v>
      </c>
      <c r="AR28" s="55">
        <f t="shared" si="34"/>
        <v>8.065061875E-2</v>
      </c>
      <c r="AS28" s="100">
        <f>10068.2*J28*POWER(10,-6)</f>
        <v>2.1815272349999994E-2</v>
      </c>
      <c r="AT28" s="55">
        <f t="shared" si="30"/>
        <v>0.42506836609999998</v>
      </c>
      <c r="AU28" s="101">
        <f t="shared" si="35"/>
        <v>0</v>
      </c>
      <c r="AV28" s="101">
        <f t="shared" si="36"/>
        <v>1.5200000000000003E-6</v>
      </c>
      <c r="AW28" s="101">
        <f t="shared" si="38"/>
        <v>6.4610391647200007E-7</v>
      </c>
    </row>
    <row r="29" spans="1:49" s="98" customFormat="1" ht="17.25" thickBot="1" x14ac:dyDescent="0.35">
      <c r="A29" s="89" t="s">
        <v>105</v>
      </c>
      <c r="B29" s="89" t="str">
        <f>B22</f>
        <v>Отстойник 1 - 100 -1,0 -2 -Т-И, рег.№15</v>
      </c>
      <c r="C29" s="33" t="s">
        <v>106</v>
      </c>
      <c r="D29" s="91" t="s">
        <v>97</v>
      </c>
      <c r="E29" s="102">
        <f>E26</f>
        <v>1.0000000000000001E-5</v>
      </c>
      <c r="F29" s="103">
        <f>F22</f>
        <v>1</v>
      </c>
      <c r="G29" s="89">
        <v>0.6080000000000001</v>
      </c>
      <c r="H29" s="93">
        <f t="shared" si="31"/>
        <v>6.0800000000000011E-6</v>
      </c>
      <c r="I29" s="104">
        <f>I25*0.15</f>
        <v>2.1667499999999995</v>
      </c>
      <c r="J29" s="107">
        <v>0</v>
      </c>
      <c r="K29" s="110"/>
      <c r="L29" s="111"/>
      <c r="M29" s="98" t="str">
        <f t="shared" si="27"/>
        <v>С8</v>
      </c>
      <c r="N29" s="98" t="str">
        <f t="shared" si="28"/>
        <v>Отстойник 1 - 100 -1,0 -2 -Т-И, рег.№15</v>
      </c>
      <c r="O29" s="98" t="str">
        <f t="shared" si="29"/>
        <v>Частичное-ликвидация</v>
      </c>
      <c r="P29" s="98" t="s">
        <v>84</v>
      </c>
      <c r="Q29" s="98" t="s">
        <v>84</v>
      </c>
      <c r="R29" s="98" t="s">
        <v>84</v>
      </c>
      <c r="S29" s="98" t="s">
        <v>84</v>
      </c>
      <c r="T29" s="98" t="s">
        <v>84</v>
      </c>
      <c r="U29" s="98" t="s">
        <v>84</v>
      </c>
      <c r="V29" s="98" t="s">
        <v>84</v>
      </c>
      <c r="W29" s="98" t="s">
        <v>84</v>
      </c>
      <c r="X29" s="98" t="s">
        <v>84</v>
      </c>
      <c r="Y29" s="98" t="s">
        <v>84</v>
      </c>
      <c r="Z29" s="98" t="s">
        <v>84</v>
      </c>
      <c r="AA29" s="98" t="s">
        <v>84</v>
      </c>
      <c r="AB29" s="98" t="s">
        <v>84</v>
      </c>
      <c r="AC29" s="98" t="s">
        <v>84</v>
      </c>
      <c r="AD29" s="98" t="s">
        <v>84</v>
      </c>
      <c r="AE29" s="98" t="s">
        <v>84</v>
      </c>
      <c r="AF29" s="98" t="s">
        <v>84</v>
      </c>
      <c r="AG29" s="98" t="s">
        <v>84</v>
      </c>
      <c r="AH29" s="98">
        <v>0</v>
      </c>
      <c r="AI29" s="98">
        <v>0</v>
      </c>
      <c r="AJ29" s="98">
        <f>0.1*$AJ$126</f>
        <v>7.5000000000000015E-3</v>
      </c>
      <c r="AK29" s="98">
        <f>AK22</f>
        <v>2.7E-2</v>
      </c>
      <c r="AL29" s="98">
        <f>ROUNDUP(AL22/3,0)</f>
        <v>1</v>
      </c>
      <c r="AO29" s="100">
        <f>AK29*I29*0.1+AJ29</f>
        <v>1.3350225E-2</v>
      </c>
      <c r="AP29" s="100">
        <f t="shared" si="32"/>
        <v>1.3350225000000001E-3</v>
      </c>
      <c r="AQ29" s="55">
        <f t="shared" si="33"/>
        <v>0</v>
      </c>
      <c r="AR29" s="55">
        <f t="shared" si="34"/>
        <v>3.671311875E-3</v>
      </c>
      <c r="AS29" s="100">
        <f>1333*J27*POWER(10,-6)</f>
        <v>2.888277749999999E-3</v>
      </c>
      <c r="AT29" s="55">
        <f t="shared" si="30"/>
        <v>2.1244837124999999E-2</v>
      </c>
      <c r="AU29" s="101">
        <f t="shared" si="35"/>
        <v>0</v>
      </c>
      <c r="AV29" s="101">
        <f t="shared" si="36"/>
        <v>0</v>
      </c>
      <c r="AW29" s="101">
        <f t="shared" si="38"/>
        <v>1.2916860972000002E-7</v>
      </c>
    </row>
    <row r="30" spans="1:49" s="98" customFormat="1" x14ac:dyDescent="0.3">
      <c r="A30" s="89" t="s">
        <v>160</v>
      </c>
      <c r="B30" s="89" t="str">
        <f>B22</f>
        <v>Отстойник 1 - 100 -1,0 -2 -Т-И, рег.№15</v>
      </c>
      <c r="C30" s="89" t="s">
        <v>161</v>
      </c>
      <c r="D30" s="89" t="s">
        <v>162</v>
      </c>
      <c r="E30" s="92">
        <v>2.5000000000000001E-5</v>
      </c>
      <c r="F30" s="89">
        <v>1</v>
      </c>
      <c r="G30" s="89">
        <v>1</v>
      </c>
      <c r="H30" s="93">
        <f t="shared" si="31"/>
        <v>2.5000000000000001E-5</v>
      </c>
      <c r="I30" s="104">
        <f>I22</f>
        <v>96.3</v>
      </c>
      <c r="J30" s="104">
        <f>J22*0.03</f>
        <v>2.8889999999999998</v>
      </c>
      <c r="K30" s="89"/>
      <c r="L30" s="89"/>
      <c r="M30" s="98" t="str">
        <f t="shared" si="27"/>
        <v>С9</v>
      </c>
      <c r="P30" s="98" t="s">
        <v>84</v>
      </c>
      <c r="Q30" s="98" t="s">
        <v>84</v>
      </c>
      <c r="R30" s="98" t="s">
        <v>84</v>
      </c>
      <c r="S30" s="98" t="s">
        <v>84</v>
      </c>
      <c r="T30" s="98" t="s">
        <v>84</v>
      </c>
      <c r="U30" s="98" t="s">
        <v>84</v>
      </c>
      <c r="V30" s="98" t="s">
        <v>84</v>
      </c>
      <c r="W30" s="98" t="s">
        <v>84</v>
      </c>
      <c r="X30" s="98" t="s">
        <v>84</v>
      </c>
      <c r="Y30" s="98" t="s">
        <v>84</v>
      </c>
      <c r="Z30" s="98" t="s">
        <v>84</v>
      </c>
      <c r="AA30" s="98" t="s">
        <v>84</v>
      </c>
      <c r="AB30" s="98" t="s">
        <v>84</v>
      </c>
      <c r="AC30" s="98" t="s">
        <v>84</v>
      </c>
      <c r="AD30" s="98">
        <v>39.5</v>
      </c>
      <c r="AE30" s="98">
        <v>70.5</v>
      </c>
      <c r="AF30" s="98">
        <v>88</v>
      </c>
      <c r="AG30" s="98">
        <v>118</v>
      </c>
      <c r="AH30" s="98">
        <v>1</v>
      </c>
      <c r="AI30" s="98">
        <v>2</v>
      </c>
      <c r="AJ30" s="98">
        <f>AJ22</f>
        <v>0.75</v>
      </c>
      <c r="AK30" s="98">
        <f>AK22</f>
        <v>2.7E-2</v>
      </c>
      <c r="AL30" s="98">
        <v>5</v>
      </c>
      <c r="AO30" s="100">
        <f>AK30*I30+AJ30</f>
        <v>3.3500999999999999</v>
      </c>
      <c r="AP30" s="100">
        <f>0.1*AO30</f>
        <v>0.33501000000000003</v>
      </c>
      <c r="AQ30" s="55">
        <f>AH30*3+0.25*AI30</f>
        <v>3.5</v>
      </c>
      <c r="AR30" s="55">
        <f>SUM(AO30:AQ30)/4</f>
        <v>1.7962775</v>
      </c>
      <c r="AS30" s="100">
        <f>10068.2*J30*POWER(10,-6)</f>
        <v>2.9087029800000001E-2</v>
      </c>
      <c r="AT30" s="55">
        <f t="shared" si="30"/>
        <v>9.0104745297999997</v>
      </c>
      <c r="AU30" s="101">
        <f>AH30*H30</f>
        <v>2.5000000000000001E-5</v>
      </c>
      <c r="AV30" s="101">
        <f>H30*AI30</f>
        <v>5.0000000000000002E-5</v>
      </c>
      <c r="AW30" s="101">
        <f>H30*AT30</f>
        <v>2.2526186324500002E-4</v>
      </c>
    </row>
    <row r="31" spans="1:49" ht="17.25" thickBot="1" x14ac:dyDescent="0.35">
      <c r="A31" s="47"/>
      <c r="B31" s="47"/>
      <c r="C31" s="47"/>
      <c r="D31" s="48"/>
      <c r="E31" s="48"/>
      <c r="F31" s="48"/>
      <c r="G31" s="48"/>
      <c r="H31" s="48"/>
      <c r="I31" s="48"/>
      <c r="J31" s="48"/>
      <c r="K31" s="48"/>
      <c r="M31" s="42"/>
      <c r="N31" s="42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47"/>
      <c r="AC31" s="47"/>
      <c r="AD31" s="87"/>
      <c r="AE31" s="87"/>
      <c r="AF31" s="87"/>
      <c r="AG31" s="87"/>
      <c r="AH31" s="48"/>
      <c r="AI31" s="48"/>
      <c r="AJ31" s="88"/>
      <c r="AK31" s="61"/>
      <c r="AL31" s="61"/>
      <c r="AO31" s="48"/>
      <c r="AP31" s="48"/>
      <c r="AQ31" s="48"/>
      <c r="AR31" s="48"/>
      <c r="AS31" s="48"/>
      <c r="AT31" s="48"/>
      <c r="AU31" s="48"/>
      <c r="AV31" s="48"/>
      <c r="AW31" s="48"/>
    </row>
    <row r="32" spans="1:49" s="98" customFormat="1" ht="18" customHeight="1" x14ac:dyDescent="0.3">
      <c r="A32" s="89" t="s">
        <v>80</v>
      </c>
      <c r="B32" s="90" t="s">
        <v>65</v>
      </c>
      <c r="C32" s="33" t="s">
        <v>81</v>
      </c>
      <c r="D32" s="91" t="s">
        <v>82</v>
      </c>
      <c r="E32" s="92">
        <v>9.9999999999999995E-7</v>
      </c>
      <c r="F32" s="90">
        <v>1</v>
      </c>
      <c r="G32" s="89">
        <v>0.05</v>
      </c>
      <c r="H32" s="93">
        <f>E32*F32*G32</f>
        <v>4.9999999999999998E-8</v>
      </c>
      <c r="I32" s="94">
        <v>96.3</v>
      </c>
      <c r="J32" s="95">
        <f>I32</f>
        <v>96.3</v>
      </c>
      <c r="K32" s="96" t="s">
        <v>83</v>
      </c>
      <c r="L32" s="97">
        <v>1000</v>
      </c>
      <c r="M32" s="98" t="str">
        <f t="shared" ref="M32:M40" si="40">A32</f>
        <v>С1</v>
      </c>
      <c r="N32" s="98" t="str">
        <f t="shared" ref="N32:N39" si="41">B32</f>
        <v>Аппарат 1 - 100- 1,0- 1Ти, рег.№4, Е-1</v>
      </c>
      <c r="O32" s="98" t="str">
        <f t="shared" ref="O32:O39" si="42">D32</f>
        <v>Полное-пожар</v>
      </c>
      <c r="P32" s="98">
        <v>22.6</v>
      </c>
      <c r="Q32" s="98">
        <v>31.4</v>
      </c>
      <c r="R32" s="98">
        <v>45.2</v>
      </c>
      <c r="S32" s="98">
        <v>84.6</v>
      </c>
      <c r="T32" s="98" t="s">
        <v>84</v>
      </c>
      <c r="U32" s="98" t="s">
        <v>84</v>
      </c>
      <c r="V32" s="98" t="s">
        <v>84</v>
      </c>
      <c r="W32" s="98" t="s">
        <v>84</v>
      </c>
      <c r="X32" s="98" t="s">
        <v>84</v>
      </c>
      <c r="Y32" s="98" t="s">
        <v>84</v>
      </c>
      <c r="Z32" s="98" t="s">
        <v>84</v>
      </c>
      <c r="AA32" s="98" t="s">
        <v>84</v>
      </c>
      <c r="AB32" s="98" t="s">
        <v>84</v>
      </c>
      <c r="AC32" s="98" t="s">
        <v>84</v>
      </c>
      <c r="AD32" s="98" t="s">
        <v>84</v>
      </c>
      <c r="AE32" s="98" t="s">
        <v>84</v>
      </c>
      <c r="AF32" s="98" t="s">
        <v>84</v>
      </c>
      <c r="AG32" s="98" t="s">
        <v>84</v>
      </c>
      <c r="AH32" s="54">
        <v>1</v>
      </c>
      <c r="AI32" s="54">
        <v>2</v>
      </c>
      <c r="AJ32" s="99">
        <v>0.75</v>
      </c>
      <c r="AK32" s="99">
        <v>2.7E-2</v>
      </c>
      <c r="AL32" s="99">
        <v>3</v>
      </c>
      <c r="AO32" s="100">
        <f>AK32*I32+AJ32</f>
        <v>3.3500999999999999</v>
      </c>
      <c r="AP32" s="100">
        <f>0.1*AO32</f>
        <v>0.33501000000000003</v>
      </c>
      <c r="AQ32" s="55">
        <f>AH32*3+0.25*AI32</f>
        <v>3.5</v>
      </c>
      <c r="AR32" s="55">
        <f>SUM(AO32:AQ32)/4</f>
        <v>1.7962775</v>
      </c>
      <c r="AS32" s="100">
        <f>10068.2*J32*POWER(10,-6)</f>
        <v>0.96956765999999994</v>
      </c>
      <c r="AT32" s="55">
        <f t="shared" ref="AT32:AT40" si="43">AS32+AR32+AQ32+AP32+AO32</f>
        <v>9.9509551599999995</v>
      </c>
      <c r="AU32" s="101">
        <f>AH32*H32</f>
        <v>4.9999999999999998E-8</v>
      </c>
      <c r="AV32" s="101">
        <f>H32*AI32</f>
        <v>9.9999999999999995E-8</v>
      </c>
      <c r="AW32" s="101">
        <f>H32*AT32</f>
        <v>4.9754775799999992E-7</v>
      </c>
    </row>
    <row r="33" spans="1:49" s="98" customFormat="1" x14ac:dyDescent="0.3">
      <c r="A33" s="89" t="s">
        <v>85</v>
      </c>
      <c r="B33" s="89" t="str">
        <f>B32</f>
        <v>Аппарат 1 - 100- 1,0- 1Ти, рег.№4, Е-1</v>
      </c>
      <c r="C33" s="33" t="s">
        <v>86</v>
      </c>
      <c r="D33" s="91" t="s">
        <v>87</v>
      </c>
      <c r="E33" s="102">
        <f>E32</f>
        <v>9.9999999999999995E-7</v>
      </c>
      <c r="F33" s="103">
        <f>F32</f>
        <v>1</v>
      </c>
      <c r="G33" s="89">
        <v>0.19</v>
      </c>
      <c r="H33" s="93">
        <f t="shared" ref="H33:H40" si="44">E33*F33*G33</f>
        <v>1.8999999999999998E-7</v>
      </c>
      <c r="I33" s="104">
        <f>I32</f>
        <v>96.3</v>
      </c>
      <c r="J33" s="112">
        <v>6.2E-2</v>
      </c>
      <c r="K33" s="105" t="s">
        <v>88</v>
      </c>
      <c r="L33" s="106">
        <v>0.35</v>
      </c>
      <c r="M33" s="98" t="str">
        <f t="shared" si="40"/>
        <v>С2</v>
      </c>
      <c r="N33" s="98" t="str">
        <f t="shared" si="41"/>
        <v>Аппарат 1 - 100- 1,0- 1Ти, рег.№4, Е-1</v>
      </c>
      <c r="O33" s="98" t="str">
        <f t="shared" si="42"/>
        <v>Полное-взрыв</v>
      </c>
      <c r="P33" s="98" t="s">
        <v>84</v>
      </c>
      <c r="Q33" s="98" t="s">
        <v>84</v>
      </c>
      <c r="R33" s="98" t="s">
        <v>84</v>
      </c>
      <c r="S33" s="98" t="s">
        <v>84</v>
      </c>
      <c r="T33" s="98">
        <v>12.6</v>
      </c>
      <c r="U33" s="98">
        <v>29.1</v>
      </c>
      <c r="V33" s="98">
        <v>79.599999999999994</v>
      </c>
      <c r="W33" s="98">
        <v>136.1</v>
      </c>
      <c r="X33" s="98" t="s">
        <v>84</v>
      </c>
      <c r="Y33" s="98" t="s">
        <v>84</v>
      </c>
      <c r="Z33" s="98" t="s">
        <v>84</v>
      </c>
      <c r="AA33" s="98" t="s">
        <v>84</v>
      </c>
      <c r="AB33" s="98" t="s">
        <v>84</v>
      </c>
      <c r="AC33" s="98" t="s">
        <v>84</v>
      </c>
      <c r="AD33" s="98" t="s">
        <v>84</v>
      </c>
      <c r="AE33" s="98" t="s">
        <v>84</v>
      </c>
      <c r="AF33" s="98" t="s">
        <v>84</v>
      </c>
      <c r="AG33" s="98" t="s">
        <v>84</v>
      </c>
      <c r="AH33" s="54">
        <v>2</v>
      </c>
      <c r="AI33" s="54">
        <v>2</v>
      </c>
      <c r="AJ33" s="98">
        <f>AJ32</f>
        <v>0.75</v>
      </c>
      <c r="AK33" s="98">
        <f>AK32</f>
        <v>2.7E-2</v>
      </c>
      <c r="AL33" s="98">
        <f>AL32</f>
        <v>3</v>
      </c>
      <c r="AO33" s="100">
        <f>AK33*I33+AJ33</f>
        <v>3.3500999999999999</v>
      </c>
      <c r="AP33" s="100">
        <f t="shared" ref="AP33:AP39" si="45">0.1*AO33</f>
        <v>0.33501000000000003</v>
      </c>
      <c r="AQ33" s="55">
        <f t="shared" ref="AQ33:AQ39" si="46">AH33*3+0.25*AI33</f>
        <v>6.5</v>
      </c>
      <c r="AR33" s="55">
        <f t="shared" ref="AR33:AR39" si="47">SUM(AO33:AQ33)/4</f>
        <v>2.5462775</v>
      </c>
      <c r="AS33" s="100">
        <f>10068.2*J33*POWER(10,-6)*10</f>
        <v>6.2422840000000007E-3</v>
      </c>
      <c r="AT33" s="55">
        <f t="shared" si="43"/>
        <v>12.737629783999999</v>
      </c>
      <c r="AU33" s="101">
        <f t="shared" ref="AU33:AU39" si="48">AH33*H33</f>
        <v>3.7999999999999996E-7</v>
      </c>
      <c r="AV33" s="101">
        <f t="shared" ref="AV33:AV39" si="49">H33*AI33</f>
        <v>3.7999999999999996E-7</v>
      </c>
      <c r="AW33" s="101">
        <f t="shared" ref="AW33" si="50">H33*AT33</f>
        <v>2.4201496589599995E-6</v>
      </c>
    </row>
    <row r="34" spans="1:49" s="98" customFormat="1" x14ac:dyDescent="0.3">
      <c r="A34" s="89" t="s">
        <v>89</v>
      </c>
      <c r="B34" s="89" t="str">
        <f>B32</f>
        <v>Аппарат 1 - 100- 1,0- 1Ти, рег.№4, Е-1</v>
      </c>
      <c r="C34" s="33" t="s">
        <v>163</v>
      </c>
      <c r="D34" s="91" t="s">
        <v>90</v>
      </c>
      <c r="E34" s="102">
        <f>E32</f>
        <v>9.9999999999999995E-7</v>
      </c>
      <c r="F34" s="103">
        <f>F32</f>
        <v>1</v>
      </c>
      <c r="G34" s="89">
        <v>0.76</v>
      </c>
      <c r="H34" s="93">
        <f t="shared" si="44"/>
        <v>7.5999999999999992E-7</v>
      </c>
      <c r="I34" s="104">
        <f>I32</f>
        <v>96.3</v>
      </c>
      <c r="J34" s="107">
        <v>0</v>
      </c>
      <c r="K34" s="105" t="s">
        <v>91</v>
      </c>
      <c r="L34" s="106">
        <v>3</v>
      </c>
      <c r="M34" s="98" t="str">
        <f t="shared" si="40"/>
        <v>С3</v>
      </c>
      <c r="N34" s="98" t="str">
        <f t="shared" si="41"/>
        <v>Аппарат 1 - 100- 1,0- 1Ти, рег.№4, Е-1</v>
      </c>
      <c r="O34" s="98" t="str">
        <f t="shared" si="42"/>
        <v>Полное-ликвидация</v>
      </c>
      <c r="P34" s="98" t="s">
        <v>84</v>
      </c>
      <c r="Q34" s="98" t="s">
        <v>84</v>
      </c>
      <c r="R34" s="98" t="s">
        <v>84</v>
      </c>
      <c r="S34" s="98" t="s">
        <v>84</v>
      </c>
      <c r="T34" s="98" t="s">
        <v>84</v>
      </c>
      <c r="U34" s="98" t="s">
        <v>84</v>
      </c>
      <c r="V34" s="98" t="s">
        <v>84</v>
      </c>
      <c r="W34" s="98" t="s">
        <v>84</v>
      </c>
      <c r="X34" s="98" t="s">
        <v>84</v>
      </c>
      <c r="Y34" s="98" t="s">
        <v>84</v>
      </c>
      <c r="Z34" s="98" t="s">
        <v>84</v>
      </c>
      <c r="AA34" s="98" t="s">
        <v>84</v>
      </c>
      <c r="AB34" s="98" t="s">
        <v>84</v>
      </c>
      <c r="AC34" s="98" t="s">
        <v>84</v>
      </c>
      <c r="AD34" s="98" t="s">
        <v>84</v>
      </c>
      <c r="AE34" s="98" t="s">
        <v>84</v>
      </c>
      <c r="AF34" s="98" t="s">
        <v>84</v>
      </c>
      <c r="AG34" s="98" t="s">
        <v>84</v>
      </c>
      <c r="AH34" s="98">
        <v>0</v>
      </c>
      <c r="AI34" s="98">
        <v>0</v>
      </c>
      <c r="AJ34" s="98">
        <f>AJ32</f>
        <v>0.75</v>
      </c>
      <c r="AK34" s="98">
        <f>AK32</f>
        <v>2.7E-2</v>
      </c>
      <c r="AL34" s="98">
        <f>AL32</f>
        <v>3</v>
      </c>
      <c r="AO34" s="100">
        <f>AK34*I34*0.1+AJ34</f>
        <v>1.0100100000000001</v>
      </c>
      <c r="AP34" s="100">
        <f t="shared" si="45"/>
        <v>0.10100100000000001</v>
      </c>
      <c r="AQ34" s="55">
        <f t="shared" si="46"/>
        <v>0</v>
      </c>
      <c r="AR34" s="55">
        <f t="shared" si="47"/>
        <v>0.27775274999999999</v>
      </c>
      <c r="AS34" s="100">
        <f>1333*J32*POWER(10,-6)</f>
        <v>0.12836789999999998</v>
      </c>
      <c r="AT34" s="55">
        <f t="shared" si="43"/>
        <v>1.5171316500000001</v>
      </c>
      <c r="AU34" s="101">
        <f t="shared" si="48"/>
        <v>0</v>
      </c>
      <c r="AV34" s="101">
        <f t="shared" si="49"/>
        <v>0</v>
      </c>
      <c r="AW34" s="101">
        <f>H34*AT34</f>
        <v>1.1530200539999999E-6</v>
      </c>
    </row>
    <row r="35" spans="1:49" s="98" customFormat="1" x14ac:dyDescent="0.3">
      <c r="A35" s="89" t="s">
        <v>92</v>
      </c>
      <c r="B35" s="89" t="str">
        <f>B32</f>
        <v>Аппарат 1 - 100- 1,0- 1Ти, рег.№4, Е-1</v>
      </c>
      <c r="C35" s="33" t="s">
        <v>93</v>
      </c>
      <c r="D35" s="91" t="s">
        <v>94</v>
      </c>
      <c r="E35" s="92">
        <v>1.0000000000000001E-5</v>
      </c>
      <c r="F35" s="103">
        <f>F32</f>
        <v>1</v>
      </c>
      <c r="G35" s="89">
        <v>4.0000000000000008E-2</v>
      </c>
      <c r="H35" s="93">
        <f t="shared" si="44"/>
        <v>4.0000000000000009E-7</v>
      </c>
      <c r="I35" s="104">
        <f>0.15*I32</f>
        <v>14.444999999999999</v>
      </c>
      <c r="J35" s="95">
        <f>I35</f>
        <v>14.444999999999999</v>
      </c>
      <c r="K35" s="105" t="s">
        <v>95</v>
      </c>
      <c r="L35" s="106">
        <v>45390</v>
      </c>
      <c r="M35" s="98" t="str">
        <f t="shared" si="40"/>
        <v>С4</v>
      </c>
      <c r="N35" s="98" t="str">
        <f t="shared" si="41"/>
        <v>Аппарат 1 - 100- 1,0- 1Ти, рег.№4, Е-1</v>
      </c>
      <c r="O35" s="98" t="str">
        <f t="shared" si="42"/>
        <v>Частичное факел</v>
      </c>
      <c r="P35" s="98" t="s">
        <v>84</v>
      </c>
      <c r="Q35" s="98" t="s">
        <v>84</v>
      </c>
      <c r="R35" s="98" t="s">
        <v>84</v>
      </c>
      <c r="S35" s="98" t="s">
        <v>84</v>
      </c>
      <c r="T35" s="98" t="s">
        <v>84</v>
      </c>
      <c r="U35" s="98" t="s">
        <v>84</v>
      </c>
      <c r="V35" s="98" t="s">
        <v>84</v>
      </c>
      <c r="W35" s="98" t="s">
        <v>84</v>
      </c>
      <c r="X35" s="98">
        <v>23</v>
      </c>
      <c r="Y35" s="98">
        <v>4</v>
      </c>
      <c r="Z35" s="98" t="s">
        <v>84</v>
      </c>
      <c r="AA35" s="98" t="s">
        <v>84</v>
      </c>
      <c r="AB35" s="98" t="s">
        <v>84</v>
      </c>
      <c r="AC35" s="98" t="s">
        <v>84</v>
      </c>
      <c r="AD35" s="98" t="s">
        <v>84</v>
      </c>
      <c r="AE35" s="98" t="s">
        <v>84</v>
      </c>
      <c r="AF35" s="98" t="s">
        <v>84</v>
      </c>
      <c r="AG35" s="98" t="s">
        <v>84</v>
      </c>
      <c r="AH35" s="98">
        <v>0</v>
      </c>
      <c r="AI35" s="98">
        <v>1</v>
      </c>
      <c r="AJ35" s="98">
        <f>0.1*$AJ$126</f>
        <v>7.5000000000000015E-3</v>
      </c>
      <c r="AK35" s="98">
        <f>AK33</f>
        <v>2.7E-2</v>
      </c>
      <c r="AL35" s="98">
        <f>AL32</f>
        <v>3</v>
      </c>
      <c r="AO35" s="100">
        <f>AK35*I35*0.1+AJ35</f>
        <v>4.6501499999999994E-2</v>
      </c>
      <c r="AP35" s="100">
        <f t="shared" si="45"/>
        <v>4.6501499999999996E-3</v>
      </c>
      <c r="AQ35" s="55">
        <f t="shared" si="46"/>
        <v>0.25</v>
      </c>
      <c r="AR35" s="55">
        <f t="shared" si="47"/>
        <v>7.5287912499999998E-2</v>
      </c>
      <c r="AS35" s="100">
        <f>10068.2*J35*POWER(10,-6)</f>
        <v>0.14543514899999999</v>
      </c>
      <c r="AT35" s="55">
        <f t="shared" si="43"/>
        <v>0.52187471149999998</v>
      </c>
      <c r="AU35" s="101">
        <f t="shared" si="48"/>
        <v>0</v>
      </c>
      <c r="AV35" s="101">
        <f t="shared" si="49"/>
        <v>4.0000000000000009E-7</v>
      </c>
      <c r="AW35" s="101">
        <f t="shared" ref="AW35:AW39" si="51">H35*AT35</f>
        <v>2.0874988460000004E-7</v>
      </c>
    </row>
    <row r="36" spans="1:49" s="98" customFormat="1" x14ac:dyDescent="0.3">
      <c r="A36" s="89" t="s">
        <v>96</v>
      </c>
      <c r="B36" s="89" t="str">
        <f>B32</f>
        <v>Аппарат 1 - 100- 1,0- 1Ти, рег.№4, Е-1</v>
      </c>
      <c r="C36" s="33" t="s">
        <v>164</v>
      </c>
      <c r="D36" s="91" t="s">
        <v>97</v>
      </c>
      <c r="E36" s="102">
        <f>E35</f>
        <v>1.0000000000000001E-5</v>
      </c>
      <c r="F36" s="103">
        <f>F32</f>
        <v>1</v>
      </c>
      <c r="G36" s="89">
        <v>0.16000000000000003</v>
      </c>
      <c r="H36" s="93">
        <f t="shared" si="44"/>
        <v>1.6000000000000004E-6</v>
      </c>
      <c r="I36" s="104">
        <f>0.15*I32</f>
        <v>14.444999999999999</v>
      </c>
      <c r="J36" s="95">
        <v>0</v>
      </c>
      <c r="K36" s="105" t="s">
        <v>98</v>
      </c>
      <c r="L36" s="106">
        <v>3</v>
      </c>
      <c r="M36" s="98" t="str">
        <f t="shared" si="40"/>
        <v>С5</v>
      </c>
      <c r="N36" s="98" t="str">
        <f t="shared" si="41"/>
        <v>Аппарат 1 - 100- 1,0- 1Ти, рег.№4, Е-1</v>
      </c>
      <c r="O36" s="98" t="str">
        <f t="shared" si="42"/>
        <v>Частичное-ликвидация</v>
      </c>
      <c r="P36" s="98" t="s">
        <v>84</v>
      </c>
      <c r="Q36" s="98" t="s">
        <v>84</v>
      </c>
      <c r="R36" s="98" t="s">
        <v>84</v>
      </c>
      <c r="S36" s="98" t="s">
        <v>84</v>
      </c>
      <c r="T36" s="98" t="s">
        <v>84</v>
      </c>
      <c r="U36" s="98" t="s">
        <v>84</v>
      </c>
      <c r="V36" s="98" t="s">
        <v>84</v>
      </c>
      <c r="W36" s="98" t="s">
        <v>84</v>
      </c>
      <c r="X36" s="98" t="s">
        <v>84</v>
      </c>
      <c r="Y36" s="98" t="s">
        <v>84</v>
      </c>
      <c r="Z36" s="98" t="s">
        <v>84</v>
      </c>
      <c r="AA36" s="98" t="s">
        <v>84</v>
      </c>
      <c r="AB36" s="98" t="s">
        <v>84</v>
      </c>
      <c r="AC36" s="98" t="s">
        <v>84</v>
      </c>
      <c r="AD36" s="98" t="s">
        <v>84</v>
      </c>
      <c r="AE36" s="98" t="s">
        <v>84</v>
      </c>
      <c r="AF36" s="98" t="s">
        <v>84</v>
      </c>
      <c r="AG36" s="98" t="s">
        <v>84</v>
      </c>
      <c r="AH36" s="98">
        <v>0</v>
      </c>
      <c r="AI36" s="98">
        <v>1</v>
      </c>
      <c r="AJ36" s="98">
        <f>0.1*$AJ$126</f>
        <v>7.5000000000000015E-3</v>
      </c>
      <c r="AK36" s="98">
        <f>AK32</f>
        <v>2.7E-2</v>
      </c>
      <c r="AL36" s="98">
        <f>ROUNDUP(AL32/3,0)</f>
        <v>1</v>
      </c>
      <c r="AO36" s="100">
        <f>AK36*I36+AJ36</f>
        <v>0.39751499999999995</v>
      </c>
      <c r="AP36" s="100">
        <f t="shared" si="45"/>
        <v>3.9751499999999995E-2</v>
      </c>
      <c r="AQ36" s="55">
        <f t="shared" si="46"/>
        <v>0.25</v>
      </c>
      <c r="AR36" s="55">
        <f t="shared" si="47"/>
        <v>0.171816625</v>
      </c>
      <c r="AS36" s="100">
        <f>1333*J33*POWER(10,-6)*10</f>
        <v>8.2646E-4</v>
      </c>
      <c r="AT36" s="55">
        <f t="shared" si="43"/>
        <v>0.85990958500000003</v>
      </c>
      <c r="AU36" s="101">
        <f t="shared" si="48"/>
        <v>0</v>
      </c>
      <c r="AV36" s="101">
        <f t="shared" si="49"/>
        <v>1.6000000000000004E-6</v>
      </c>
      <c r="AW36" s="101">
        <f t="shared" si="51"/>
        <v>1.3758553360000004E-6</v>
      </c>
    </row>
    <row r="37" spans="1:49" s="98" customFormat="1" x14ac:dyDescent="0.3">
      <c r="A37" s="89" t="s">
        <v>99</v>
      </c>
      <c r="B37" s="89" t="str">
        <f>B32</f>
        <v>Аппарат 1 - 100- 1,0- 1Ти, рег.№4, Е-1</v>
      </c>
      <c r="C37" s="33" t="s">
        <v>100</v>
      </c>
      <c r="D37" s="91" t="s">
        <v>94</v>
      </c>
      <c r="E37" s="102">
        <f>E36</f>
        <v>1.0000000000000001E-5</v>
      </c>
      <c r="F37" s="103">
        <v>1</v>
      </c>
      <c r="G37" s="89">
        <v>4.0000000000000008E-2</v>
      </c>
      <c r="H37" s="93">
        <f t="shared" si="44"/>
        <v>4.0000000000000009E-7</v>
      </c>
      <c r="I37" s="104">
        <f>I35*0.15</f>
        <v>2.1667499999999995</v>
      </c>
      <c r="J37" s="95">
        <f>I37</f>
        <v>2.1667499999999995</v>
      </c>
      <c r="K37" s="108" t="s">
        <v>101</v>
      </c>
      <c r="L37" s="109">
        <v>12</v>
      </c>
      <c r="M37" s="98" t="str">
        <f t="shared" si="40"/>
        <v>С6</v>
      </c>
      <c r="N37" s="98" t="str">
        <f t="shared" si="41"/>
        <v>Аппарат 1 - 100- 1,0- 1Ти, рег.№4, Е-1</v>
      </c>
      <c r="O37" s="98" t="str">
        <f t="shared" si="42"/>
        <v>Частичное факел</v>
      </c>
      <c r="P37" s="98" t="s">
        <v>84</v>
      </c>
      <c r="Q37" s="98" t="s">
        <v>84</v>
      </c>
      <c r="R37" s="98" t="s">
        <v>84</v>
      </c>
      <c r="S37" s="98" t="s">
        <v>84</v>
      </c>
      <c r="T37" s="98" t="s">
        <v>84</v>
      </c>
      <c r="U37" s="98" t="s">
        <v>84</v>
      </c>
      <c r="V37" s="98" t="s">
        <v>84</v>
      </c>
      <c r="W37" s="98" t="s">
        <v>84</v>
      </c>
      <c r="X37" s="98">
        <v>8</v>
      </c>
      <c r="Y37" s="98">
        <v>2</v>
      </c>
      <c r="Z37" s="98" t="s">
        <v>84</v>
      </c>
      <c r="AA37" s="98" t="s">
        <v>84</v>
      </c>
      <c r="AB37" s="98" t="s">
        <v>84</v>
      </c>
      <c r="AC37" s="98" t="s">
        <v>84</v>
      </c>
      <c r="AD37" s="98" t="s">
        <v>84</v>
      </c>
      <c r="AE37" s="98" t="s">
        <v>84</v>
      </c>
      <c r="AF37" s="98" t="s">
        <v>84</v>
      </c>
      <c r="AG37" s="98" t="s">
        <v>84</v>
      </c>
      <c r="AH37" s="98">
        <v>0</v>
      </c>
      <c r="AI37" s="98">
        <v>1</v>
      </c>
      <c r="AJ37" s="98">
        <f>0.1*$AJ$126</f>
        <v>7.5000000000000015E-3</v>
      </c>
      <c r="AK37" s="98">
        <f>AK32</f>
        <v>2.7E-2</v>
      </c>
      <c r="AL37" s="98">
        <f>AL36</f>
        <v>1</v>
      </c>
      <c r="AO37" s="100">
        <f t="shared" ref="AO37:AO38" si="52">AK37*I37+AJ37</f>
        <v>6.6002249999999985E-2</v>
      </c>
      <c r="AP37" s="100">
        <f t="shared" si="45"/>
        <v>6.6002249999999986E-3</v>
      </c>
      <c r="AQ37" s="55">
        <f t="shared" si="46"/>
        <v>0.25</v>
      </c>
      <c r="AR37" s="55">
        <f t="shared" si="47"/>
        <v>8.065061875E-2</v>
      </c>
      <c r="AS37" s="100">
        <f>10068.2*J37*POWER(10,-6)</f>
        <v>2.1815272349999994E-2</v>
      </c>
      <c r="AT37" s="55">
        <f t="shared" si="43"/>
        <v>0.42506836609999998</v>
      </c>
      <c r="AU37" s="101">
        <f t="shared" si="48"/>
        <v>0</v>
      </c>
      <c r="AV37" s="101">
        <f t="shared" si="49"/>
        <v>4.0000000000000009E-7</v>
      </c>
      <c r="AW37" s="101">
        <f t="shared" si="51"/>
        <v>1.7002734644000003E-7</v>
      </c>
    </row>
    <row r="38" spans="1:49" s="98" customFormat="1" x14ac:dyDescent="0.3">
      <c r="A38" s="89" t="s">
        <v>102</v>
      </c>
      <c r="B38" s="89" t="str">
        <f>B32</f>
        <v>Аппарат 1 - 100- 1,0- 1Ти, рег.№4, Е-1</v>
      </c>
      <c r="C38" s="33" t="s">
        <v>103</v>
      </c>
      <c r="D38" s="91" t="s">
        <v>104</v>
      </c>
      <c r="E38" s="102">
        <f>E36</f>
        <v>1.0000000000000001E-5</v>
      </c>
      <c r="F38" s="103">
        <f>F32</f>
        <v>1</v>
      </c>
      <c r="G38" s="89">
        <v>0.15200000000000002</v>
      </c>
      <c r="H38" s="93">
        <f t="shared" si="44"/>
        <v>1.5200000000000003E-6</v>
      </c>
      <c r="I38" s="104">
        <f>I35*0.15</f>
        <v>2.1667499999999995</v>
      </c>
      <c r="J38" s="95">
        <f>I38</f>
        <v>2.1667499999999995</v>
      </c>
      <c r="K38" s="105"/>
      <c r="L38" s="106"/>
      <c r="M38" s="98" t="str">
        <f t="shared" si="40"/>
        <v>С7</v>
      </c>
      <c r="N38" s="98" t="str">
        <f t="shared" si="41"/>
        <v>Аппарат 1 - 100- 1,0- 1Ти, рег.№4, Е-1</v>
      </c>
      <c r="O38" s="98" t="str">
        <f t="shared" si="42"/>
        <v>Частичное-пожар-вспышка</v>
      </c>
      <c r="P38" s="98" t="s">
        <v>84</v>
      </c>
      <c r="Q38" s="98" t="s">
        <v>84</v>
      </c>
      <c r="R38" s="98" t="s">
        <v>84</v>
      </c>
      <c r="S38" s="98" t="s">
        <v>84</v>
      </c>
      <c r="T38" s="98" t="s">
        <v>84</v>
      </c>
      <c r="U38" s="98" t="s">
        <v>84</v>
      </c>
      <c r="V38" s="98" t="s">
        <v>84</v>
      </c>
      <c r="W38" s="98" t="s">
        <v>84</v>
      </c>
      <c r="X38" s="98" t="s">
        <v>84</v>
      </c>
      <c r="Y38" s="98" t="s">
        <v>84</v>
      </c>
      <c r="Z38" s="98">
        <v>43.26</v>
      </c>
      <c r="AA38" s="98">
        <v>51.91</v>
      </c>
      <c r="AB38" s="98" t="s">
        <v>84</v>
      </c>
      <c r="AC38" s="98" t="s">
        <v>84</v>
      </c>
      <c r="AD38" s="98" t="s">
        <v>84</v>
      </c>
      <c r="AE38" s="98" t="s">
        <v>84</v>
      </c>
      <c r="AF38" s="98" t="s">
        <v>84</v>
      </c>
      <c r="AG38" s="98" t="s">
        <v>84</v>
      </c>
      <c r="AH38" s="98">
        <v>0</v>
      </c>
      <c r="AI38" s="98">
        <v>1</v>
      </c>
      <c r="AJ38" s="98">
        <f>0.1*$AJ$126</f>
        <v>7.5000000000000015E-3</v>
      </c>
      <c r="AK38" s="98">
        <f>AK32</f>
        <v>2.7E-2</v>
      </c>
      <c r="AL38" s="98">
        <f>ROUNDUP(AL32/3,0)</f>
        <v>1</v>
      </c>
      <c r="AO38" s="100">
        <f t="shared" si="52"/>
        <v>6.6002249999999985E-2</v>
      </c>
      <c r="AP38" s="100">
        <f t="shared" si="45"/>
        <v>6.6002249999999986E-3</v>
      </c>
      <c r="AQ38" s="55">
        <f t="shared" si="46"/>
        <v>0.25</v>
      </c>
      <c r="AR38" s="55">
        <f t="shared" si="47"/>
        <v>8.065061875E-2</v>
      </c>
      <c r="AS38" s="100">
        <f>10068.2*J38*POWER(10,-6)</f>
        <v>2.1815272349999994E-2</v>
      </c>
      <c r="AT38" s="55">
        <f t="shared" si="43"/>
        <v>0.42506836609999998</v>
      </c>
      <c r="AU38" s="101">
        <f t="shared" si="48"/>
        <v>0</v>
      </c>
      <c r="AV38" s="101">
        <f t="shared" si="49"/>
        <v>1.5200000000000003E-6</v>
      </c>
      <c r="AW38" s="101">
        <f t="shared" si="51"/>
        <v>6.4610391647200007E-7</v>
      </c>
    </row>
    <row r="39" spans="1:49" s="98" customFormat="1" ht="17.25" thickBot="1" x14ac:dyDescent="0.35">
      <c r="A39" s="89" t="s">
        <v>105</v>
      </c>
      <c r="B39" s="89" t="str">
        <f>B32</f>
        <v>Аппарат 1 - 100- 1,0- 1Ти, рег.№4, Е-1</v>
      </c>
      <c r="C39" s="33" t="s">
        <v>106</v>
      </c>
      <c r="D39" s="91" t="s">
        <v>97</v>
      </c>
      <c r="E39" s="102">
        <f>E36</f>
        <v>1.0000000000000001E-5</v>
      </c>
      <c r="F39" s="103">
        <f>F32</f>
        <v>1</v>
      </c>
      <c r="G39" s="89">
        <v>0.6080000000000001</v>
      </c>
      <c r="H39" s="93">
        <f t="shared" si="44"/>
        <v>6.0800000000000011E-6</v>
      </c>
      <c r="I39" s="104">
        <f>I35*0.15</f>
        <v>2.1667499999999995</v>
      </c>
      <c r="J39" s="107">
        <v>0</v>
      </c>
      <c r="K39" s="110"/>
      <c r="L39" s="111"/>
      <c r="M39" s="98" t="str">
        <f t="shared" si="40"/>
        <v>С8</v>
      </c>
      <c r="N39" s="98" t="str">
        <f t="shared" si="41"/>
        <v>Аппарат 1 - 100- 1,0- 1Ти, рег.№4, Е-1</v>
      </c>
      <c r="O39" s="98" t="str">
        <f t="shared" si="42"/>
        <v>Частичное-ликвидация</v>
      </c>
      <c r="P39" s="98" t="s">
        <v>84</v>
      </c>
      <c r="Q39" s="98" t="s">
        <v>84</v>
      </c>
      <c r="R39" s="98" t="s">
        <v>84</v>
      </c>
      <c r="S39" s="98" t="s">
        <v>84</v>
      </c>
      <c r="T39" s="98" t="s">
        <v>84</v>
      </c>
      <c r="U39" s="98" t="s">
        <v>84</v>
      </c>
      <c r="V39" s="98" t="s">
        <v>84</v>
      </c>
      <c r="W39" s="98" t="s">
        <v>84</v>
      </c>
      <c r="X39" s="98" t="s">
        <v>84</v>
      </c>
      <c r="Y39" s="98" t="s">
        <v>84</v>
      </c>
      <c r="Z39" s="98" t="s">
        <v>84</v>
      </c>
      <c r="AA39" s="98" t="s">
        <v>84</v>
      </c>
      <c r="AB39" s="98" t="s">
        <v>84</v>
      </c>
      <c r="AC39" s="98" t="s">
        <v>84</v>
      </c>
      <c r="AD39" s="98" t="s">
        <v>84</v>
      </c>
      <c r="AE39" s="98" t="s">
        <v>84</v>
      </c>
      <c r="AF39" s="98" t="s">
        <v>84</v>
      </c>
      <c r="AG39" s="98" t="s">
        <v>84</v>
      </c>
      <c r="AH39" s="98">
        <v>0</v>
      </c>
      <c r="AI39" s="98">
        <v>0</v>
      </c>
      <c r="AJ39" s="98">
        <f>0.1*$AJ$126</f>
        <v>7.5000000000000015E-3</v>
      </c>
      <c r="AK39" s="98">
        <f>AK32</f>
        <v>2.7E-2</v>
      </c>
      <c r="AL39" s="98">
        <f>ROUNDUP(AL32/3,0)</f>
        <v>1</v>
      </c>
      <c r="AO39" s="100">
        <f>AK39*I39*0.1+AJ39</f>
        <v>1.3350225E-2</v>
      </c>
      <c r="AP39" s="100">
        <f t="shared" si="45"/>
        <v>1.3350225000000001E-3</v>
      </c>
      <c r="AQ39" s="55">
        <f t="shared" si="46"/>
        <v>0</v>
      </c>
      <c r="AR39" s="55">
        <f t="shared" si="47"/>
        <v>3.671311875E-3</v>
      </c>
      <c r="AS39" s="100">
        <f>1333*J37*POWER(10,-6)</f>
        <v>2.888277749999999E-3</v>
      </c>
      <c r="AT39" s="55">
        <f t="shared" si="43"/>
        <v>2.1244837124999999E-2</v>
      </c>
      <c r="AU39" s="101">
        <f t="shared" si="48"/>
        <v>0</v>
      </c>
      <c r="AV39" s="101">
        <f t="shared" si="49"/>
        <v>0</v>
      </c>
      <c r="AW39" s="101">
        <f t="shared" si="51"/>
        <v>1.2916860972000002E-7</v>
      </c>
    </row>
    <row r="40" spans="1:49" s="98" customFormat="1" x14ac:dyDescent="0.3">
      <c r="A40" s="89" t="s">
        <v>160</v>
      </c>
      <c r="B40" s="89" t="str">
        <f>B32</f>
        <v>Аппарат 1 - 100- 1,0- 1Ти, рег.№4, Е-1</v>
      </c>
      <c r="C40" s="89" t="s">
        <v>161</v>
      </c>
      <c r="D40" s="89" t="s">
        <v>162</v>
      </c>
      <c r="E40" s="92">
        <v>2.5000000000000001E-5</v>
      </c>
      <c r="F40" s="89">
        <v>1</v>
      </c>
      <c r="G40" s="89">
        <v>1</v>
      </c>
      <c r="H40" s="93">
        <f t="shared" si="44"/>
        <v>2.5000000000000001E-5</v>
      </c>
      <c r="I40" s="104">
        <f>I32</f>
        <v>96.3</v>
      </c>
      <c r="J40" s="104">
        <f>J32*0.03</f>
        <v>2.8889999999999998</v>
      </c>
      <c r="K40" s="89"/>
      <c r="L40" s="89"/>
      <c r="M40" s="98" t="str">
        <f t="shared" si="40"/>
        <v>С9</v>
      </c>
      <c r="P40" s="98" t="s">
        <v>84</v>
      </c>
      <c r="Q40" s="98" t="s">
        <v>84</v>
      </c>
      <c r="R40" s="98" t="s">
        <v>84</v>
      </c>
      <c r="S40" s="98" t="s">
        <v>84</v>
      </c>
      <c r="T40" s="98" t="s">
        <v>84</v>
      </c>
      <c r="U40" s="98" t="s">
        <v>84</v>
      </c>
      <c r="V40" s="98" t="s">
        <v>84</v>
      </c>
      <c r="W40" s="98" t="s">
        <v>84</v>
      </c>
      <c r="X40" s="98" t="s">
        <v>84</v>
      </c>
      <c r="Y40" s="98" t="s">
        <v>84</v>
      </c>
      <c r="Z40" s="98" t="s">
        <v>84</v>
      </c>
      <c r="AA40" s="98" t="s">
        <v>84</v>
      </c>
      <c r="AB40" s="98" t="s">
        <v>84</v>
      </c>
      <c r="AC40" s="98" t="s">
        <v>84</v>
      </c>
      <c r="AD40" s="98">
        <v>39.5</v>
      </c>
      <c r="AE40" s="98">
        <v>70.5</v>
      </c>
      <c r="AF40" s="98">
        <v>88</v>
      </c>
      <c r="AG40" s="98">
        <v>118</v>
      </c>
      <c r="AH40" s="98">
        <v>1</v>
      </c>
      <c r="AI40" s="98">
        <v>2</v>
      </c>
      <c r="AJ40" s="98">
        <f>AJ32</f>
        <v>0.75</v>
      </c>
      <c r="AK40" s="98">
        <f>AK32</f>
        <v>2.7E-2</v>
      </c>
      <c r="AL40" s="98">
        <v>5</v>
      </c>
      <c r="AO40" s="100">
        <f>AK40*I40+AJ40</f>
        <v>3.3500999999999999</v>
      </c>
      <c r="AP40" s="100">
        <f>0.1*AO40</f>
        <v>0.33501000000000003</v>
      </c>
      <c r="AQ40" s="55">
        <f>AH40*3+0.25*AI40</f>
        <v>3.5</v>
      </c>
      <c r="AR40" s="55">
        <f>SUM(AO40:AQ40)/4</f>
        <v>1.7962775</v>
      </c>
      <c r="AS40" s="100">
        <f>10068.2*J40*POWER(10,-6)</f>
        <v>2.9087029800000001E-2</v>
      </c>
      <c r="AT40" s="55">
        <f t="shared" si="43"/>
        <v>9.0104745297999997</v>
      </c>
      <c r="AU40" s="101">
        <f>AH40*H40</f>
        <v>2.5000000000000001E-5</v>
      </c>
      <c r="AV40" s="101">
        <f>H40*AI40</f>
        <v>5.0000000000000002E-5</v>
      </c>
      <c r="AW40" s="101">
        <f>H40*AT40</f>
        <v>2.2526186324500002E-4</v>
      </c>
    </row>
    <row r="41" spans="1:49" ht="17.25" thickBot="1" x14ac:dyDescent="0.35">
      <c r="A41" s="47"/>
      <c r="B41" s="47"/>
      <c r="C41" s="47"/>
      <c r="D41" s="48"/>
      <c r="E41" s="48"/>
      <c r="F41" s="48"/>
      <c r="G41" s="48"/>
      <c r="H41" s="48"/>
      <c r="I41" s="48"/>
      <c r="J41" s="48"/>
      <c r="K41" s="48"/>
      <c r="M41" s="42"/>
      <c r="N41" s="42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47"/>
      <c r="AC41" s="47"/>
      <c r="AD41" s="87"/>
      <c r="AE41" s="87"/>
      <c r="AF41" s="87"/>
      <c r="AG41" s="87"/>
      <c r="AH41" s="48"/>
      <c r="AI41" s="48"/>
      <c r="AJ41" s="88"/>
      <c r="AK41" s="61"/>
      <c r="AL41" s="61"/>
      <c r="AO41" s="48"/>
      <c r="AP41" s="48"/>
      <c r="AQ41" s="48"/>
      <c r="AR41" s="48"/>
      <c r="AS41" s="48"/>
      <c r="AT41" s="48"/>
      <c r="AU41" s="48"/>
      <c r="AV41" s="48"/>
      <c r="AW41" s="48"/>
    </row>
    <row r="42" spans="1:49" s="98" customFormat="1" ht="18" customHeight="1" x14ac:dyDescent="0.3">
      <c r="A42" s="89" t="s">
        <v>80</v>
      </c>
      <c r="B42" s="90" t="s">
        <v>65</v>
      </c>
      <c r="C42" s="33" t="s">
        <v>81</v>
      </c>
      <c r="D42" s="91" t="s">
        <v>82</v>
      </c>
      <c r="E42" s="92">
        <v>9.9999999999999995E-7</v>
      </c>
      <c r="F42" s="90">
        <v>1</v>
      </c>
      <c r="G42" s="89">
        <v>0.05</v>
      </c>
      <c r="H42" s="93">
        <f>E42*F42*G42</f>
        <v>4.9999999999999998E-8</v>
      </c>
      <c r="I42" s="94">
        <v>96.3</v>
      </c>
      <c r="J42" s="95">
        <f>I42</f>
        <v>96.3</v>
      </c>
      <c r="K42" s="96" t="s">
        <v>83</v>
      </c>
      <c r="L42" s="97">
        <v>1000</v>
      </c>
      <c r="M42" s="98" t="str">
        <f t="shared" ref="M42:M50" si="53">A42</f>
        <v>С1</v>
      </c>
      <c r="N42" s="98" t="str">
        <f t="shared" ref="N42:N49" si="54">B42</f>
        <v>Аппарат 1 - 100- 1,0- 1Ти, рег.№4, Е-1</v>
      </c>
      <c r="O42" s="98" t="str">
        <f t="shared" ref="O42:O49" si="55">D42</f>
        <v>Полное-пожар</v>
      </c>
      <c r="P42" s="98">
        <v>22.6</v>
      </c>
      <c r="Q42" s="98">
        <v>31.4</v>
      </c>
      <c r="R42" s="98">
        <v>45.2</v>
      </c>
      <c r="S42" s="98">
        <v>84.6</v>
      </c>
      <c r="T42" s="98" t="s">
        <v>84</v>
      </c>
      <c r="U42" s="98" t="s">
        <v>84</v>
      </c>
      <c r="V42" s="98" t="s">
        <v>84</v>
      </c>
      <c r="W42" s="98" t="s">
        <v>84</v>
      </c>
      <c r="X42" s="98" t="s">
        <v>84</v>
      </c>
      <c r="Y42" s="98" t="s">
        <v>84</v>
      </c>
      <c r="Z42" s="98" t="s">
        <v>84</v>
      </c>
      <c r="AA42" s="98" t="s">
        <v>84</v>
      </c>
      <c r="AB42" s="98" t="s">
        <v>84</v>
      </c>
      <c r="AC42" s="98" t="s">
        <v>84</v>
      </c>
      <c r="AD42" s="98" t="s">
        <v>84</v>
      </c>
      <c r="AE42" s="98" t="s">
        <v>84</v>
      </c>
      <c r="AF42" s="98" t="s">
        <v>84</v>
      </c>
      <c r="AG42" s="98" t="s">
        <v>84</v>
      </c>
      <c r="AH42" s="54">
        <v>1</v>
      </c>
      <c r="AI42" s="54">
        <v>2</v>
      </c>
      <c r="AJ42" s="99">
        <v>0.75</v>
      </c>
      <c r="AK42" s="99">
        <v>2.7E-2</v>
      </c>
      <c r="AL42" s="99">
        <v>3</v>
      </c>
      <c r="AO42" s="100">
        <f>AK42*I42+AJ42</f>
        <v>3.3500999999999999</v>
      </c>
      <c r="AP42" s="100">
        <f>0.1*AO42</f>
        <v>0.33501000000000003</v>
      </c>
      <c r="AQ42" s="55">
        <f>AH42*3+0.25*AI42</f>
        <v>3.5</v>
      </c>
      <c r="AR42" s="55">
        <f>SUM(AO42:AQ42)/4</f>
        <v>1.7962775</v>
      </c>
      <c r="AS42" s="100">
        <f>10068.2*J42*POWER(10,-6)</f>
        <v>0.96956765999999994</v>
      </c>
      <c r="AT42" s="55">
        <f t="shared" ref="AT42:AT50" si="56">AS42+AR42+AQ42+AP42+AO42</f>
        <v>9.9509551599999995</v>
      </c>
      <c r="AU42" s="101">
        <f>AH42*H42</f>
        <v>4.9999999999999998E-8</v>
      </c>
      <c r="AV42" s="101">
        <f>H42*AI42</f>
        <v>9.9999999999999995E-8</v>
      </c>
      <c r="AW42" s="101">
        <f>H42*AT42</f>
        <v>4.9754775799999992E-7</v>
      </c>
    </row>
    <row r="43" spans="1:49" s="98" customFormat="1" x14ac:dyDescent="0.3">
      <c r="A43" s="89" t="s">
        <v>85</v>
      </c>
      <c r="B43" s="89" t="str">
        <f>B42</f>
        <v>Аппарат 1 - 100- 1,0- 1Ти, рег.№4, Е-1</v>
      </c>
      <c r="C43" s="33" t="s">
        <v>86</v>
      </c>
      <c r="D43" s="91" t="s">
        <v>87</v>
      </c>
      <c r="E43" s="102">
        <f>E42</f>
        <v>9.9999999999999995E-7</v>
      </c>
      <c r="F43" s="103">
        <f>F42</f>
        <v>1</v>
      </c>
      <c r="G43" s="89">
        <v>0.19</v>
      </c>
      <c r="H43" s="93">
        <f t="shared" ref="H43:H50" si="57">E43*F43*G43</f>
        <v>1.8999999999999998E-7</v>
      </c>
      <c r="I43" s="104">
        <f>I42</f>
        <v>96.3</v>
      </c>
      <c r="J43" s="112">
        <v>6.2E-2</v>
      </c>
      <c r="K43" s="105" t="s">
        <v>88</v>
      </c>
      <c r="L43" s="106">
        <v>0.25</v>
      </c>
      <c r="M43" s="98" t="str">
        <f t="shared" si="53"/>
        <v>С2</v>
      </c>
      <c r="N43" s="98" t="str">
        <f t="shared" si="54"/>
        <v>Аппарат 1 - 100- 1,0- 1Ти, рег.№4, Е-1</v>
      </c>
      <c r="O43" s="98" t="str">
        <f t="shared" si="55"/>
        <v>Полное-взрыв</v>
      </c>
      <c r="P43" s="98" t="s">
        <v>84</v>
      </c>
      <c r="Q43" s="98" t="s">
        <v>84</v>
      </c>
      <c r="R43" s="98" t="s">
        <v>84</v>
      </c>
      <c r="S43" s="98" t="s">
        <v>84</v>
      </c>
      <c r="T43" s="98">
        <v>12.6</v>
      </c>
      <c r="U43" s="98">
        <v>29.1</v>
      </c>
      <c r="V43" s="98">
        <v>79.599999999999994</v>
      </c>
      <c r="W43" s="98">
        <v>136.1</v>
      </c>
      <c r="X43" s="98" t="s">
        <v>84</v>
      </c>
      <c r="Y43" s="98" t="s">
        <v>84</v>
      </c>
      <c r="Z43" s="98" t="s">
        <v>84</v>
      </c>
      <c r="AA43" s="98" t="s">
        <v>84</v>
      </c>
      <c r="AB43" s="98" t="s">
        <v>84</v>
      </c>
      <c r="AC43" s="98" t="s">
        <v>84</v>
      </c>
      <c r="AD43" s="98" t="s">
        <v>84</v>
      </c>
      <c r="AE43" s="98" t="s">
        <v>84</v>
      </c>
      <c r="AF43" s="98" t="s">
        <v>84</v>
      </c>
      <c r="AG43" s="98" t="s">
        <v>84</v>
      </c>
      <c r="AH43" s="54">
        <v>2</v>
      </c>
      <c r="AI43" s="54">
        <v>2</v>
      </c>
      <c r="AJ43" s="98">
        <f>AJ42</f>
        <v>0.75</v>
      </c>
      <c r="AK43" s="98">
        <f>AK42</f>
        <v>2.7E-2</v>
      </c>
      <c r="AL43" s="98">
        <f>AL42</f>
        <v>3</v>
      </c>
      <c r="AO43" s="100">
        <f>AK43*I43+AJ43</f>
        <v>3.3500999999999999</v>
      </c>
      <c r="AP43" s="100">
        <f t="shared" ref="AP43:AP49" si="58">0.1*AO43</f>
        <v>0.33501000000000003</v>
      </c>
      <c r="AQ43" s="55">
        <f t="shared" ref="AQ43:AQ49" si="59">AH43*3+0.25*AI43</f>
        <v>6.5</v>
      </c>
      <c r="AR43" s="55">
        <f t="shared" ref="AR43:AR49" si="60">SUM(AO43:AQ43)/4</f>
        <v>2.5462775</v>
      </c>
      <c r="AS43" s="100">
        <f>10068.2*J43*POWER(10,-6)*10</f>
        <v>6.2422840000000007E-3</v>
      </c>
      <c r="AT43" s="55">
        <f t="shared" si="56"/>
        <v>12.737629783999999</v>
      </c>
      <c r="AU43" s="101">
        <f t="shared" ref="AU43:AU49" si="61">AH43*H43</f>
        <v>3.7999999999999996E-7</v>
      </c>
      <c r="AV43" s="101">
        <f t="shared" ref="AV43:AV49" si="62">H43*AI43</f>
        <v>3.7999999999999996E-7</v>
      </c>
      <c r="AW43" s="101">
        <f t="shared" ref="AW43" si="63">H43*AT43</f>
        <v>2.4201496589599995E-6</v>
      </c>
    </row>
    <row r="44" spans="1:49" s="98" customFormat="1" x14ac:dyDescent="0.3">
      <c r="A44" s="89" t="s">
        <v>89</v>
      </c>
      <c r="B44" s="89" t="str">
        <f>B42</f>
        <v>Аппарат 1 - 100- 1,0- 1Ти, рег.№4, Е-1</v>
      </c>
      <c r="C44" s="33" t="s">
        <v>163</v>
      </c>
      <c r="D44" s="91" t="s">
        <v>90</v>
      </c>
      <c r="E44" s="102">
        <f>E42</f>
        <v>9.9999999999999995E-7</v>
      </c>
      <c r="F44" s="103">
        <f>F42</f>
        <v>1</v>
      </c>
      <c r="G44" s="89">
        <v>0.76</v>
      </c>
      <c r="H44" s="93">
        <f t="shared" si="57"/>
        <v>7.5999999999999992E-7</v>
      </c>
      <c r="I44" s="104">
        <f>I42</f>
        <v>96.3</v>
      </c>
      <c r="J44" s="107">
        <v>0</v>
      </c>
      <c r="K44" s="105" t="s">
        <v>91</v>
      </c>
      <c r="L44" s="106">
        <v>2</v>
      </c>
      <c r="M44" s="98" t="str">
        <f t="shared" si="53"/>
        <v>С3</v>
      </c>
      <c r="N44" s="98" t="str">
        <f t="shared" si="54"/>
        <v>Аппарат 1 - 100- 1,0- 1Ти, рег.№4, Е-1</v>
      </c>
      <c r="O44" s="98" t="str">
        <f t="shared" si="55"/>
        <v>Полное-ликвидация</v>
      </c>
      <c r="P44" s="98" t="s">
        <v>84</v>
      </c>
      <c r="Q44" s="98" t="s">
        <v>84</v>
      </c>
      <c r="R44" s="98" t="s">
        <v>84</v>
      </c>
      <c r="S44" s="98" t="s">
        <v>84</v>
      </c>
      <c r="T44" s="98" t="s">
        <v>84</v>
      </c>
      <c r="U44" s="98" t="s">
        <v>84</v>
      </c>
      <c r="V44" s="98" t="s">
        <v>84</v>
      </c>
      <c r="W44" s="98" t="s">
        <v>84</v>
      </c>
      <c r="X44" s="98" t="s">
        <v>84</v>
      </c>
      <c r="Y44" s="98" t="s">
        <v>84</v>
      </c>
      <c r="Z44" s="98" t="s">
        <v>84</v>
      </c>
      <c r="AA44" s="98" t="s">
        <v>84</v>
      </c>
      <c r="AB44" s="98" t="s">
        <v>84</v>
      </c>
      <c r="AC44" s="98" t="s">
        <v>84</v>
      </c>
      <c r="AD44" s="98" t="s">
        <v>84</v>
      </c>
      <c r="AE44" s="98" t="s">
        <v>84</v>
      </c>
      <c r="AF44" s="98" t="s">
        <v>84</v>
      </c>
      <c r="AG44" s="98" t="s">
        <v>84</v>
      </c>
      <c r="AH44" s="98">
        <v>0</v>
      </c>
      <c r="AI44" s="98">
        <v>0</v>
      </c>
      <c r="AJ44" s="98">
        <f>AJ42</f>
        <v>0.75</v>
      </c>
      <c r="AK44" s="98">
        <f>AK42</f>
        <v>2.7E-2</v>
      </c>
      <c r="AL44" s="98">
        <f>AL42</f>
        <v>3</v>
      </c>
      <c r="AO44" s="100">
        <f>AK44*I44*0.1+AJ44</f>
        <v>1.0100100000000001</v>
      </c>
      <c r="AP44" s="100">
        <f t="shared" si="58"/>
        <v>0.10100100000000001</v>
      </c>
      <c r="AQ44" s="55">
        <f t="shared" si="59"/>
        <v>0</v>
      </c>
      <c r="AR44" s="55">
        <f t="shared" si="60"/>
        <v>0.27775274999999999</v>
      </c>
      <c r="AS44" s="100">
        <f>1333*J42*POWER(10,-6)</f>
        <v>0.12836789999999998</v>
      </c>
      <c r="AT44" s="55">
        <f t="shared" si="56"/>
        <v>1.5171316500000001</v>
      </c>
      <c r="AU44" s="101">
        <f t="shared" si="61"/>
        <v>0</v>
      </c>
      <c r="AV44" s="101">
        <f t="shared" si="62"/>
        <v>0</v>
      </c>
      <c r="AW44" s="101">
        <f>H44*AT44</f>
        <v>1.1530200539999999E-6</v>
      </c>
    </row>
    <row r="45" spans="1:49" s="98" customFormat="1" x14ac:dyDescent="0.3">
      <c r="A45" s="89" t="s">
        <v>92</v>
      </c>
      <c r="B45" s="89" t="str">
        <f>B42</f>
        <v>Аппарат 1 - 100- 1,0- 1Ти, рег.№4, Е-1</v>
      </c>
      <c r="C45" s="33" t="s">
        <v>93</v>
      </c>
      <c r="D45" s="91" t="s">
        <v>94</v>
      </c>
      <c r="E45" s="92">
        <v>1.0000000000000001E-5</v>
      </c>
      <c r="F45" s="103">
        <f>F42</f>
        <v>1</v>
      </c>
      <c r="G45" s="89">
        <v>4.0000000000000008E-2</v>
      </c>
      <c r="H45" s="93">
        <f t="shared" si="57"/>
        <v>4.0000000000000009E-7</v>
      </c>
      <c r="I45" s="104">
        <f>0.15*I42</f>
        <v>14.444999999999999</v>
      </c>
      <c r="J45" s="95">
        <f>I45</f>
        <v>14.444999999999999</v>
      </c>
      <c r="K45" s="105" t="s">
        <v>95</v>
      </c>
      <c r="L45" s="106">
        <v>45390</v>
      </c>
      <c r="M45" s="98" t="str">
        <f t="shared" si="53"/>
        <v>С4</v>
      </c>
      <c r="N45" s="98" t="str">
        <f t="shared" si="54"/>
        <v>Аппарат 1 - 100- 1,0- 1Ти, рег.№4, Е-1</v>
      </c>
      <c r="O45" s="98" t="str">
        <f t="shared" si="55"/>
        <v>Частичное факел</v>
      </c>
      <c r="P45" s="98" t="s">
        <v>84</v>
      </c>
      <c r="Q45" s="98" t="s">
        <v>84</v>
      </c>
      <c r="R45" s="98" t="s">
        <v>84</v>
      </c>
      <c r="S45" s="98" t="s">
        <v>84</v>
      </c>
      <c r="T45" s="98" t="s">
        <v>84</v>
      </c>
      <c r="U45" s="98" t="s">
        <v>84</v>
      </c>
      <c r="V45" s="98" t="s">
        <v>84</v>
      </c>
      <c r="W45" s="98" t="s">
        <v>84</v>
      </c>
      <c r="X45" s="98">
        <v>19</v>
      </c>
      <c r="Y45" s="98">
        <v>3</v>
      </c>
      <c r="Z45" s="98" t="s">
        <v>84</v>
      </c>
      <c r="AA45" s="98" t="s">
        <v>84</v>
      </c>
      <c r="AB45" s="98" t="s">
        <v>84</v>
      </c>
      <c r="AC45" s="98" t="s">
        <v>84</v>
      </c>
      <c r="AD45" s="98" t="s">
        <v>84</v>
      </c>
      <c r="AE45" s="98" t="s">
        <v>84</v>
      </c>
      <c r="AF45" s="98" t="s">
        <v>84</v>
      </c>
      <c r="AG45" s="98" t="s">
        <v>84</v>
      </c>
      <c r="AH45" s="98">
        <v>0</v>
      </c>
      <c r="AI45" s="98">
        <v>1</v>
      </c>
      <c r="AJ45" s="98">
        <f>0.1*$AJ$126</f>
        <v>7.5000000000000015E-3</v>
      </c>
      <c r="AK45" s="98">
        <f>AK43</f>
        <v>2.7E-2</v>
      </c>
      <c r="AL45" s="98">
        <f>AL42</f>
        <v>3</v>
      </c>
      <c r="AO45" s="100">
        <f>AK45*I45*0.1+AJ45</f>
        <v>4.6501499999999994E-2</v>
      </c>
      <c r="AP45" s="100">
        <f t="shared" si="58"/>
        <v>4.6501499999999996E-3</v>
      </c>
      <c r="AQ45" s="55">
        <f t="shared" si="59"/>
        <v>0.25</v>
      </c>
      <c r="AR45" s="55">
        <f t="shared" si="60"/>
        <v>7.5287912499999998E-2</v>
      </c>
      <c r="AS45" s="100">
        <f>10068.2*J45*POWER(10,-6)</f>
        <v>0.14543514899999999</v>
      </c>
      <c r="AT45" s="55">
        <f t="shared" si="56"/>
        <v>0.52187471149999998</v>
      </c>
      <c r="AU45" s="101">
        <f t="shared" si="61"/>
        <v>0</v>
      </c>
      <c r="AV45" s="101">
        <f t="shared" si="62"/>
        <v>4.0000000000000009E-7</v>
      </c>
      <c r="AW45" s="101">
        <f t="shared" ref="AW45:AW49" si="64">H45*AT45</f>
        <v>2.0874988460000004E-7</v>
      </c>
    </row>
    <row r="46" spans="1:49" s="98" customFormat="1" x14ac:dyDescent="0.3">
      <c r="A46" s="89" t="s">
        <v>96</v>
      </c>
      <c r="B46" s="89" t="str">
        <f>B42</f>
        <v>Аппарат 1 - 100- 1,0- 1Ти, рег.№4, Е-1</v>
      </c>
      <c r="C46" s="33" t="s">
        <v>164</v>
      </c>
      <c r="D46" s="91" t="s">
        <v>97</v>
      </c>
      <c r="E46" s="102">
        <f>E45</f>
        <v>1.0000000000000001E-5</v>
      </c>
      <c r="F46" s="103">
        <f>F42</f>
        <v>1</v>
      </c>
      <c r="G46" s="89">
        <v>0.16000000000000003</v>
      </c>
      <c r="H46" s="93">
        <f t="shared" si="57"/>
        <v>1.6000000000000004E-6</v>
      </c>
      <c r="I46" s="104">
        <f>0.15*I42</f>
        <v>14.444999999999999</v>
      </c>
      <c r="J46" s="95">
        <v>0</v>
      </c>
      <c r="K46" s="105" t="s">
        <v>98</v>
      </c>
      <c r="L46" s="106">
        <v>3</v>
      </c>
      <c r="M46" s="98" t="str">
        <f t="shared" si="53"/>
        <v>С5</v>
      </c>
      <c r="N46" s="98" t="str">
        <f t="shared" si="54"/>
        <v>Аппарат 1 - 100- 1,0- 1Ти, рег.№4, Е-1</v>
      </c>
      <c r="O46" s="98" t="str">
        <f t="shared" si="55"/>
        <v>Частичное-ликвидация</v>
      </c>
      <c r="P46" s="98" t="s">
        <v>84</v>
      </c>
      <c r="Q46" s="98" t="s">
        <v>84</v>
      </c>
      <c r="R46" s="98" t="s">
        <v>84</v>
      </c>
      <c r="S46" s="98" t="s">
        <v>84</v>
      </c>
      <c r="T46" s="98" t="s">
        <v>84</v>
      </c>
      <c r="U46" s="98" t="s">
        <v>84</v>
      </c>
      <c r="V46" s="98" t="s">
        <v>84</v>
      </c>
      <c r="W46" s="98" t="s">
        <v>84</v>
      </c>
      <c r="X46" s="98" t="s">
        <v>84</v>
      </c>
      <c r="Y46" s="98" t="s">
        <v>84</v>
      </c>
      <c r="Z46" s="98" t="s">
        <v>84</v>
      </c>
      <c r="AA46" s="98" t="s">
        <v>84</v>
      </c>
      <c r="AB46" s="98" t="s">
        <v>84</v>
      </c>
      <c r="AC46" s="98" t="s">
        <v>84</v>
      </c>
      <c r="AD46" s="98" t="s">
        <v>84</v>
      </c>
      <c r="AE46" s="98" t="s">
        <v>84</v>
      </c>
      <c r="AF46" s="98" t="s">
        <v>84</v>
      </c>
      <c r="AG46" s="98" t="s">
        <v>84</v>
      </c>
      <c r="AH46" s="98">
        <v>0</v>
      </c>
      <c r="AI46" s="98">
        <v>1</v>
      </c>
      <c r="AJ46" s="98">
        <f>0.1*$AJ$126</f>
        <v>7.5000000000000015E-3</v>
      </c>
      <c r="AK46" s="98">
        <f>AK42</f>
        <v>2.7E-2</v>
      </c>
      <c r="AL46" s="98">
        <f>ROUNDUP(AL42/3,0)</f>
        <v>1</v>
      </c>
      <c r="AO46" s="100">
        <f>AK46*I46+AJ46</f>
        <v>0.39751499999999995</v>
      </c>
      <c r="AP46" s="100">
        <f t="shared" si="58"/>
        <v>3.9751499999999995E-2</v>
      </c>
      <c r="AQ46" s="55">
        <f t="shared" si="59"/>
        <v>0.25</v>
      </c>
      <c r="AR46" s="55">
        <f t="shared" si="60"/>
        <v>0.171816625</v>
      </c>
      <c r="AS46" s="100">
        <f>1333*J43*POWER(10,-6)*10</f>
        <v>8.2646E-4</v>
      </c>
      <c r="AT46" s="55">
        <f t="shared" si="56"/>
        <v>0.85990958500000003</v>
      </c>
      <c r="AU46" s="101">
        <f t="shared" si="61"/>
        <v>0</v>
      </c>
      <c r="AV46" s="101">
        <f t="shared" si="62"/>
        <v>1.6000000000000004E-6</v>
      </c>
      <c r="AW46" s="101">
        <f t="shared" si="64"/>
        <v>1.3758553360000004E-6</v>
      </c>
    </row>
    <row r="47" spans="1:49" s="98" customFormat="1" x14ac:dyDescent="0.3">
      <c r="A47" s="89" t="s">
        <v>99</v>
      </c>
      <c r="B47" s="89" t="str">
        <f>B42</f>
        <v>Аппарат 1 - 100- 1,0- 1Ти, рег.№4, Е-1</v>
      </c>
      <c r="C47" s="33" t="s">
        <v>100</v>
      </c>
      <c r="D47" s="91" t="s">
        <v>94</v>
      </c>
      <c r="E47" s="102">
        <f>E46</f>
        <v>1.0000000000000001E-5</v>
      </c>
      <c r="F47" s="103">
        <v>1</v>
      </c>
      <c r="G47" s="89">
        <v>4.0000000000000008E-2</v>
      </c>
      <c r="H47" s="93">
        <f t="shared" si="57"/>
        <v>4.0000000000000009E-7</v>
      </c>
      <c r="I47" s="104">
        <f>I45*0.15</f>
        <v>2.1667499999999995</v>
      </c>
      <c r="J47" s="95">
        <f>I47</f>
        <v>2.1667499999999995</v>
      </c>
      <c r="K47" s="108" t="s">
        <v>101</v>
      </c>
      <c r="L47" s="109">
        <v>12</v>
      </c>
      <c r="M47" s="98" t="str">
        <f t="shared" si="53"/>
        <v>С6</v>
      </c>
      <c r="N47" s="98" t="str">
        <f t="shared" si="54"/>
        <v>Аппарат 1 - 100- 1,0- 1Ти, рег.№4, Е-1</v>
      </c>
      <c r="O47" s="98" t="str">
        <f t="shared" si="55"/>
        <v>Частичное факел</v>
      </c>
      <c r="P47" s="98" t="s">
        <v>84</v>
      </c>
      <c r="Q47" s="98" t="s">
        <v>84</v>
      </c>
      <c r="R47" s="98" t="s">
        <v>84</v>
      </c>
      <c r="S47" s="98" t="s">
        <v>84</v>
      </c>
      <c r="T47" s="98" t="s">
        <v>84</v>
      </c>
      <c r="U47" s="98" t="s">
        <v>84</v>
      </c>
      <c r="V47" s="98" t="s">
        <v>84</v>
      </c>
      <c r="W47" s="98" t="s">
        <v>84</v>
      </c>
      <c r="X47" s="98">
        <v>7</v>
      </c>
      <c r="Y47" s="98">
        <v>2</v>
      </c>
      <c r="Z47" s="98" t="s">
        <v>84</v>
      </c>
      <c r="AA47" s="98" t="s">
        <v>84</v>
      </c>
      <c r="AB47" s="98" t="s">
        <v>84</v>
      </c>
      <c r="AC47" s="98" t="s">
        <v>84</v>
      </c>
      <c r="AD47" s="98" t="s">
        <v>84</v>
      </c>
      <c r="AE47" s="98" t="s">
        <v>84</v>
      </c>
      <c r="AF47" s="98" t="s">
        <v>84</v>
      </c>
      <c r="AG47" s="98" t="s">
        <v>84</v>
      </c>
      <c r="AH47" s="98">
        <v>0</v>
      </c>
      <c r="AI47" s="98">
        <v>1</v>
      </c>
      <c r="AJ47" s="98">
        <f>0.1*$AJ$126</f>
        <v>7.5000000000000015E-3</v>
      </c>
      <c r="AK47" s="98">
        <f>AK42</f>
        <v>2.7E-2</v>
      </c>
      <c r="AL47" s="98">
        <f>AL46</f>
        <v>1</v>
      </c>
      <c r="AO47" s="100">
        <f t="shared" ref="AO47:AO48" si="65">AK47*I47+AJ47</f>
        <v>6.6002249999999985E-2</v>
      </c>
      <c r="AP47" s="100">
        <f t="shared" si="58"/>
        <v>6.6002249999999986E-3</v>
      </c>
      <c r="AQ47" s="55">
        <f t="shared" si="59"/>
        <v>0.25</v>
      </c>
      <c r="AR47" s="55">
        <f t="shared" si="60"/>
        <v>8.065061875E-2</v>
      </c>
      <c r="AS47" s="100">
        <f>10068.2*J47*POWER(10,-6)</f>
        <v>2.1815272349999994E-2</v>
      </c>
      <c r="AT47" s="55">
        <f t="shared" si="56"/>
        <v>0.42506836609999998</v>
      </c>
      <c r="AU47" s="101">
        <f t="shared" si="61"/>
        <v>0</v>
      </c>
      <c r="AV47" s="101">
        <f t="shared" si="62"/>
        <v>4.0000000000000009E-7</v>
      </c>
      <c r="AW47" s="101">
        <f t="shared" si="64"/>
        <v>1.7002734644000003E-7</v>
      </c>
    </row>
    <row r="48" spans="1:49" s="98" customFormat="1" x14ac:dyDescent="0.3">
      <c r="A48" s="89" t="s">
        <v>102</v>
      </c>
      <c r="B48" s="89" t="str">
        <f>B42</f>
        <v>Аппарат 1 - 100- 1,0- 1Ти, рег.№4, Е-1</v>
      </c>
      <c r="C48" s="33" t="s">
        <v>103</v>
      </c>
      <c r="D48" s="91" t="s">
        <v>104</v>
      </c>
      <c r="E48" s="102">
        <f>E46</f>
        <v>1.0000000000000001E-5</v>
      </c>
      <c r="F48" s="103">
        <f>F42</f>
        <v>1</v>
      </c>
      <c r="G48" s="89">
        <v>0.15200000000000002</v>
      </c>
      <c r="H48" s="93">
        <f t="shared" si="57"/>
        <v>1.5200000000000003E-6</v>
      </c>
      <c r="I48" s="104">
        <f>I45*0.15</f>
        <v>2.1667499999999995</v>
      </c>
      <c r="J48" s="95">
        <f>I48</f>
        <v>2.1667499999999995</v>
      </c>
      <c r="K48" s="105"/>
      <c r="L48" s="106"/>
      <c r="M48" s="98" t="str">
        <f t="shared" si="53"/>
        <v>С7</v>
      </c>
      <c r="N48" s="98" t="str">
        <f t="shared" si="54"/>
        <v>Аппарат 1 - 100- 1,0- 1Ти, рег.№4, Е-1</v>
      </c>
      <c r="O48" s="98" t="str">
        <f t="shared" si="55"/>
        <v>Частичное-пожар-вспышка</v>
      </c>
      <c r="P48" s="98" t="s">
        <v>84</v>
      </c>
      <c r="Q48" s="98" t="s">
        <v>84</v>
      </c>
      <c r="R48" s="98" t="s">
        <v>84</v>
      </c>
      <c r="S48" s="98" t="s">
        <v>84</v>
      </c>
      <c r="T48" s="98" t="s">
        <v>84</v>
      </c>
      <c r="U48" s="98" t="s">
        <v>84</v>
      </c>
      <c r="V48" s="98" t="s">
        <v>84</v>
      </c>
      <c r="W48" s="98" t="s">
        <v>84</v>
      </c>
      <c r="X48" s="98" t="s">
        <v>84</v>
      </c>
      <c r="Y48" s="98" t="s">
        <v>84</v>
      </c>
      <c r="Z48" s="98">
        <v>43.26</v>
      </c>
      <c r="AA48" s="98">
        <v>51.91</v>
      </c>
      <c r="AB48" s="98" t="s">
        <v>84</v>
      </c>
      <c r="AC48" s="98" t="s">
        <v>84</v>
      </c>
      <c r="AD48" s="98" t="s">
        <v>84</v>
      </c>
      <c r="AE48" s="98" t="s">
        <v>84</v>
      </c>
      <c r="AF48" s="98" t="s">
        <v>84</v>
      </c>
      <c r="AG48" s="98" t="s">
        <v>84</v>
      </c>
      <c r="AH48" s="98">
        <v>0</v>
      </c>
      <c r="AI48" s="98">
        <v>1</v>
      </c>
      <c r="AJ48" s="98">
        <f>0.1*$AJ$126</f>
        <v>7.5000000000000015E-3</v>
      </c>
      <c r="AK48" s="98">
        <f>AK42</f>
        <v>2.7E-2</v>
      </c>
      <c r="AL48" s="98">
        <f>ROUNDUP(AL42/3,0)</f>
        <v>1</v>
      </c>
      <c r="AO48" s="100">
        <f t="shared" si="65"/>
        <v>6.6002249999999985E-2</v>
      </c>
      <c r="AP48" s="100">
        <f t="shared" si="58"/>
        <v>6.6002249999999986E-3</v>
      </c>
      <c r="AQ48" s="55">
        <f t="shared" si="59"/>
        <v>0.25</v>
      </c>
      <c r="AR48" s="55">
        <f t="shared" si="60"/>
        <v>8.065061875E-2</v>
      </c>
      <c r="AS48" s="100">
        <f>10068.2*J48*POWER(10,-6)</f>
        <v>2.1815272349999994E-2</v>
      </c>
      <c r="AT48" s="55">
        <f t="shared" si="56"/>
        <v>0.42506836609999998</v>
      </c>
      <c r="AU48" s="101">
        <f t="shared" si="61"/>
        <v>0</v>
      </c>
      <c r="AV48" s="101">
        <f t="shared" si="62"/>
        <v>1.5200000000000003E-6</v>
      </c>
      <c r="AW48" s="101">
        <f t="shared" si="64"/>
        <v>6.4610391647200007E-7</v>
      </c>
    </row>
    <row r="49" spans="1:49" s="98" customFormat="1" ht="17.25" thickBot="1" x14ac:dyDescent="0.35">
      <c r="A49" s="89" t="s">
        <v>105</v>
      </c>
      <c r="B49" s="89" t="str">
        <f>B42</f>
        <v>Аппарат 1 - 100- 1,0- 1Ти, рег.№4, Е-1</v>
      </c>
      <c r="C49" s="33" t="s">
        <v>106</v>
      </c>
      <c r="D49" s="91" t="s">
        <v>97</v>
      </c>
      <c r="E49" s="102">
        <f>E46</f>
        <v>1.0000000000000001E-5</v>
      </c>
      <c r="F49" s="103">
        <f>F42</f>
        <v>1</v>
      </c>
      <c r="G49" s="89">
        <v>0.6080000000000001</v>
      </c>
      <c r="H49" s="93">
        <f t="shared" si="57"/>
        <v>6.0800000000000011E-6</v>
      </c>
      <c r="I49" s="104">
        <f>I45*0.15</f>
        <v>2.1667499999999995</v>
      </c>
      <c r="J49" s="107">
        <v>0</v>
      </c>
      <c r="K49" s="110"/>
      <c r="L49" s="111"/>
      <c r="M49" s="98" t="str">
        <f t="shared" si="53"/>
        <v>С8</v>
      </c>
      <c r="N49" s="98" t="str">
        <f t="shared" si="54"/>
        <v>Аппарат 1 - 100- 1,0- 1Ти, рег.№4, Е-1</v>
      </c>
      <c r="O49" s="98" t="str">
        <f t="shared" si="55"/>
        <v>Частичное-ликвидация</v>
      </c>
      <c r="P49" s="98" t="s">
        <v>84</v>
      </c>
      <c r="Q49" s="98" t="s">
        <v>84</v>
      </c>
      <c r="R49" s="98" t="s">
        <v>84</v>
      </c>
      <c r="S49" s="98" t="s">
        <v>84</v>
      </c>
      <c r="T49" s="98" t="s">
        <v>84</v>
      </c>
      <c r="U49" s="98" t="s">
        <v>84</v>
      </c>
      <c r="V49" s="98" t="s">
        <v>84</v>
      </c>
      <c r="W49" s="98" t="s">
        <v>84</v>
      </c>
      <c r="X49" s="98" t="s">
        <v>84</v>
      </c>
      <c r="Y49" s="98" t="s">
        <v>84</v>
      </c>
      <c r="Z49" s="98" t="s">
        <v>84</v>
      </c>
      <c r="AA49" s="98" t="s">
        <v>84</v>
      </c>
      <c r="AB49" s="98" t="s">
        <v>84</v>
      </c>
      <c r="AC49" s="98" t="s">
        <v>84</v>
      </c>
      <c r="AD49" s="98" t="s">
        <v>84</v>
      </c>
      <c r="AE49" s="98" t="s">
        <v>84</v>
      </c>
      <c r="AF49" s="98" t="s">
        <v>84</v>
      </c>
      <c r="AG49" s="98" t="s">
        <v>84</v>
      </c>
      <c r="AH49" s="98">
        <v>0</v>
      </c>
      <c r="AI49" s="98">
        <v>0</v>
      </c>
      <c r="AJ49" s="98">
        <f>0.1*$AJ$126</f>
        <v>7.5000000000000015E-3</v>
      </c>
      <c r="AK49" s="98">
        <f>AK42</f>
        <v>2.7E-2</v>
      </c>
      <c r="AL49" s="98">
        <f>ROUNDUP(AL42/3,0)</f>
        <v>1</v>
      </c>
      <c r="AO49" s="100">
        <f>AK49*I49*0.1+AJ49</f>
        <v>1.3350225E-2</v>
      </c>
      <c r="AP49" s="100">
        <f t="shared" si="58"/>
        <v>1.3350225000000001E-3</v>
      </c>
      <c r="AQ49" s="55">
        <f t="shared" si="59"/>
        <v>0</v>
      </c>
      <c r="AR49" s="55">
        <f t="shared" si="60"/>
        <v>3.671311875E-3</v>
      </c>
      <c r="AS49" s="100">
        <f>1333*J47*POWER(10,-6)</f>
        <v>2.888277749999999E-3</v>
      </c>
      <c r="AT49" s="55">
        <f t="shared" si="56"/>
        <v>2.1244837124999999E-2</v>
      </c>
      <c r="AU49" s="101">
        <f t="shared" si="61"/>
        <v>0</v>
      </c>
      <c r="AV49" s="101">
        <f t="shared" si="62"/>
        <v>0</v>
      </c>
      <c r="AW49" s="101">
        <f t="shared" si="64"/>
        <v>1.2916860972000002E-7</v>
      </c>
    </row>
    <row r="50" spans="1:49" s="98" customFormat="1" x14ac:dyDescent="0.3">
      <c r="A50" s="89" t="s">
        <v>160</v>
      </c>
      <c r="B50" s="89" t="str">
        <f>B42</f>
        <v>Аппарат 1 - 100- 1,0- 1Ти, рег.№4, Е-1</v>
      </c>
      <c r="C50" s="89" t="s">
        <v>161</v>
      </c>
      <c r="D50" s="89" t="s">
        <v>162</v>
      </c>
      <c r="E50" s="92">
        <v>2.5000000000000001E-5</v>
      </c>
      <c r="F50" s="89">
        <v>1</v>
      </c>
      <c r="G50" s="89">
        <v>1</v>
      </c>
      <c r="H50" s="93">
        <f t="shared" si="57"/>
        <v>2.5000000000000001E-5</v>
      </c>
      <c r="I50" s="104">
        <f>I42</f>
        <v>96.3</v>
      </c>
      <c r="J50" s="104">
        <f>J42*0.03</f>
        <v>2.8889999999999998</v>
      </c>
      <c r="K50" s="89"/>
      <c r="L50" s="89"/>
      <c r="M50" s="98" t="str">
        <f t="shared" si="53"/>
        <v>С9</v>
      </c>
      <c r="P50" s="98" t="s">
        <v>84</v>
      </c>
      <c r="Q50" s="98" t="s">
        <v>84</v>
      </c>
      <c r="R50" s="98" t="s">
        <v>84</v>
      </c>
      <c r="S50" s="98" t="s">
        <v>84</v>
      </c>
      <c r="T50" s="98" t="s">
        <v>84</v>
      </c>
      <c r="U50" s="98" t="s">
        <v>84</v>
      </c>
      <c r="V50" s="98" t="s">
        <v>84</v>
      </c>
      <c r="W50" s="98" t="s">
        <v>84</v>
      </c>
      <c r="X50" s="98" t="s">
        <v>84</v>
      </c>
      <c r="Y50" s="98" t="s">
        <v>84</v>
      </c>
      <c r="Z50" s="98" t="s">
        <v>84</v>
      </c>
      <c r="AA50" s="98" t="s">
        <v>84</v>
      </c>
      <c r="AB50" s="98" t="s">
        <v>84</v>
      </c>
      <c r="AC50" s="98" t="s">
        <v>84</v>
      </c>
      <c r="AD50" s="98">
        <v>39.5</v>
      </c>
      <c r="AE50" s="98">
        <v>70.5</v>
      </c>
      <c r="AF50" s="98">
        <v>88</v>
      </c>
      <c r="AG50" s="98">
        <v>118</v>
      </c>
      <c r="AH50" s="98">
        <v>1</v>
      </c>
      <c r="AI50" s="98">
        <v>2</v>
      </c>
      <c r="AJ50" s="98">
        <f>AJ42</f>
        <v>0.75</v>
      </c>
      <c r="AK50" s="98">
        <f>AK42</f>
        <v>2.7E-2</v>
      </c>
      <c r="AL50" s="98">
        <v>5</v>
      </c>
      <c r="AO50" s="100">
        <f>AK50*I50+AJ50</f>
        <v>3.3500999999999999</v>
      </c>
      <c r="AP50" s="100">
        <f>0.1*AO50</f>
        <v>0.33501000000000003</v>
      </c>
      <c r="AQ50" s="55">
        <f>AH50*3+0.25*AI50</f>
        <v>3.5</v>
      </c>
      <c r="AR50" s="55">
        <f>SUM(AO50:AQ50)/4</f>
        <v>1.7962775</v>
      </c>
      <c r="AS50" s="100">
        <f>10068.2*J50*POWER(10,-6)</f>
        <v>2.9087029800000001E-2</v>
      </c>
      <c r="AT50" s="55">
        <f t="shared" si="56"/>
        <v>9.0104745297999997</v>
      </c>
      <c r="AU50" s="101">
        <f>AH50*H50</f>
        <v>2.5000000000000001E-5</v>
      </c>
      <c r="AV50" s="101">
        <f>H50*AI50</f>
        <v>5.0000000000000002E-5</v>
      </c>
      <c r="AW50" s="101">
        <f>H50*AT50</f>
        <v>2.2526186324500002E-4</v>
      </c>
    </row>
    <row r="51" spans="1:49" ht="17.25" thickBot="1" x14ac:dyDescent="0.35">
      <c r="A51" s="47"/>
      <c r="B51" s="47"/>
      <c r="C51" s="47"/>
      <c r="D51" s="48"/>
      <c r="E51" s="48"/>
      <c r="F51" s="48"/>
      <c r="G51" s="48"/>
      <c r="H51" s="48"/>
      <c r="I51" s="48"/>
      <c r="J51" s="48"/>
      <c r="K51" s="48"/>
      <c r="M51" s="42"/>
      <c r="N51" s="42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47"/>
      <c r="AC51" s="47"/>
      <c r="AD51" s="87"/>
      <c r="AE51" s="87"/>
      <c r="AF51" s="87"/>
      <c r="AG51" s="87"/>
      <c r="AH51" s="48"/>
      <c r="AI51" s="48"/>
      <c r="AJ51" s="88"/>
      <c r="AK51" s="61"/>
      <c r="AL51" s="61"/>
      <c r="AO51" s="48"/>
      <c r="AP51" s="48"/>
      <c r="AQ51" s="48"/>
      <c r="AR51" s="48"/>
      <c r="AS51" s="48"/>
      <c r="AT51" s="48"/>
      <c r="AU51" s="48"/>
      <c r="AV51" s="48"/>
      <c r="AW51" s="48"/>
    </row>
    <row r="52" spans="1:49" s="98" customFormat="1" ht="18" customHeight="1" x14ac:dyDescent="0.3">
      <c r="A52" s="89" t="s">
        <v>80</v>
      </c>
      <c r="B52" s="90" t="s">
        <v>67</v>
      </c>
      <c r="C52" s="33" t="s">
        <v>81</v>
      </c>
      <c r="D52" s="91" t="s">
        <v>82</v>
      </c>
      <c r="E52" s="92">
        <v>9.9999999999999995E-7</v>
      </c>
      <c r="F52" s="90">
        <v>1</v>
      </c>
      <c r="G52" s="89">
        <v>0.05</v>
      </c>
      <c r="H52" s="93">
        <f>E52*F52*G52</f>
        <v>4.9999999999999998E-8</v>
      </c>
      <c r="I52" s="94">
        <v>8.56</v>
      </c>
      <c r="J52" s="95">
        <f>I52</f>
        <v>8.56</v>
      </c>
      <c r="K52" s="96" t="s">
        <v>83</v>
      </c>
      <c r="L52" s="97">
        <v>160</v>
      </c>
      <c r="M52" s="98" t="str">
        <f t="shared" ref="M52:M60" si="66">A52</f>
        <v>С1</v>
      </c>
      <c r="N52" s="98" t="str">
        <f t="shared" ref="N52:N59" si="67">B52</f>
        <v>Сепаратор НГС 1 -1,0 - 2000-1, рег.№6</v>
      </c>
      <c r="O52" s="98" t="str">
        <f t="shared" ref="O52:O59" si="68">D52</f>
        <v>Полное-пожар</v>
      </c>
      <c r="P52" s="98">
        <v>15.8</v>
      </c>
      <c r="Q52" s="98">
        <v>21.3</v>
      </c>
      <c r="R52" s="98">
        <v>29.6</v>
      </c>
      <c r="S52" s="98">
        <v>54</v>
      </c>
      <c r="T52" s="98" t="s">
        <v>84</v>
      </c>
      <c r="U52" s="98" t="s">
        <v>84</v>
      </c>
      <c r="V52" s="98" t="s">
        <v>84</v>
      </c>
      <c r="W52" s="98" t="s">
        <v>84</v>
      </c>
      <c r="X52" s="98" t="s">
        <v>84</v>
      </c>
      <c r="Y52" s="98" t="s">
        <v>84</v>
      </c>
      <c r="Z52" s="98" t="s">
        <v>84</v>
      </c>
      <c r="AA52" s="98" t="s">
        <v>84</v>
      </c>
      <c r="AB52" s="98" t="s">
        <v>84</v>
      </c>
      <c r="AC52" s="98" t="s">
        <v>84</v>
      </c>
      <c r="AD52" s="98" t="s">
        <v>84</v>
      </c>
      <c r="AE52" s="98" t="s">
        <v>84</v>
      </c>
      <c r="AF52" s="98" t="s">
        <v>84</v>
      </c>
      <c r="AG52" s="98" t="s">
        <v>84</v>
      </c>
      <c r="AH52" s="54">
        <v>1</v>
      </c>
      <c r="AI52" s="54">
        <v>1</v>
      </c>
      <c r="AJ52" s="99">
        <v>0.75</v>
      </c>
      <c r="AK52" s="99">
        <v>2.7E-2</v>
      </c>
      <c r="AL52" s="99">
        <v>3</v>
      </c>
      <c r="AO52" s="100">
        <f>AK52*I52+AJ52</f>
        <v>0.98111999999999999</v>
      </c>
      <c r="AP52" s="100">
        <f>0.1*AO52</f>
        <v>9.8112000000000005E-2</v>
      </c>
      <c r="AQ52" s="55">
        <f>AH52*3+0.25*AI52</f>
        <v>3.25</v>
      </c>
      <c r="AR52" s="55">
        <f>SUM(AO52:AQ52)/4</f>
        <v>1.082308</v>
      </c>
      <c r="AS52" s="100">
        <f>10068.2*J52*POWER(10,-6)</f>
        <v>8.6183792000000009E-2</v>
      </c>
      <c r="AT52" s="55">
        <f t="shared" ref="AT52:AT60" si="69">AS52+AR52+AQ52+AP52+AO52</f>
        <v>5.4977237920000004</v>
      </c>
      <c r="AU52" s="101">
        <f>AH52*H52</f>
        <v>4.9999999999999998E-8</v>
      </c>
      <c r="AV52" s="101">
        <f>H52*AI52</f>
        <v>4.9999999999999998E-8</v>
      </c>
      <c r="AW52" s="101">
        <f>H52*AT52</f>
        <v>2.7488618960000001E-7</v>
      </c>
    </row>
    <row r="53" spans="1:49" s="98" customFormat="1" x14ac:dyDescent="0.3">
      <c r="A53" s="89" t="s">
        <v>85</v>
      </c>
      <c r="B53" s="89" t="str">
        <f>B52</f>
        <v>Сепаратор НГС 1 -1,0 - 2000-1, рег.№6</v>
      </c>
      <c r="C53" s="33" t="s">
        <v>86</v>
      </c>
      <c r="D53" s="91" t="s">
        <v>87</v>
      </c>
      <c r="E53" s="102">
        <f>E52</f>
        <v>9.9999999999999995E-7</v>
      </c>
      <c r="F53" s="103">
        <f>F52</f>
        <v>1</v>
      </c>
      <c r="G53" s="89">
        <v>0.19</v>
      </c>
      <c r="H53" s="93">
        <f t="shared" ref="H53:H60" si="70">E53*F53*G53</f>
        <v>1.8999999999999998E-7</v>
      </c>
      <c r="I53" s="104">
        <f>I52</f>
        <v>8.56</v>
      </c>
      <c r="J53" s="112">
        <v>0.01</v>
      </c>
      <c r="K53" s="105" t="s">
        <v>88</v>
      </c>
      <c r="L53" s="106">
        <v>0.25</v>
      </c>
      <c r="M53" s="98" t="str">
        <f t="shared" si="66"/>
        <v>С2</v>
      </c>
      <c r="N53" s="98" t="str">
        <f t="shared" si="67"/>
        <v>Сепаратор НГС 1 -1,0 - 2000-1, рег.№6</v>
      </c>
      <c r="O53" s="98" t="str">
        <f t="shared" si="68"/>
        <v>Полное-взрыв</v>
      </c>
      <c r="P53" s="98" t="s">
        <v>84</v>
      </c>
      <c r="Q53" s="98" t="s">
        <v>84</v>
      </c>
      <c r="R53" s="98" t="s">
        <v>84</v>
      </c>
      <c r="S53" s="98" t="s">
        <v>84</v>
      </c>
      <c r="T53" s="98">
        <v>7.1</v>
      </c>
      <c r="U53" s="98">
        <v>16.100000000000001</v>
      </c>
      <c r="V53" s="98">
        <v>43.1</v>
      </c>
      <c r="W53" s="98">
        <v>74.099999999999994</v>
      </c>
      <c r="X53" s="98" t="s">
        <v>84</v>
      </c>
      <c r="Y53" s="98" t="s">
        <v>84</v>
      </c>
      <c r="Z53" s="98" t="s">
        <v>84</v>
      </c>
      <c r="AA53" s="98" t="s">
        <v>84</v>
      </c>
      <c r="AB53" s="98" t="s">
        <v>84</v>
      </c>
      <c r="AC53" s="98" t="s">
        <v>84</v>
      </c>
      <c r="AD53" s="98" t="s">
        <v>84</v>
      </c>
      <c r="AE53" s="98" t="s">
        <v>84</v>
      </c>
      <c r="AF53" s="98" t="s">
        <v>84</v>
      </c>
      <c r="AG53" s="98" t="s">
        <v>84</v>
      </c>
      <c r="AH53" s="54">
        <v>1</v>
      </c>
      <c r="AI53" s="54">
        <v>1</v>
      </c>
      <c r="AJ53" s="98">
        <f>AJ52</f>
        <v>0.75</v>
      </c>
      <c r="AK53" s="98">
        <f>AK52</f>
        <v>2.7E-2</v>
      </c>
      <c r="AL53" s="98">
        <f>AL52</f>
        <v>3</v>
      </c>
      <c r="AO53" s="100">
        <f>AK53*I53+AJ53</f>
        <v>0.98111999999999999</v>
      </c>
      <c r="AP53" s="100">
        <f t="shared" ref="AP53:AP59" si="71">0.1*AO53</f>
        <v>9.8112000000000005E-2</v>
      </c>
      <c r="AQ53" s="55">
        <f t="shared" ref="AQ53:AQ59" si="72">AH53*3+0.25*AI53</f>
        <v>3.25</v>
      </c>
      <c r="AR53" s="55">
        <f t="shared" ref="AR53:AR59" si="73">SUM(AO53:AQ53)/4</f>
        <v>1.082308</v>
      </c>
      <c r="AS53" s="100">
        <f>10068.2*J53*POWER(10,-6)*10</f>
        <v>1.0068200000000001E-3</v>
      </c>
      <c r="AT53" s="55">
        <f t="shared" si="69"/>
        <v>5.4125468200000002</v>
      </c>
      <c r="AU53" s="101">
        <f t="shared" ref="AU53:AU59" si="74">AH53*H53</f>
        <v>1.8999999999999998E-7</v>
      </c>
      <c r="AV53" s="101">
        <f t="shared" ref="AV53:AV59" si="75">H53*AI53</f>
        <v>1.8999999999999998E-7</v>
      </c>
      <c r="AW53" s="101">
        <f t="shared" ref="AW53" si="76">H53*AT53</f>
        <v>1.0283838957999998E-6</v>
      </c>
    </row>
    <row r="54" spans="1:49" s="98" customFormat="1" x14ac:dyDescent="0.3">
      <c r="A54" s="89" t="s">
        <v>89</v>
      </c>
      <c r="B54" s="89" t="str">
        <f>B52</f>
        <v>Сепаратор НГС 1 -1,0 - 2000-1, рег.№6</v>
      </c>
      <c r="C54" s="33" t="s">
        <v>163</v>
      </c>
      <c r="D54" s="91" t="s">
        <v>90</v>
      </c>
      <c r="E54" s="102">
        <f>E52</f>
        <v>9.9999999999999995E-7</v>
      </c>
      <c r="F54" s="103">
        <f>F52</f>
        <v>1</v>
      </c>
      <c r="G54" s="89">
        <v>0.76</v>
      </c>
      <c r="H54" s="93">
        <f t="shared" si="70"/>
        <v>7.5999999999999992E-7</v>
      </c>
      <c r="I54" s="104">
        <f>I52</f>
        <v>8.56</v>
      </c>
      <c r="J54" s="107">
        <v>0</v>
      </c>
      <c r="K54" s="105" t="s">
        <v>91</v>
      </c>
      <c r="L54" s="106">
        <v>2</v>
      </c>
      <c r="M54" s="98" t="str">
        <f t="shared" si="66"/>
        <v>С3</v>
      </c>
      <c r="N54" s="98" t="str">
        <f t="shared" si="67"/>
        <v>Сепаратор НГС 1 -1,0 - 2000-1, рег.№6</v>
      </c>
      <c r="O54" s="98" t="str">
        <f t="shared" si="68"/>
        <v>Полное-ликвидация</v>
      </c>
      <c r="P54" s="98" t="s">
        <v>84</v>
      </c>
      <c r="Q54" s="98" t="s">
        <v>84</v>
      </c>
      <c r="R54" s="98" t="s">
        <v>84</v>
      </c>
      <c r="S54" s="98" t="s">
        <v>84</v>
      </c>
      <c r="T54" s="98" t="s">
        <v>84</v>
      </c>
      <c r="U54" s="98" t="s">
        <v>84</v>
      </c>
      <c r="V54" s="98" t="s">
        <v>84</v>
      </c>
      <c r="W54" s="98" t="s">
        <v>84</v>
      </c>
      <c r="X54" s="98" t="s">
        <v>84</v>
      </c>
      <c r="Y54" s="98" t="s">
        <v>84</v>
      </c>
      <c r="Z54" s="98" t="s">
        <v>84</v>
      </c>
      <c r="AA54" s="98" t="s">
        <v>84</v>
      </c>
      <c r="AB54" s="98" t="s">
        <v>84</v>
      </c>
      <c r="AC54" s="98" t="s">
        <v>84</v>
      </c>
      <c r="AD54" s="98" t="s">
        <v>84</v>
      </c>
      <c r="AE54" s="98" t="s">
        <v>84</v>
      </c>
      <c r="AF54" s="98" t="s">
        <v>84</v>
      </c>
      <c r="AG54" s="98" t="s">
        <v>84</v>
      </c>
      <c r="AH54" s="98">
        <v>0</v>
      </c>
      <c r="AI54" s="98">
        <v>0</v>
      </c>
      <c r="AJ54" s="98">
        <f>AJ52</f>
        <v>0.75</v>
      </c>
      <c r="AK54" s="98">
        <f>AK52</f>
        <v>2.7E-2</v>
      </c>
      <c r="AL54" s="98">
        <f>AL52</f>
        <v>3</v>
      </c>
      <c r="AO54" s="100">
        <f>AK54*I54*0.1+AJ54</f>
        <v>0.77311200000000002</v>
      </c>
      <c r="AP54" s="100">
        <f t="shared" si="71"/>
        <v>7.731120000000001E-2</v>
      </c>
      <c r="AQ54" s="55">
        <f t="shared" si="72"/>
        <v>0</v>
      </c>
      <c r="AR54" s="55">
        <f t="shared" si="73"/>
        <v>0.21260580000000001</v>
      </c>
      <c r="AS54" s="100">
        <f>1333*J52*POWER(10,-6)</f>
        <v>1.1410480000000001E-2</v>
      </c>
      <c r="AT54" s="55">
        <f t="shared" si="69"/>
        <v>1.0744394800000001</v>
      </c>
      <c r="AU54" s="101">
        <f t="shared" si="74"/>
        <v>0</v>
      </c>
      <c r="AV54" s="101">
        <f t="shared" si="75"/>
        <v>0</v>
      </c>
      <c r="AW54" s="101">
        <f>H54*AT54</f>
        <v>8.1657400480000004E-7</v>
      </c>
    </row>
    <row r="55" spans="1:49" s="98" customFormat="1" x14ac:dyDescent="0.3">
      <c r="A55" s="89" t="s">
        <v>92</v>
      </c>
      <c r="B55" s="89" t="str">
        <f>B52</f>
        <v>Сепаратор НГС 1 -1,0 - 2000-1, рег.№6</v>
      </c>
      <c r="C55" s="33" t="s">
        <v>93</v>
      </c>
      <c r="D55" s="91" t="s">
        <v>94</v>
      </c>
      <c r="E55" s="92">
        <v>1.0000000000000001E-5</v>
      </c>
      <c r="F55" s="103">
        <f>F52</f>
        <v>1</v>
      </c>
      <c r="G55" s="89">
        <v>4.0000000000000008E-2</v>
      </c>
      <c r="H55" s="93">
        <f t="shared" si="70"/>
        <v>4.0000000000000009E-7</v>
      </c>
      <c r="I55" s="104">
        <f>0.15*I52</f>
        <v>1.284</v>
      </c>
      <c r="J55" s="95">
        <f>I55</f>
        <v>1.284</v>
      </c>
      <c r="K55" s="105" t="s">
        <v>95</v>
      </c>
      <c r="L55" s="106">
        <v>45390</v>
      </c>
      <c r="M55" s="98" t="str">
        <f t="shared" si="66"/>
        <v>С4</v>
      </c>
      <c r="N55" s="98" t="str">
        <f t="shared" si="67"/>
        <v>Сепаратор НГС 1 -1,0 - 2000-1, рег.№6</v>
      </c>
      <c r="O55" s="98" t="str">
        <f t="shared" si="68"/>
        <v>Частичное факел</v>
      </c>
      <c r="P55" s="98" t="s">
        <v>84</v>
      </c>
      <c r="Q55" s="98" t="s">
        <v>84</v>
      </c>
      <c r="R55" s="98" t="s">
        <v>84</v>
      </c>
      <c r="S55" s="98" t="s">
        <v>84</v>
      </c>
      <c r="T55" s="98" t="s">
        <v>84</v>
      </c>
      <c r="U55" s="98" t="s">
        <v>84</v>
      </c>
      <c r="V55" s="98" t="s">
        <v>84</v>
      </c>
      <c r="W55" s="98" t="s">
        <v>84</v>
      </c>
      <c r="X55" s="98">
        <v>19</v>
      </c>
      <c r="Y55" s="98">
        <v>3</v>
      </c>
      <c r="Z55" s="98" t="s">
        <v>84</v>
      </c>
      <c r="AA55" s="98" t="s">
        <v>84</v>
      </c>
      <c r="AB55" s="98" t="s">
        <v>84</v>
      </c>
      <c r="AC55" s="98" t="s">
        <v>84</v>
      </c>
      <c r="AD55" s="98" t="s">
        <v>84</v>
      </c>
      <c r="AE55" s="98" t="s">
        <v>84</v>
      </c>
      <c r="AF55" s="98" t="s">
        <v>84</v>
      </c>
      <c r="AG55" s="98" t="s">
        <v>84</v>
      </c>
      <c r="AH55" s="98">
        <v>0</v>
      </c>
      <c r="AI55" s="98">
        <v>1</v>
      </c>
      <c r="AJ55" s="98">
        <f>0.1*$AJ$126</f>
        <v>7.5000000000000015E-3</v>
      </c>
      <c r="AK55" s="98">
        <f>AK53</f>
        <v>2.7E-2</v>
      </c>
      <c r="AL55" s="98">
        <f>AL52</f>
        <v>3</v>
      </c>
      <c r="AO55" s="100">
        <f>AK55*I55*0.1+AJ55</f>
        <v>1.0966800000000002E-2</v>
      </c>
      <c r="AP55" s="100">
        <f t="shared" si="71"/>
        <v>1.0966800000000003E-3</v>
      </c>
      <c r="AQ55" s="55">
        <f t="shared" si="72"/>
        <v>0.25</v>
      </c>
      <c r="AR55" s="55">
        <f t="shared" si="73"/>
        <v>6.5515870000000004E-2</v>
      </c>
      <c r="AS55" s="100">
        <f>10068.2*J55*POWER(10,-6)</f>
        <v>1.2927568800000001E-2</v>
      </c>
      <c r="AT55" s="55">
        <f t="shared" si="69"/>
        <v>0.3405069188</v>
      </c>
      <c r="AU55" s="101">
        <f t="shared" si="74"/>
        <v>0</v>
      </c>
      <c r="AV55" s="101">
        <f t="shared" si="75"/>
        <v>4.0000000000000009E-7</v>
      </c>
      <c r="AW55" s="101">
        <f t="shared" ref="AW55:AW59" si="77">H55*AT55</f>
        <v>1.3620276752000003E-7</v>
      </c>
    </row>
    <row r="56" spans="1:49" s="98" customFormat="1" x14ac:dyDescent="0.3">
      <c r="A56" s="89" t="s">
        <v>96</v>
      </c>
      <c r="B56" s="89" t="str">
        <f>B52</f>
        <v>Сепаратор НГС 1 -1,0 - 2000-1, рег.№6</v>
      </c>
      <c r="C56" s="33" t="s">
        <v>164</v>
      </c>
      <c r="D56" s="91" t="s">
        <v>97</v>
      </c>
      <c r="E56" s="102">
        <f>E55</f>
        <v>1.0000000000000001E-5</v>
      </c>
      <c r="F56" s="103">
        <f>F52</f>
        <v>1</v>
      </c>
      <c r="G56" s="89">
        <v>0.16000000000000003</v>
      </c>
      <c r="H56" s="93">
        <f t="shared" si="70"/>
        <v>1.6000000000000004E-6</v>
      </c>
      <c r="I56" s="104">
        <f>0.15*I52</f>
        <v>1.284</v>
      </c>
      <c r="J56" s="95">
        <v>0</v>
      </c>
      <c r="K56" s="105" t="s">
        <v>98</v>
      </c>
      <c r="L56" s="106">
        <v>3</v>
      </c>
      <c r="M56" s="98" t="str">
        <f t="shared" si="66"/>
        <v>С5</v>
      </c>
      <c r="N56" s="98" t="str">
        <f t="shared" si="67"/>
        <v>Сепаратор НГС 1 -1,0 - 2000-1, рег.№6</v>
      </c>
      <c r="O56" s="98" t="str">
        <f t="shared" si="68"/>
        <v>Частичное-ликвидация</v>
      </c>
      <c r="P56" s="98" t="s">
        <v>84</v>
      </c>
      <c r="Q56" s="98" t="s">
        <v>84</v>
      </c>
      <c r="R56" s="98" t="s">
        <v>84</v>
      </c>
      <c r="S56" s="98" t="s">
        <v>84</v>
      </c>
      <c r="T56" s="98" t="s">
        <v>84</v>
      </c>
      <c r="U56" s="98" t="s">
        <v>84</v>
      </c>
      <c r="V56" s="98" t="s">
        <v>84</v>
      </c>
      <c r="W56" s="98" t="s">
        <v>84</v>
      </c>
      <c r="X56" s="98" t="s">
        <v>84</v>
      </c>
      <c r="Y56" s="98" t="s">
        <v>84</v>
      </c>
      <c r="Z56" s="98" t="s">
        <v>84</v>
      </c>
      <c r="AA56" s="98" t="s">
        <v>84</v>
      </c>
      <c r="AB56" s="98" t="s">
        <v>84</v>
      </c>
      <c r="AC56" s="98" t="s">
        <v>84</v>
      </c>
      <c r="AD56" s="98" t="s">
        <v>84</v>
      </c>
      <c r="AE56" s="98" t="s">
        <v>84</v>
      </c>
      <c r="AF56" s="98" t="s">
        <v>84</v>
      </c>
      <c r="AG56" s="98" t="s">
        <v>84</v>
      </c>
      <c r="AH56" s="98">
        <v>0</v>
      </c>
      <c r="AI56" s="98">
        <v>1</v>
      </c>
      <c r="AJ56" s="98">
        <f>0.1*$AJ$126</f>
        <v>7.5000000000000015E-3</v>
      </c>
      <c r="AK56" s="98">
        <f>AK52</f>
        <v>2.7E-2</v>
      </c>
      <c r="AL56" s="98">
        <f>ROUNDUP(AL52/3,0)</f>
        <v>1</v>
      </c>
      <c r="AO56" s="100">
        <f>AK56*I56+AJ56</f>
        <v>4.2167999999999997E-2</v>
      </c>
      <c r="AP56" s="100">
        <f t="shared" si="71"/>
        <v>4.2167999999999997E-3</v>
      </c>
      <c r="AQ56" s="55">
        <f t="shared" si="72"/>
        <v>0.25</v>
      </c>
      <c r="AR56" s="55">
        <f t="shared" si="73"/>
        <v>7.4096200000000001E-2</v>
      </c>
      <c r="AS56" s="100">
        <f>1333*J53*POWER(10,-6)*10</f>
        <v>1.3329999999999999E-4</v>
      </c>
      <c r="AT56" s="55">
        <f t="shared" si="69"/>
        <v>0.37061430000000001</v>
      </c>
      <c r="AU56" s="101">
        <f t="shared" si="74"/>
        <v>0</v>
      </c>
      <c r="AV56" s="101">
        <f t="shared" si="75"/>
        <v>1.6000000000000004E-6</v>
      </c>
      <c r="AW56" s="101">
        <f t="shared" si="77"/>
        <v>5.9298288000000013E-7</v>
      </c>
    </row>
    <row r="57" spans="1:49" s="98" customFormat="1" x14ac:dyDescent="0.3">
      <c r="A57" s="89" t="s">
        <v>99</v>
      </c>
      <c r="B57" s="89" t="str">
        <f>B52</f>
        <v>Сепаратор НГС 1 -1,0 - 2000-1, рег.№6</v>
      </c>
      <c r="C57" s="33" t="s">
        <v>100</v>
      </c>
      <c r="D57" s="91" t="s">
        <v>94</v>
      </c>
      <c r="E57" s="102">
        <f>E56</f>
        <v>1.0000000000000001E-5</v>
      </c>
      <c r="F57" s="103">
        <v>1</v>
      </c>
      <c r="G57" s="89">
        <v>4.0000000000000008E-2</v>
      </c>
      <c r="H57" s="93">
        <f t="shared" si="70"/>
        <v>4.0000000000000009E-7</v>
      </c>
      <c r="I57" s="104">
        <f>I55*0.15</f>
        <v>0.19259999999999999</v>
      </c>
      <c r="J57" s="95">
        <f>I57</f>
        <v>0.19259999999999999</v>
      </c>
      <c r="K57" s="108" t="s">
        <v>101</v>
      </c>
      <c r="L57" s="109">
        <v>12</v>
      </c>
      <c r="M57" s="98" t="str">
        <f t="shared" si="66"/>
        <v>С6</v>
      </c>
      <c r="N57" s="98" t="str">
        <f t="shared" si="67"/>
        <v>Сепаратор НГС 1 -1,0 - 2000-1, рег.№6</v>
      </c>
      <c r="O57" s="98" t="str">
        <f t="shared" si="68"/>
        <v>Частичное факел</v>
      </c>
      <c r="P57" s="98" t="s">
        <v>84</v>
      </c>
      <c r="Q57" s="98" t="s">
        <v>84</v>
      </c>
      <c r="R57" s="98" t="s">
        <v>84</v>
      </c>
      <c r="S57" s="98" t="s">
        <v>84</v>
      </c>
      <c r="T57" s="98" t="s">
        <v>84</v>
      </c>
      <c r="U57" s="98" t="s">
        <v>84</v>
      </c>
      <c r="V57" s="98" t="s">
        <v>84</v>
      </c>
      <c r="W57" s="98" t="s">
        <v>84</v>
      </c>
      <c r="X57" s="98">
        <v>7</v>
      </c>
      <c r="Y57" s="98">
        <v>2</v>
      </c>
      <c r="Z57" s="98" t="s">
        <v>84</v>
      </c>
      <c r="AA57" s="98" t="s">
        <v>84</v>
      </c>
      <c r="AB57" s="98" t="s">
        <v>84</v>
      </c>
      <c r="AC57" s="98" t="s">
        <v>84</v>
      </c>
      <c r="AD57" s="98" t="s">
        <v>84</v>
      </c>
      <c r="AE57" s="98" t="s">
        <v>84</v>
      </c>
      <c r="AF57" s="98" t="s">
        <v>84</v>
      </c>
      <c r="AG57" s="98" t="s">
        <v>84</v>
      </c>
      <c r="AH57" s="98">
        <v>0</v>
      </c>
      <c r="AI57" s="98">
        <v>1</v>
      </c>
      <c r="AJ57" s="98">
        <f>0.1*$AJ$126</f>
        <v>7.5000000000000015E-3</v>
      </c>
      <c r="AK57" s="98">
        <f>AK52</f>
        <v>2.7E-2</v>
      </c>
      <c r="AL57" s="98">
        <f>AL56</f>
        <v>1</v>
      </c>
      <c r="AO57" s="100">
        <f t="shared" ref="AO57:AO58" si="78">AK57*I57+AJ57</f>
        <v>1.2700200000000002E-2</v>
      </c>
      <c r="AP57" s="100">
        <f t="shared" si="71"/>
        <v>1.2700200000000002E-3</v>
      </c>
      <c r="AQ57" s="55">
        <f t="shared" si="72"/>
        <v>0.25</v>
      </c>
      <c r="AR57" s="55">
        <f t="shared" si="73"/>
        <v>6.5992554999999994E-2</v>
      </c>
      <c r="AS57" s="100">
        <f>10068.2*J57*POWER(10,-6)</f>
        <v>1.9391353200000001E-3</v>
      </c>
      <c r="AT57" s="55">
        <f t="shared" si="69"/>
        <v>0.33190191031999999</v>
      </c>
      <c r="AU57" s="101">
        <f t="shared" si="74"/>
        <v>0</v>
      </c>
      <c r="AV57" s="101">
        <f t="shared" si="75"/>
        <v>4.0000000000000009E-7</v>
      </c>
      <c r="AW57" s="101">
        <f t="shared" si="77"/>
        <v>1.3276076412800002E-7</v>
      </c>
    </row>
    <row r="58" spans="1:49" s="98" customFormat="1" x14ac:dyDescent="0.3">
      <c r="A58" s="89" t="s">
        <v>102</v>
      </c>
      <c r="B58" s="89" t="str">
        <f>B52</f>
        <v>Сепаратор НГС 1 -1,0 - 2000-1, рег.№6</v>
      </c>
      <c r="C58" s="33" t="s">
        <v>103</v>
      </c>
      <c r="D58" s="91" t="s">
        <v>104</v>
      </c>
      <c r="E58" s="102">
        <f>E56</f>
        <v>1.0000000000000001E-5</v>
      </c>
      <c r="F58" s="103">
        <f>F52</f>
        <v>1</v>
      </c>
      <c r="G58" s="89">
        <v>0.15200000000000002</v>
      </c>
      <c r="H58" s="93">
        <f t="shared" si="70"/>
        <v>1.5200000000000003E-6</v>
      </c>
      <c r="I58" s="104">
        <f>I55*0.15</f>
        <v>0.19259999999999999</v>
      </c>
      <c r="J58" s="95">
        <f>I58</f>
        <v>0.19259999999999999</v>
      </c>
      <c r="K58" s="105"/>
      <c r="L58" s="106"/>
      <c r="M58" s="98" t="str">
        <f t="shared" si="66"/>
        <v>С7</v>
      </c>
      <c r="N58" s="98" t="str">
        <f t="shared" si="67"/>
        <v>Сепаратор НГС 1 -1,0 - 2000-1, рег.№6</v>
      </c>
      <c r="O58" s="98" t="str">
        <f t="shared" si="68"/>
        <v>Частичное-пожар-вспышка</v>
      </c>
      <c r="P58" s="98" t="s">
        <v>84</v>
      </c>
      <c r="Q58" s="98" t="s">
        <v>84</v>
      </c>
      <c r="R58" s="98" t="s">
        <v>84</v>
      </c>
      <c r="S58" s="98" t="s">
        <v>84</v>
      </c>
      <c r="T58" s="98" t="s">
        <v>84</v>
      </c>
      <c r="U58" s="98" t="s">
        <v>84</v>
      </c>
      <c r="V58" s="98" t="s">
        <v>84</v>
      </c>
      <c r="W58" s="98" t="s">
        <v>84</v>
      </c>
      <c r="X58" s="98" t="s">
        <v>84</v>
      </c>
      <c r="Y58" s="98" t="s">
        <v>84</v>
      </c>
      <c r="Z58" s="98">
        <v>19.46</v>
      </c>
      <c r="AA58" s="98">
        <v>23.35</v>
      </c>
      <c r="AB58" s="98" t="s">
        <v>84</v>
      </c>
      <c r="AC58" s="98" t="s">
        <v>84</v>
      </c>
      <c r="AD58" s="98" t="s">
        <v>84</v>
      </c>
      <c r="AE58" s="98" t="s">
        <v>84</v>
      </c>
      <c r="AF58" s="98" t="s">
        <v>84</v>
      </c>
      <c r="AG58" s="98" t="s">
        <v>84</v>
      </c>
      <c r="AH58" s="98">
        <v>0</v>
      </c>
      <c r="AI58" s="98">
        <v>1</v>
      </c>
      <c r="AJ58" s="98">
        <f>0.1*$AJ$126</f>
        <v>7.5000000000000015E-3</v>
      </c>
      <c r="AK58" s="98">
        <f>AK52</f>
        <v>2.7E-2</v>
      </c>
      <c r="AL58" s="98">
        <f>ROUNDUP(AL52/3,0)</f>
        <v>1</v>
      </c>
      <c r="AO58" s="100">
        <f t="shared" si="78"/>
        <v>1.2700200000000002E-2</v>
      </c>
      <c r="AP58" s="100">
        <f t="shared" si="71"/>
        <v>1.2700200000000002E-3</v>
      </c>
      <c r="AQ58" s="55">
        <f t="shared" si="72"/>
        <v>0.25</v>
      </c>
      <c r="AR58" s="55">
        <f t="shared" si="73"/>
        <v>6.5992554999999994E-2</v>
      </c>
      <c r="AS58" s="100">
        <f>10068.2*J58*POWER(10,-6)</f>
        <v>1.9391353200000001E-3</v>
      </c>
      <c r="AT58" s="55">
        <f t="shared" si="69"/>
        <v>0.33190191031999999</v>
      </c>
      <c r="AU58" s="101">
        <f t="shared" si="74"/>
        <v>0</v>
      </c>
      <c r="AV58" s="101">
        <f t="shared" si="75"/>
        <v>1.5200000000000003E-6</v>
      </c>
      <c r="AW58" s="101">
        <f t="shared" si="77"/>
        <v>5.0449090368640006E-7</v>
      </c>
    </row>
    <row r="59" spans="1:49" s="98" customFormat="1" ht="17.25" thickBot="1" x14ac:dyDescent="0.35">
      <c r="A59" s="89" t="s">
        <v>105</v>
      </c>
      <c r="B59" s="89" t="str">
        <f>B52</f>
        <v>Сепаратор НГС 1 -1,0 - 2000-1, рег.№6</v>
      </c>
      <c r="C59" s="33" t="s">
        <v>106</v>
      </c>
      <c r="D59" s="91" t="s">
        <v>97</v>
      </c>
      <c r="E59" s="102">
        <f>E56</f>
        <v>1.0000000000000001E-5</v>
      </c>
      <c r="F59" s="103">
        <f>F52</f>
        <v>1</v>
      </c>
      <c r="G59" s="89">
        <v>0.6080000000000001</v>
      </c>
      <c r="H59" s="93">
        <f t="shared" si="70"/>
        <v>6.0800000000000011E-6</v>
      </c>
      <c r="I59" s="104">
        <f>I55*0.15</f>
        <v>0.19259999999999999</v>
      </c>
      <c r="J59" s="107">
        <v>0</v>
      </c>
      <c r="K59" s="110"/>
      <c r="L59" s="111"/>
      <c r="M59" s="98" t="str">
        <f t="shared" si="66"/>
        <v>С8</v>
      </c>
      <c r="N59" s="98" t="str">
        <f t="shared" si="67"/>
        <v>Сепаратор НГС 1 -1,0 - 2000-1, рег.№6</v>
      </c>
      <c r="O59" s="98" t="str">
        <f t="shared" si="68"/>
        <v>Частичное-ликвидация</v>
      </c>
      <c r="P59" s="98" t="s">
        <v>84</v>
      </c>
      <c r="Q59" s="98" t="s">
        <v>84</v>
      </c>
      <c r="R59" s="98" t="s">
        <v>84</v>
      </c>
      <c r="S59" s="98" t="s">
        <v>84</v>
      </c>
      <c r="T59" s="98" t="s">
        <v>84</v>
      </c>
      <c r="U59" s="98" t="s">
        <v>84</v>
      </c>
      <c r="V59" s="98" t="s">
        <v>84</v>
      </c>
      <c r="W59" s="98" t="s">
        <v>84</v>
      </c>
      <c r="X59" s="98" t="s">
        <v>84</v>
      </c>
      <c r="Y59" s="98" t="s">
        <v>84</v>
      </c>
      <c r="Z59" s="98" t="s">
        <v>84</v>
      </c>
      <c r="AA59" s="98" t="s">
        <v>84</v>
      </c>
      <c r="AB59" s="98" t="s">
        <v>84</v>
      </c>
      <c r="AC59" s="98" t="s">
        <v>84</v>
      </c>
      <c r="AD59" s="98" t="s">
        <v>84</v>
      </c>
      <c r="AE59" s="98" t="s">
        <v>84</v>
      </c>
      <c r="AF59" s="98" t="s">
        <v>84</v>
      </c>
      <c r="AG59" s="98" t="s">
        <v>84</v>
      </c>
      <c r="AH59" s="98">
        <v>0</v>
      </c>
      <c r="AI59" s="98">
        <v>0</v>
      </c>
      <c r="AJ59" s="98">
        <f>0.1*$AJ$126</f>
        <v>7.5000000000000015E-3</v>
      </c>
      <c r="AK59" s="98">
        <f>AK52</f>
        <v>2.7E-2</v>
      </c>
      <c r="AL59" s="98">
        <f>ROUNDUP(AL52/3,0)</f>
        <v>1</v>
      </c>
      <c r="AO59" s="100">
        <f>AK59*I59*0.1+AJ59</f>
        <v>8.020020000000001E-3</v>
      </c>
      <c r="AP59" s="100">
        <f t="shared" si="71"/>
        <v>8.0200200000000012E-4</v>
      </c>
      <c r="AQ59" s="55">
        <f t="shared" si="72"/>
        <v>0</v>
      </c>
      <c r="AR59" s="55">
        <f t="shared" si="73"/>
        <v>2.2055055000000001E-3</v>
      </c>
      <c r="AS59" s="100">
        <f>1333*J57*POWER(10,-6)</f>
        <v>2.5673579999999996E-4</v>
      </c>
      <c r="AT59" s="55">
        <f t="shared" si="69"/>
        <v>1.1284263300000002E-2</v>
      </c>
      <c r="AU59" s="101">
        <f t="shared" si="74"/>
        <v>0</v>
      </c>
      <c r="AV59" s="101">
        <f t="shared" si="75"/>
        <v>0</v>
      </c>
      <c r="AW59" s="101">
        <f t="shared" si="77"/>
        <v>6.860832086400002E-8</v>
      </c>
    </row>
    <row r="60" spans="1:49" s="98" customFormat="1" x14ac:dyDescent="0.3">
      <c r="A60" s="89" t="s">
        <v>160</v>
      </c>
      <c r="B60" s="89" t="str">
        <f>B52</f>
        <v>Сепаратор НГС 1 -1,0 - 2000-1, рег.№6</v>
      </c>
      <c r="C60" s="89" t="s">
        <v>161</v>
      </c>
      <c r="D60" s="89" t="s">
        <v>162</v>
      </c>
      <c r="E60" s="92">
        <v>2.5000000000000001E-5</v>
      </c>
      <c r="F60" s="89">
        <v>1</v>
      </c>
      <c r="G60" s="89">
        <v>1</v>
      </c>
      <c r="H60" s="93">
        <f t="shared" si="70"/>
        <v>2.5000000000000001E-5</v>
      </c>
      <c r="I60" s="104">
        <f>I52</f>
        <v>8.56</v>
      </c>
      <c r="J60" s="104">
        <f>J52*0.3</f>
        <v>2.5680000000000001</v>
      </c>
      <c r="K60" s="89"/>
      <c r="L60" s="89"/>
      <c r="M60" s="98" t="str">
        <f t="shared" si="66"/>
        <v>С9</v>
      </c>
      <c r="N60" s="98" t="str">
        <f t="shared" ref="N60" si="79">B60</f>
        <v>Сепаратор НГС 1 -1,0 - 2000-1, рег.№6</v>
      </c>
      <c r="O60" s="98" t="str">
        <f>D60</f>
        <v>Частичное-шар</v>
      </c>
      <c r="P60" s="98" t="s">
        <v>84</v>
      </c>
      <c r="Q60" s="98" t="s">
        <v>84</v>
      </c>
      <c r="R60" s="98" t="s">
        <v>84</v>
      </c>
      <c r="S60" s="98" t="s">
        <v>84</v>
      </c>
      <c r="T60" s="98" t="s">
        <v>84</v>
      </c>
      <c r="U60" s="98" t="s">
        <v>84</v>
      </c>
      <c r="V60" s="98" t="s">
        <v>84</v>
      </c>
      <c r="W60" s="98" t="s">
        <v>84</v>
      </c>
      <c r="X60" s="98" t="s">
        <v>84</v>
      </c>
      <c r="Y60" s="98" t="s">
        <v>84</v>
      </c>
      <c r="Z60" s="98" t="s">
        <v>84</v>
      </c>
      <c r="AA60" s="98" t="s">
        <v>84</v>
      </c>
      <c r="AB60" s="98" t="s">
        <v>84</v>
      </c>
      <c r="AC60" s="98" t="s">
        <v>84</v>
      </c>
      <c r="AD60" s="98">
        <v>36</v>
      </c>
      <c r="AE60" s="98">
        <v>66.5</v>
      </c>
      <c r="AF60" s="98">
        <v>83</v>
      </c>
      <c r="AG60" s="98">
        <v>112</v>
      </c>
      <c r="AH60" s="98">
        <v>1</v>
      </c>
      <c r="AI60" s="98">
        <v>2</v>
      </c>
      <c r="AJ60" s="98">
        <f>AJ52</f>
        <v>0.75</v>
      </c>
      <c r="AK60" s="98">
        <f>AK52</f>
        <v>2.7E-2</v>
      </c>
      <c r="AL60" s="98">
        <v>5</v>
      </c>
      <c r="AO60" s="100">
        <f>AK60*I60+AJ60</f>
        <v>0.98111999999999999</v>
      </c>
      <c r="AP60" s="100">
        <f>0.1*AO60</f>
        <v>9.8112000000000005E-2</v>
      </c>
      <c r="AQ60" s="55">
        <f>AH60*3+0.25*AI60</f>
        <v>3.5</v>
      </c>
      <c r="AR60" s="55">
        <f>SUM(AO60:AQ60)/4</f>
        <v>1.144808</v>
      </c>
      <c r="AS60" s="100">
        <f>10068.2*J60*POWER(10,-6)</f>
        <v>2.5855137600000001E-2</v>
      </c>
      <c r="AT60" s="55">
        <f t="shared" si="69"/>
        <v>5.7498951376000003</v>
      </c>
      <c r="AU60" s="101">
        <f>AH60*H60</f>
        <v>2.5000000000000001E-5</v>
      </c>
      <c r="AV60" s="101">
        <f>H60*AI60</f>
        <v>5.0000000000000002E-5</v>
      </c>
      <c r="AW60" s="101">
        <f>H60*AT60</f>
        <v>1.4374737844000002E-4</v>
      </c>
    </row>
    <row r="61" spans="1:49" ht="17.25" thickBot="1" x14ac:dyDescent="0.35">
      <c r="A61" s="47"/>
      <c r="B61" s="47"/>
      <c r="C61" s="47"/>
      <c r="D61" s="48"/>
      <c r="E61" s="48"/>
      <c r="F61" s="48"/>
      <c r="G61" s="48"/>
      <c r="H61" s="48"/>
      <c r="I61" s="48"/>
      <c r="J61" s="48"/>
      <c r="K61" s="48"/>
      <c r="M61" s="42"/>
      <c r="N61" s="42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47"/>
      <c r="AC61" s="47"/>
      <c r="AD61" s="87"/>
      <c r="AE61" s="87"/>
      <c r="AF61" s="87"/>
      <c r="AG61" s="87"/>
      <c r="AH61" s="48"/>
      <c r="AI61" s="48"/>
      <c r="AJ61" s="88"/>
      <c r="AK61" s="61"/>
      <c r="AL61" s="61"/>
      <c r="AO61" s="48"/>
      <c r="AP61" s="48"/>
      <c r="AQ61" s="48"/>
      <c r="AR61" s="48"/>
      <c r="AS61" s="48"/>
      <c r="AT61" s="48"/>
      <c r="AU61" s="48"/>
      <c r="AV61" s="48"/>
      <c r="AW61" s="48"/>
    </row>
    <row r="62" spans="1:49" s="98" customFormat="1" ht="18" customHeight="1" x14ac:dyDescent="0.3">
      <c r="A62" s="89" t="s">
        <v>80</v>
      </c>
      <c r="B62" s="90" t="s">
        <v>246</v>
      </c>
      <c r="C62" s="33" t="s">
        <v>81</v>
      </c>
      <c r="D62" s="91" t="s">
        <v>82</v>
      </c>
      <c r="E62" s="92">
        <v>9.9999999999999995E-7</v>
      </c>
      <c r="F62" s="90">
        <v>1</v>
      </c>
      <c r="G62" s="89">
        <v>0.05</v>
      </c>
      <c r="H62" s="93">
        <f>E62*F62*G62</f>
        <v>4.9999999999999998E-8</v>
      </c>
      <c r="I62" s="94">
        <v>1.69</v>
      </c>
      <c r="J62" s="95">
        <f>I62</f>
        <v>1.69</v>
      </c>
      <c r="K62" s="96" t="s">
        <v>83</v>
      </c>
      <c r="L62" s="97">
        <v>30</v>
      </c>
      <c r="M62" s="98" t="str">
        <f t="shared" ref="M62:M70" si="80">A62</f>
        <v>С1</v>
      </c>
      <c r="N62" s="98" t="str">
        <f t="shared" ref="N62:N69" si="81">B62</f>
        <v>Газосепаратор ГС 2-1,0 -1200 - IT, per. № 7, рег.№6</v>
      </c>
      <c r="O62" s="98" t="str">
        <f t="shared" ref="O62:O69" si="82">D62</f>
        <v>Полное-пожар</v>
      </c>
      <c r="P62" s="98">
        <v>12.8</v>
      </c>
      <c r="Q62" s="98">
        <v>16.399999999999999</v>
      </c>
      <c r="R62" s="98">
        <v>21.7</v>
      </c>
      <c r="S62" s="98">
        <v>37.299999999999997</v>
      </c>
      <c r="T62" s="98" t="s">
        <v>84</v>
      </c>
      <c r="U62" s="98" t="s">
        <v>84</v>
      </c>
      <c r="V62" s="98" t="s">
        <v>84</v>
      </c>
      <c r="W62" s="98" t="s">
        <v>84</v>
      </c>
      <c r="X62" s="98" t="s">
        <v>84</v>
      </c>
      <c r="Y62" s="98" t="s">
        <v>84</v>
      </c>
      <c r="Z62" s="98" t="s">
        <v>84</v>
      </c>
      <c r="AA62" s="98" t="s">
        <v>84</v>
      </c>
      <c r="AB62" s="98" t="s">
        <v>84</v>
      </c>
      <c r="AC62" s="98" t="s">
        <v>84</v>
      </c>
      <c r="AD62" s="98" t="s">
        <v>84</v>
      </c>
      <c r="AE62" s="98" t="s">
        <v>84</v>
      </c>
      <c r="AF62" s="98" t="s">
        <v>84</v>
      </c>
      <c r="AG62" s="98" t="s">
        <v>84</v>
      </c>
      <c r="AH62" s="54">
        <v>1</v>
      </c>
      <c r="AI62" s="54">
        <v>1</v>
      </c>
      <c r="AJ62" s="99">
        <v>0.75</v>
      </c>
      <c r="AK62" s="99">
        <v>2.7E-2</v>
      </c>
      <c r="AL62" s="99">
        <v>3</v>
      </c>
      <c r="AO62" s="100">
        <f>AK62*I62+AJ62</f>
        <v>0.79562999999999995</v>
      </c>
      <c r="AP62" s="100">
        <f>0.1*AO62</f>
        <v>7.9562999999999995E-2</v>
      </c>
      <c r="AQ62" s="55">
        <f>AH62*3+0.25*AI62</f>
        <v>3.25</v>
      </c>
      <c r="AR62" s="55">
        <f>SUM(AO62:AQ62)/4</f>
        <v>1.0312982499999999</v>
      </c>
      <c r="AS62" s="100">
        <f>10068.2*J62*POWER(10,-6)</f>
        <v>1.7015258000000002E-2</v>
      </c>
      <c r="AT62" s="55">
        <f t="shared" ref="AT62:AT69" si="83">AS62+AR62+AQ62+AP62+AO62</f>
        <v>5.173506508</v>
      </c>
      <c r="AU62" s="101">
        <f>AH62*H62</f>
        <v>4.9999999999999998E-8</v>
      </c>
      <c r="AV62" s="101">
        <f>H62*AI62</f>
        <v>4.9999999999999998E-8</v>
      </c>
      <c r="AW62" s="101">
        <f>H62*AT62</f>
        <v>2.586753254E-7</v>
      </c>
    </row>
    <row r="63" spans="1:49" s="98" customFormat="1" x14ac:dyDescent="0.3">
      <c r="A63" s="89" t="s">
        <v>85</v>
      </c>
      <c r="B63" s="89" t="str">
        <f>B62</f>
        <v>Газосепаратор ГС 2-1,0 -1200 - IT, per. № 7, рег.№6</v>
      </c>
      <c r="C63" s="33" t="s">
        <v>86</v>
      </c>
      <c r="D63" s="91" t="s">
        <v>87</v>
      </c>
      <c r="E63" s="102">
        <f>E62</f>
        <v>9.9999999999999995E-7</v>
      </c>
      <c r="F63" s="103">
        <f>F62</f>
        <v>1</v>
      </c>
      <c r="G63" s="89">
        <v>0.19</v>
      </c>
      <c r="H63" s="93">
        <f t="shared" ref="H63:H70" si="84">E63*F63*G63</f>
        <v>1.8999999999999998E-7</v>
      </c>
      <c r="I63" s="104">
        <f>I62</f>
        <v>1.69</v>
      </c>
      <c r="J63" s="112">
        <v>1E-3</v>
      </c>
      <c r="K63" s="105" t="s">
        <v>88</v>
      </c>
      <c r="L63" s="106">
        <v>0.25</v>
      </c>
      <c r="M63" s="98" t="str">
        <f t="shared" si="80"/>
        <v>С2</v>
      </c>
      <c r="N63" s="98" t="str">
        <f t="shared" si="81"/>
        <v>Газосепаратор ГС 2-1,0 -1200 - IT, per. № 7, рег.№6</v>
      </c>
      <c r="O63" s="98" t="str">
        <f t="shared" si="82"/>
        <v>Полное-взрыв</v>
      </c>
      <c r="P63" s="98" t="s">
        <v>84</v>
      </c>
      <c r="Q63" s="98" t="s">
        <v>84</v>
      </c>
      <c r="R63" s="98" t="s">
        <v>84</v>
      </c>
      <c r="S63" s="98" t="s">
        <v>84</v>
      </c>
      <c r="T63" s="98">
        <v>3.1</v>
      </c>
      <c r="U63" s="98">
        <v>7.6</v>
      </c>
      <c r="V63" s="98">
        <v>20.100000000000001</v>
      </c>
      <c r="W63" s="98">
        <v>34.6</v>
      </c>
      <c r="X63" s="98" t="s">
        <v>84</v>
      </c>
      <c r="Y63" s="98" t="s">
        <v>84</v>
      </c>
      <c r="Z63" s="98" t="s">
        <v>84</v>
      </c>
      <c r="AA63" s="98" t="s">
        <v>84</v>
      </c>
      <c r="AB63" s="98" t="s">
        <v>84</v>
      </c>
      <c r="AC63" s="98" t="s">
        <v>84</v>
      </c>
      <c r="AD63" s="98" t="s">
        <v>84</v>
      </c>
      <c r="AE63" s="98" t="s">
        <v>84</v>
      </c>
      <c r="AF63" s="98" t="s">
        <v>84</v>
      </c>
      <c r="AG63" s="98" t="s">
        <v>84</v>
      </c>
      <c r="AH63" s="54">
        <v>1</v>
      </c>
      <c r="AI63" s="54">
        <v>1</v>
      </c>
      <c r="AJ63" s="98">
        <f>AJ62</f>
        <v>0.75</v>
      </c>
      <c r="AK63" s="98">
        <f>AK62</f>
        <v>2.7E-2</v>
      </c>
      <c r="AL63" s="98">
        <f>AL62</f>
        <v>3</v>
      </c>
      <c r="AO63" s="100">
        <f>AK63*I63+AJ63</f>
        <v>0.79562999999999995</v>
      </c>
      <c r="AP63" s="100">
        <f t="shared" ref="AP63:AP69" si="85">0.1*AO63</f>
        <v>7.9562999999999995E-2</v>
      </c>
      <c r="AQ63" s="55">
        <f t="shared" ref="AQ63:AQ69" si="86">AH63*3+0.25*AI63</f>
        <v>3.25</v>
      </c>
      <c r="AR63" s="55">
        <f t="shared" ref="AR63:AR69" si="87">SUM(AO63:AQ63)/4</f>
        <v>1.0312982499999999</v>
      </c>
      <c r="AS63" s="100">
        <f>10068.2*J63*POWER(10,-6)*10</f>
        <v>1.0068200000000001E-4</v>
      </c>
      <c r="AT63" s="55">
        <f t="shared" si="83"/>
        <v>5.1565919320000004</v>
      </c>
      <c r="AU63" s="101">
        <f t="shared" ref="AU63:AU69" si="88">AH63*H63</f>
        <v>1.8999999999999998E-7</v>
      </c>
      <c r="AV63" s="101">
        <f t="shared" ref="AV63:AV69" si="89">H63*AI63</f>
        <v>1.8999999999999998E-7</v>
      </c>
      <c r="AW63" s="101">
        <f t="shared" ref="AW63" si="90">H63*AT63</f>
        <v>9.797524670799999E-7</v>
      </c>
    </row>
    <row r="64" spans="1:49" s="98" customFormat="1" x14ac:dyDescent="0.3">
      <c r="A64" s="89" t="s">
        <v>89</v>
      </c>
      <c r="B64" s="89" t="str">
        <f>B62</f>
        <v>Газосепаратор ГС 2-1,0 -1200 - IT, per. № 7, рег.№6</v>
      </c>
      <c r="C64" s="165" t="s">
        <v>248</v>
      </c>
      <c r="D64" s="164" t="s">
        <v>247</v>
      </c>
      <c r="E64" s="102">
        <f>E62</f>
        <v>9.9999999999999995E-7</v>
      </c>
      <c r="F64" s="103">
        <f>F62</f>
        <v>1</v>
      </c>
      <c r="G64" s="89">
        <v>0.76</v>
      </c>
      <c r="H64" s="93">
        <f t="shared" si="84"/>
        <v>7.5999999999999992E-7</v>
      </c>
      <c r="I64" s="104">
        <f>I62</f>
        <v>1.69</v>
      </c>
      <c r="J64" s="107">
        <v>0</v>
      </c>
      <c r="K64" s="105" t="s">
        <v>91</v>
      </c>
      <c r="L64" s="106">
        <v>2</v>
      </c>
      <c r="M64" s="98" t="str">
        <f t="shared" si="80"/>
        <v>С3</v>
      </c>
      <c r="N64" s="98" t="str">
        <f t="shared" si="81"/>
        <v>Газосепаратор ГС 2-1,0 -1200 - IT, per. № 7, рег.№6</v>
      </c>
      <c r="O64" s="98" t="str">
        <f t="shared" si="82"/>
        <v>Полноетокси</v>
      </c>
      <c r="P64" s="98" t="s">
        <v>84</v>
      </c>
      <c r="Q64" s="98" t="s">
        <v>84</v>
      </c>
      <c r="R64" s="98" t="s">
        <v>84</v>
      </c>
      <c r="S64" s="98" t="s">
        <v>84</v>
      </c>
      <c r="T64" s="98" t="s">
        <v>84</v>
      </c>
      <c r="U64" s="98" t="s">
        <v>84</v>
      </c>
      <c r="V64" s="98" t="s">
        <v>84</v>
      </c>
      <c r="W64" s="98" t="s">
        <v>84</v>
      </c>
      <c r="X64" s="98" t="s">
        <v>84</v>
      </c>
      <c r="Y64" s="98" t="s">
        <v>84</v>
      </c>
      <c r="Z64" s="98" t="s">
        <v>84</v>
      </c>
      <c r="AA64" s="98" t="s">
        <v>84</v>
      </c>
      <c r="AB64" s="98">
        <v>6</v>
      </c>
      <c r="AC64" s="98">
        <v>38</v>
      </c>
      <c r="AD64" s="98" t="s">
        <v>84</v>
      </c>
      <c r="AE64" s="98" t="s">
        <v>84</v>
      </c>
      <c r="AF64" s="98" t="s">
        <v>84</v>
      </c>
      <c r="AG64" s="98" t="s">
        <v>84</v>
      </c>
      <c r="AH64" s="98">
        <v>1</v>
      </c>
      <c r="AI64" s="98">
        <v>1</v>
      </c>
      <c r="AJ64" s="98">
        <f>AJ62</f>
        <v>0.75</v>
      </c>
      <c r="AK64" s="98">
        <f>AK62</f>
        <v>2.7E-2</v>
      </c>
      <c r="AL64" s="98">
        <f>AL62</f>
        <v>3</v>
      </c>
      <c r="AO64" s="100">
        <f>AK64*I64*0.1+AJ64</f>
        <v>0.75456299999999998</v>
      </c>
      <c r="AP64" s="100">
        <f t="shared" si="85"/>
        <v>7.5456300000000004E-2</v>
      </c>
      <c r="AQ64" s="55">
        <f t="shared" si="86"/>
        <v>3.25</v>
      </c>
      <c r="AR64" s="55">
        <f t="shared" si="87"/>
        <v>1.020004825</v>
      </c>
      <c r="AS64" s="100">
        <f>1333*J62*POWER(10,-6)</f>
        <v>2.2527699999999999E-3</v>
      </c>
      <c r="AT64" s="55">
        <f t="shared" si="83"/>
        <v>5.1022768950000001</v>
      </c>
      <c r="AU64" s="101">
        <f t="shared" si="88"/>
        <v>7.5999999999999992E-7</v>
      </c>
      <c r="AV64" s="101">
        <f t="shared" si="89"/>
        <v>7.5999999999999992E-7</v>
      </c>
      <c r="AW64" s="101">
        <f>H64*AT64</f>
        <v>3.8777304401999993E-6</v>
      </c>
    </row>
    <row r="65" spans="1:54" s="98" customFormat="1" x14ac:dyDescent="0.3">
      <c r="A65" s="89" t="s">
        <v>92</v>
      </c>
      <c r="B65" s="89" t="str">
        <f>B62</f>
        <v>Газосепаратор ГС 2-1,0 -1200 - IT, per. № 7, рег.№6</v>
      </c>
      <c r="C65" s="33" t="s">
        <v>93</v>
      </c>
      <c r="D65" s="91" t="s">
        <v>94</v>
      </c>
      <c r="E65" s="92">
        <v>1.0000000000000001E-5</v>
      </c>
      <c r="F65" s="103">
        <f>F62</f>
        <v>1</v>
      </c>
      <c r="G65" s="89">
        <v>4.0000000000000008E-2</v>
      </c>
      <c r="H65" s="93">
        <f t="shared" si="84"/>
        <v>4.0000000000000009E-7</v>
      </c>
      <c r="I65" s="104">
        <f>0.15*I62</f>
        <v>0.2535</v>
      </c>
      <c r="J65" s="95">
        <f>I65</f>
        <v>0.2535</v>
      </c>
      <c r="K65" s="105" t="s">
        <v>95</v>
      </c>
      <c r="L65" s="106">
        <v>45390</v>
      </c>
      <c r="M65" s="98" t="str">
        <f t="shared" si="80"/>
        <v>С4</v>
      </c>
      <c r="N65" s="98" t="str">
        <f t="shared" si="81"/>
        <v>Газосепаратор ГС 2-1,0 -1200 - IT, per. № 7, рег.№6</v>
      </c>
      <c r="O65" s="98" t="str">
        <f t="shared" si="82"/>
        <v>Частичное факел</v>
      </c>
      <c r="P65" s="98" t="s">
        <v>84</v>
      </c>
      <c r="Q65" s="98" t="s">
        <v>84</v>
      </c>
      <c r="R65" s="98" t="s">
        <v>84</v>
      </c>
      <c r="S65" s="98" t="s">
        <v>84</v>
      </c>
      <c r="T65" s="98" t="s">
        <v>84</v>
      </c>
      <c r="U65" s="98" t="s">
        <v>84</v>
      </c>
      <c r="V65" s="98" t="s">
        <v>84</v>
      </c>
      <c r="W65" s="98" t="s">
        <v>84</v>
      </c>
      <c r="X65" s="98">
        <v>19</v>
      </c>
      <c r="Y65" s="98">
        <v>3</v>
      </c>
      <c r="Z65" s="98" t="s">
        <v>84</v>
      </c>
      <c r="AA65" s="98" t="s">
        <v>84</v>
      </c>
      <c r="AB65" s="98" t="s">
        <v>84</v>
      </c>
      <c r="AC65" s="98" t="s">
        <v>84</v>
      </c>
      <c r="AD65" s="98" t="s">
        <v>84</v>
      </c>
      <c r="AE65" s="98" t="s">
        <v>84</v>
      </c>
      <c r="AF65" s="98" t="s">
        <v>84</v>
      </c>
      <c r="AG65" s="98" t="s">
        <v>84</v>
      </c>
      <c r="AH65" s="98">
        <v>0</v>
      </c>
      <c r="AI65" s="98">
        <v>1</v>
      </c>
      <c r="AJ65" s="98">
        <f>0.1*$AJ$126</f>
        <v>7.5000000000000015E-3</v>
      </c>
      <c r="AK65" s="98">
        <f>AK63</f>
        <v>2.7E-2</v>
      </c>
      <c r="AL65" s="98">
        <f>AL62</f>
        <v>3</v>
      </c>
      <c r="AO65" s="100">
        <f>AK65*I65*0.1+AJ65</f>
        <v>8.1844500000000011E-3</v>
      </c>
      <c r="AP65" s="100">
        <f t="shared" si="85"/>
        <v>8.1844500000000011E-4</v>
      </c>
      <c r="AQ65" s="55">
        <f t="shared" si="86"/>
        <v>0.25</v>
      </c>
      <c r="AR65" s="55">
        <f t="shared" si="87"/>
        <v>6.4750723750000003E-2</v>
      </c>
      <c r="AS65" s="100">
        <f>10068.2*J65*POWER(10,-6)</f>
        <v>2.5522887E-3</v>
      </c>
      <c r="AT65" s="55">
        <f t="shared" si="83"/>
        <v>0.32630590745000004</v>
      </c>
      <c r="AU65" s="101">
        <f t="shared" si="88"/>
        <v>0</v>
      </c>
      <c r="AV65" s="101">
        <f t="shared" si="89"/>
        <v>4.0000000000000009E-7</v>
      </c>
      <c r="AW65" s="101">
        <f t="shared" ref="AW65:AW69" si="91">H65*AT65</f>
        <v>1.3052236298000005E-7</v>
      </c>
    </row>
    <row r="66" spans="1:54" s="98" customFormat="1" x14ac:dyDescent="0.3">
      <c r="A66" s="89" t="s">
        <v>96</v>
      </c>
      <c r="B66" s="89" t="str">
        <f>B62</f>
        <v>Газосепаратор ГС 2-1,0 -1200 - IT, per. № 7, рег.№6</v>
      </c>
      <c r="C66" s="33" t="s">
        <v>164</v>
      </c>
      <c r="D66" s="91" t="s">
        <v>97</v>
      </c>
      <c r="E66" s="102">
        <f>E65</f>
        <v>1.0000000000000001E-5</v>
      </c>
      <c r="F66" s="103">
        <f>F62</f>
        <v>1</v>
      </c>
      <c r="G66" s="89">
        <v>0.16000000000000003</v>
      </c>
      <c r="H66" s="93">
        <f t="shared" si="84"/>
        <v>1.6000000000000004E-6</v>
      </c>
      <c r="I66" s="104">
        <f>0.15*I62</f>
        <v>0.2535</v>
      </c>
      <c r="J66" s="95">
        <v>0</v>
      </c>
      <c r="K66" s="105" t="s">
        <v>98</v>
      </c>
      <c r="L66" s="106">
        <v>3</v>
      </c>
      <c r="M66" s="98" t="str">
        <f t="shared" si="80"/>
        <v>С5</v>
      </c>
      <c r="N66" s="98" t="str">
        <f t="shared" si="81"/>
        <v>Газосепаратор ГС 2-1,0 -1200 - IT, per. № 7, рег.№6</v>
      </c>
      <c r="O66" s="98" t="str">
        <f t="shared" si="82"/>
        <v>Частичное-ликвидация</v>
      </c>
      <c r="P66" s="98" t="s">
        <v>84</v>
      </c>
      <c r="Q66" s="98" t="s">
        <v>84</v>
      </c>
      <c r="R66" s="98" t="s">
        <v>84</v>
      </c>
      <c r="S66" s="98" t="s">
        <v>84</v>
      </c>
      <c r="T66" s="98" t="s">
        <v>84</v>
      </c>
      <c r="U66" s="98" t="s">
        <v>84</v>
      </c>
      <c r="V66" s="98" t="s">
        <v>84</v>
      </c>
      <c r="W66" s="98" t="s">
        <v>84</v>
      </c>
      <c r="X66" s="98" t="s">
        <v>84</v>
      </c>
      <c r="Y66" s="98" t="s">
        <v>84</v>
      </c>
      <c r="Z66" s="98" t="s">
        <v>84</v>
      </c>
      <c r="AA66" s="98" t="s">
        <v>84</v>
      </c>
      <c r="AB66" s="98" t="s">
        <v>84</v>
      </c>
      <c r="AC66" s="98" t="s">
        <v>84</v>
      </c>
      <c r="AD66" s="98" t="s">
        <v>84</v>
      </c>
      <c r="AE66" s="98" t="s">
        <v>84</v>
      </c>
      <c r="AF66" s="98" t="s">
        <v>84</v>
      </c>
      <c r="AG66" s="98" t="s">
        <v>84</v>
      </c>
      <c r="AH66" s="98">
        <v>0</v>
      </c>
      <c r="AI66" s="98">
        <v>1</v>
      </c>
      <c r="AJ66" s="98">
        <f>0.1*$AJ$126</f>
        <v>7.5000000000000015E-3</v>
      </c>
      <c r="AK66" s="98">
        <f>AK62</f>
        <v>2.7E-2</v>
      </c>
      <c r="AL66" s="98">
        <f>ROUNDUP(AL62/3,0)</f>
        <v>1</v>
      </c>
      <c r="AO66" s="100">
        <f>AK66*I66+AJ66</f>
        <v>1.4344500000000001E-2</v>
      </c>
      <c r="AP66" s="100">
        <f t="shared" si="85"/>
        <v>1.4344500000000003E-3</v>
      </c>
      <c r="AQ66" s="55">
        <f t="shared" si="86"/>
        <v>0.25</v>
      </c>
      <c r="AR66" s="55">
        <f t="shared" si="87"/>
        <v>6.6444737500000003E-2</v>
      </c>
      <c r="AS66" s="100">
        <f>1333*J63*POWER(10,-6)*10</f>
        <v>1.3329999999999999E-5</v>
      </c>
      <c r="AT66" s="55">
        <f t="shared" si="83"/>
        <v>0.33223701749999995</v>
      </c>
      <c r="AU66" s="101">
        <f t="shared" si="88"/>
        <v>0</v>
      </c>
      <c r="AV66" s="101">
        <f t="shared" si="89"/>
        <v>1.6000000000000004E-6</v>
      </c>
      <c r="AW66" s="101">
        <f t="shared" si="91"/>
        <v>5.3157922800000006E-7</v>
      </c>
    </row>
    <row r="67" spans="1:54" s="98" customFormat="1" x14ac:dyDescent="0.3">
      <c r="A67" s="89" t="s">
        <v>99</v>
      </c>
      <c r="B67" s="89" t="str">
        <f>B62</f>
        <v>Газосепаратор ГС 2-1,0 -1200 - IT, per. № 7, рег.№6</v>
      </c>
      <c r="C67" s="33" t="s">
        <v>100</v>
      </c>
      <c r="D67" s="91" t="s">
        <v>94</v>
      </c>
      <c r="E67" s="102">
        <f>E66</f>
        <v>1.0000000000000001E-5</v>
      </c>
      <c r="F67" s="103">
        <v>1</v>
      </c>
      <c r="G67" s="89">
        <v>4.0000000000000008E-2</v>
      </c>
      <c r="H67" s="93">
        <f t="shared" si="84"/>
        <v>4.0000000000000009E-7</v>
      </c>
      <c r="I67" s="104">
        <f>I65*0.15</f>
        <v>3.8024999999999996E-2</v>
      </c>
      <c r="J67" s="95">
        <f>I67</f>
        <v>3.8024999999999996E-2</v>
      </c>
      <c r="K67" s="108" t="s">
        <v>101</v>
      </c>
      <c r="L67" s="109">
        <v>12</v>
      </c>
      <c r="M67" s="98" t="str">
        <f t="shared" si="80"/>
        <v>С6</v>
      </c>
      <c r="N67" s="98" t="str">
        <f t="shared" si="81"/>
        <v>Газосепаратор ГС 2-1,0 -1200 - IT, per. № 7, рег.№6</v>
      </c>
      <c r="O67" s="98" t="str">
        <f t="shared" si="82"/>
        <v>Частичное факел</v>
      </c>
      <c r="P67" s="98" t="s">
        <v>84</v>
      </c>
      <c r="Q67" s="98" t="s">
        <v>84</v>
      </c>
      <c r="R67" s="98" t="s">
        <v>84</v>
      </c>
      <c r="S67" s="98" t="s">
        <v>84</v>
      </c>
      <c r="T67" s="98" t="s">
        <v>84</v>
      </c>
      <c r="U67" s="98" t="s">
        <v>84</v>
      </c>
      <c r="V67" s="98" t="s">
        <v>84</v>
      </c>
      <c r="W67" s="98" t="s">
        <v>84</v>
      </c>
      <c r="X67" s="98">
        <v>7</v>
      </c>
      <c r="Y67" s="98">
        <v>2</v>
      </c>
      <c r="Z67" s="98" t="s">
        <v>84</v>
      </c>
      <c r="AA67" s="98" t="s">
        <v>84</v>
      </c>
      <c r="AB67" s="98" t="s">
        <v>84</v>
      </c>
      <c r="AC67" s="98" t="s">
        <v>84</v>
      </c>
      <c r="AD67" s="98" t="s">
        <v>84</v>
      </c>
      <c r="AE67" s="98" t="s">
        <v>84</v>
      </c>
      <c r="AF67" s="98" t="s">
        <v>84</v>
      </c>
      <c r="AG67" s="98" t="s">
        <v>84</v>
      </c>
      <c r="AH67" s="98">
        <v>0</v>
      </c>
      <c r="AI67" s="98">
        <v>1</v>
      </c>
      <c r="AJ67" s="98">
        <f>0.1*$AJ$126</f>
        <v>7.5000000000000015E-3</v>
      </c>
      <c r="AK67" s="98">
        <f>AK62</f>
        <v>2.7E-2</v>
      </c>
      <c r="AL67" s="98">
        <f>AL66</f>
        <v>1</v>
      </c>
      <c r="AO67" s="100">
        <f t="shared" ref="AO67:AO68" si="92">AK67*I67+AJ67</f>
        <v>8.5266750000000009E-3</v>
      </c>
      <c r="AP67" s="100">
        <f t="shared" si="85"/>
        <v>8.5266750000000016E-4</v>
      </c>
      <c r="AQ67" s="55">
        <f t="shared" si="86"/>
        <v>0.25</v>
      </c>
      <c r="AR67" s="55">
        <f t="shared" si="87"/>
        <v>6.4844835625E-2</v>
      </c>
      <c r="AS67" s="100">
        <f>10068.2*J67*POWER(10,-6)</f>
        <v>3.8284330499999998E-4</v>
      </c>
      <c r="AT67" s="55">
        <f t="shared" si="83"/>
        <v>0.32460702143000003</v>
      </c>
      <c r="AU67" s="101">
        <f t="shared" si="88"/>
        <v>0</v>
      </c>
      <c r="AV67" s="101">
        <f t="shared" si="89"/>
        <v>4.0000000000000009E-7</v>
      </c>
      <c r="AW67" s="101">
        <f t="shared" si="91"/>
        <v>1.2984280857200005E-7</v>
      </c>
    </row>
    <row r="68" spans="1:54" s="98" customFormat="1" x14ac:dyDescent="0.3">
      <c r="A68" s="89" t="s">
        <v>102</v>
      </c>
      <c r="B68" s="89" t="str">
        <f>B62</f>
        <v>Газосепаратор ГС 2-1,0 -1200 - IT, per. № 7, рег.№6</v>
      </c>
      <c r="C68" s="33" t="s">
        <v>103</v>
      </c>
      <c r="D68" s="91" t="s">
        <v>104</v>
      </c>
      <c r="E68" s="102">
        <f>E66</f>
        <v>1.0000000000000001E-5</v>
      </c>
      <c r="F68" s="103">
        <f>F62</f>
        <v>1</v>
      </c>
      <c r="G68" s="89">
        <v>0.15200000000000002</v>
      </c>
      <c r="H68" s="93">
        <f t="shared" si="84"/>
        <v>1.5200000000000003E-6</v>
      </c>
      <c r="I68" s="104">
        <f>I65*0.15</f>
        <v>3.8024999999999996E-2</v>
      </c>
      <c r="J68" s="95">
        <f>I68</f>
        <v>3.8024999999999996E-2</v>
      </c>
      <c r="K68" s="105"/>
      <c r="L68" s="106"/>
      <c r="M68" s="98" t="str">
        <f t="shared" si="80"/>
        <v>С7</v>
      </c>
      <c r="N68" s="98" t="str">
        <f t="shared" si="81"/>
        <v>Газосепаратор ГС 2-1,0 -1200 - IT, per. № 7, рег.№6</v>
      </c>
      <c r="O68" s="98" t="str">
        <f t="shared" si="82"/>
        <v>Частичное-пожар-вспышка</v>
      </c>
      <c r="P68" s="98" t="s">
        <v>84</v>
      </c>
      <c r="Q68" s="98" t="s">
        <v>84</v>
      </c>
      <c r="R68" s="98" t="s">
        <v>84</v>
      </c>
      <c r="S68" s="98" t="s">
        <v>84</v>
      </c>
      <c r="T68" s="98" t="s">
        <v>84</v>
      </c>
      <c r="U68" s="98" t="s">
        <v>84</v>
      </c>
      <c r="V68" s="98" t="s">
        <v>84</v>
      </c>
      <c r="W68" s="98" t="s">
        <v>84</v>
      </c>
      <c r="X68" s="98" t="s">
        <v>84</v>
      </c>
      <c r="Y68" s="98" t="s">
        <v>84</v>
      </c>
      <c r="Z68" s="98">
        <v>11.39</v>
      </c>
      <c r="AA68" s="98">
        <v>13.67</v>
      </c>
      <c r="AB68" s="98" t="s">
        <v>84</v>
      </c>
      <c r="AC68" s="98" t="s">
        <v>84</v>
      </c>
      <c r="AD68" s="98" t="s">
        <v>84</v>
      </c>
      <c r="AE68" s="98" t="s">
        <v>84</v>
      </c>
      <c r="AF68" s="98" t="s">
        <v>84</v>
      </c>
      <c r="AG68" s="98" t="s">
        <v>84</v>
      </c>
      <c r="AH68" s="98">
        <v>0</v>
      </c>
      <c r="AI68" s="98">
        <v>1</v>
      </c>
      <c r="AJ68" s="98">
        <f>0.1*$AJ$126</f>
        <v>7.5000000000000015E-3</v>
      </c>
      <c r="AK68" s="98">
        <f>AK62</f>
        <v>2.7E-2</v>
      </c>
      <c r="AL68" s="98">
        <f>ROUNDUP(AL62/3,0)</f>
        <v>1</v>
      </c>
      <c r="AO68" s="100">
        <f t="shared" si="92"/>
        <v>8.5266750000000009E-3</v>
      </c>
      <c r="AP68" s="100">
        <f t="shared" si="85"/>
        <v>8.5266750000000016E-4</v>
      </c>
      <c r="AQ68" s="55">
        <f t="shared" si="86"/>
        <v>0.25</v>
      </c>
      <c r="AR68" s="55">
        <f t="shared" si="87"/>
        <v>6.4844835625E-2</v>
      </c>
      <c r="AS68" s="100">
        <f>10068.2*J68*POWER(10,-6)</f>
        <v>3.8284330499999998E-4</v>
      </c>
      <c r="AT68" s="55">
        <f t="shared" si="83"/>
        <v>0.32460702143000003</v>
      </c>
      <c r="AU68" s="101">
        <f t="shared" si="88"/>
        <v>0</v>
      </c>
      <c r="AV68" s="101">
        <f t="shared" si="89"/>
        <v>1.5200000000000003E-6</v>
      </c>
      <c r="AW68" s="101">
        <f t="shared" si="91"/>
        <v>4.9340267257360009E-7</v>
      </c>
    </row>
    <row r="69" spans="1:54" s="98" customFormat="1" ht="17.25" thickBot="1" x14ac:dyDescent="0.35">
      <c r="A69" s="89" t="s">
        <v>105</v>
      </c>
      <c r="B69" s="89" t="str">
        <f>B62</f>
        <v>Газосепаратор ГС 2-1,0 -1200 - IT, per. № 7, рег.№6</v>
      </c>
      <c r="C69" s="33" t="s">
        <v>106</v>
      </c>
      <c r="D69" s="91" t="s">
        <v>97</v>
      </c>
      <c r="E69" s="102">
        <f>E66</f>
        <v>1.0000000000000001E-5</v>
      </c>
      <c r="F69" s="103">
        <f>F62</f>
        <v>1</v>
      </c>
      <c r="G69" s="89">
        <v>0.6080000000000001</v>
      </c>
      <c r="H69" s="93">
        <f t="shared" si="84"/>
        <v>6.0800000000000011E-6</v>
      </c>
      <c r="I69" s="104">
        <f>I65*0.15</f>
        <v>3.8024999999999996E-2</v>
      </c>
      <c r="J69" s="107">
        <v>0</v>
      </c>
      <c r="K69" s="110"/>
      <c r="L69" s="111"/>
      <c r="M69" s="98" t="str">
        <f t="shared" si="80"/>
        <v>С8</v>
      </c>
      <c r="N69" s="98" t="str">
        <f t="shared" si="81"/>
        <v>Газосепаратор ГС 2-1,0 -1200 - IT, per. № 7, рег.№6</v>
      </c>
      <c r="O69" s="98" t="str">
        <f t="shared" si="82"/>
        <v>Частичное-ликвидация</v>
      </c>
      <c r="P69" s="98" t="s">
        <v>84</v>
      </c>
      <c r="Q69" s="98" t="s">
        <v>84</v>
      </c>
      <c r="R69" s="98" t="s">
        <v>84</v>
      </c>
      <c r="S69" s="98" t="s">
        <v>84</v>
      </c>
      <c r="T69" s="98" t="s">
        <v>84</v>
      </c>
      <c r="U69" s="98" t="s">
        <v>84</v>
      </c>
      <c r="V69" s="98" t="s">
        <v>84</v>
      </c>
      <c r="W69" s="98" t="s">
        <v>84</v>
      </c>
      <c r="X69" s="98" t="s">
        <v>84</v>
      </c>
      <c r="Y69" s="98" t="s">
        <v>84</v>
      </c>
      <c r="Z69" s="98" t="s">
        <v>84</v>
      </c>
      <c r="AA69" s="98" t="s">
        <v>84</v>
      </c>
      <c r="AB69" s="98" t="s">
        <v>84</v>
      </c>
      <c r="AC69" s="98" t="s">
        <v>84</v>
      </c>
      <c r="AD69" s="98" t="s">
        <v>84</v>
      </c>
      <c r="AE69" s="98" t="s">
        <v>84</v>
      </c>
      <c r="AF69" s="98" t="s">
        <v>84</v>
      </c>
      <c r="AG69" s="98" t="s">
        <v>84</v>
      </c>
      <c r="AH69" s="98">
        <v>0</v>
      </c>
      <c r="AI69" s="98">
        <v>0</v>
      </c>
      <c r="AJ69" s="98">
        <f>0.1*$AJ$126</f>
        <v>7.5000000000000015E-3</v>
      </c>
      <c r="AK69" s="98">
        <f>AK62</f>
        <v>2.7E-2</v>
      </c>
      <c r="AL69" s="98">
        <f>ROUNDUP(AL62/3,0)</f>
        <v>1</v>
      </c>
      <c r="AO69" s="100">
        <f>AK69*I69*0.1+AJ69</f>
        <v>7.6026675000000011E-3</v>
      </c>
      <c r="AP69" s="100">
        <f t="shared" si="85"/>
        <v>7.6026675000000015E-4</v>
      </c>
      <c r="AQ69" s="55">
        <f t="shared" si="86"/>
        <v>0</v>
      </c>
      <c r="AR69" s="55">
        <f t="shared" si="87"/>
        <v>2.0907335625000001E-3</v>
      </c>
      <c r="AS69" s="100">
        <f>1333*J67*POWER(10,-6)</f>
        <v>5.0687324999999993E-5</v>
      </c>
      <c r="AT69" s="55">
        <f t="shared" si="83"/>
        <v>1.0504355137500001E-2</v>
      </c>
      <c r="AU69" s="101">
        <f t="shared" si="88"/>
        <v>0</v>
      </c>
      <c r="AV69" s="101">
        <f t="shared" si="89"/>
        <v>0</v>
      </c>
      <c r="AW69" s="101">
        <f t="shared" si="91"/>
        <v>6.3866479236000017E-8</v>
      </c>
    </row>
    <row r="70" spans="1:54" s="98" customFormat="1" x14ac:dyDescent="0.3">
      <c r="A70" s="89" t="s">
        <v>160</v>
      </c>
      <c r="B70" s="89" t="str">
        <f>B62</f>
        <v>Газосепаратор ГС 2-1,0 -1200 - IT, per. № 7, рег.№6</v>
      </c>
      <c r="C70" s="89" t="s">
        <v>161</v>
      </c>
      <c r="D70" s="89" t="s">
        <v>162</v>
      </c>
      <c r="E70" s="92">
        <v>2.5000000000000001E-5</v>
      </c>
      <c r="F70" s="89">
        <v>1</v>
      </c>
      <c r="G70" s="89">
        <v>1</v>
      </c>
      <c r="H70" s="93">
        <f t="shared" si="84"/>
        <v>2.5000000000000001E-5</v>
      </c>
      <c r="I70" s="104">
        <f>I62</f>
        <v>1.69</v>
      </c>
      <c r="J70" s="104">
        <f>J62*0.7</f>
        <v>1.1829999999999998</v>
      </c>
      <c r="K70" s="89"/>
      <c r="L70" s="89"/>
      <c r="M70" s="98" t="str">
        <f t="shared" si="80"/>
        <v>С9</v>
      </c>
      <c r="N70" s="98" t="str">
        <f t="shared" ref="N70" si="93">B70</f>
        <v>Газосепаратор ГС 2-1,0 -1200 - IT, per. № 7, рег.№6</v>
      </c>
      <c r="O70" s="98" t="str">
        <f t="shared" ref="O70" si="94">D70</f>
        <v>Частичное-шар</v>
      </c>
      <c r="P70" s="98" t="s">
        <v>84</v>
      </c>
      <c r="Q70" s="98" t="s">
        <v>84</v>
      </c>
      <c r="R70" s="98" t="s">
        <v>84</v>
      </c>
      <c r="S70" s="98" t="s">
        <v>84</v>
      </c>
      <c r="T70" s="98" t="s">
        <v>84</v>
      </c>
      <c r="U70" s="98" t="s">
        <v>84</v>
      </c>
      <c r="V70" s="98" t="s">
        <v>84</v>
      </c>
      <c r="W70" s="98" t="s">
        <v>84</v>
      </c>
      <c r="X70" s="98" t="s">
        <v>84</v>
      </c>
      <c r="Y70" s="98" t="s">
        <v>84</v>
      </c>
      <c r="Z70" s="98" t="s">
        <v>84</v>
      </c>
      <c r="AA70" s="98" t="s">
        <v>84</v>
      </c>
      <c r="AB70" s="98" t="s">
        <v>84</v>
      </c>
      <c r="AC70" s="98" t="s">
        <v>84</v>
      </c>
      <c r="AD70" s="98">
        <v>16.5</v>
      </c>
      <c r="AE70" s="98">
        <v>43.5</v>
      </c>
      <c r="AF70" s="98">
        <v>56.5</v>
      </c>
      <c r="AG70" s="98">
        <v>78.5</v>
      </c>
      <c r="AH70" s="98">
        <v>1</v>
      </c>
      <c r="AI70" s="98">
        <v>2</v>
      </c>
      <c r="AJ70" s="98">
        <f>AJ62</f>
        <v>0.75</v>
      </c>
      <c r="AK70" s="98">
        <f>AK62</f>
        <v>2.7E-2</v>
      </c>
      <c r="AL70" s="98">
        <v>5</v>
      </c>
      <c r="AO70" s="100">
        <f>AK70*I70+AJ70</f>
        <v>0.79562999999999995</v>
      </c>
      <c r="AP70" s="100">
        <f>0.1*AO70</f>
        <v>7.9562999999999995E-2</v>
      </c>
      <c r="AQ70" s="55">
        <f>AH70*3+0.25*AI70</f>
        <v>3.5</v>
      </c>
      <c r="AR70" s="55">
        <f>SUM(AO70:AQ70)/4</f>
        <v>1.0937982499999999</v>
      </c>
      <c r="AS70" s="100">
        <f>10068.2*J70*POWER(10,-6)</f>
        <v>1.1910680599999999E-2</v>
      </c>
      <c r="AT70" s="55">
        <f t="shared" ref="AT70" si="95">AS70+AR70+AQ70+AP70+AO70</f>
        <v>5.4809019306</v>
      </c>
      <c r="AU70" s="101">
        <f>AH70*H70</f>
        <v>2.5000000000000001E-5</v>
      </c>
      <c r="AV70" s="101">
        <f>H70*AI70</f>
        <v>5.0000000000000002E-5</v>
      </c>
      <c r="AW70" s="101">
        <f>H70*AT70</f>
        <v>1.3702254826500001E-4</v>
      </c>
    </row>
    <row r="71" spans="1:54" ht="17.25" thickBot="1" x14ac:dyDescent="0.35">
      <c r="A71" s="47"/>
      <c r="B71" s="47"/>
      <c r="C71" s="47"/>
      <c r="D71" s="48"/>
      <c r="E71" s="48"/>
      <c r="F71" s="48"/>
      <c r="G71" s="48"/>
      <c r="H71" s="48"/>
      <c r="I71" s="48"/>
      <c r="J71" s="48"/>
      <c r="K71" s="48"/>
      <c r="M71" s="42"/>
      <c r="N71" s="42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47"/>
      <c r="AC71" s="47"/>
      <c r="AD71" s="87"/>
      <c r="AE71" s="87"/>
      <c r="AF71" s="87"/>
      <c r="AG71" s="87"/>
      <c r="AH71" s="48"/>
      <c r="AI71" s="48"/>
      <c r="AJ71" s="88"/>
      <c r="AK71" s="61"/>
      <c r="AL71" s="61"/>
      <c r="AO71" s="48"/>
      <c r="AP71" s="48"/>
      <c r="AQ71" s="48"/>
      <c r="AR71" s="48"/>
      <c r="AS71" s="48"/>
      <c r="AT71" s="48"/>
      <c r="AU71" s="48"/>
      <c r="AV71" s="48"/>
      <c r="AW71" s="48"/>
    </row>
    <row r="72" spans="1:54" s="74" customFormat="1" ht="18" customHeight="1" x14ac:dyDescent="0.3">
      <c r="A72" s="64" t="s">
        <v>80</v>
      </c>
      <c r="B72" s="90" t="s">
        <v>150</v>
      </c>
      <c r="C72" s="66" t="s">
        <v>81</v>
      </c>
      <c r="D72" s="67" t="s">
        <v>82</v>
      </c>
      <c r="E72" s="68">
        <v>1.0000000000000001E-5</v>
      </c>
      <c r="F72" s="65">
        <v>2</v>
      </c>
      <c r="G72" s="64">
        <v>0.05</v>
      </c>
      <c r="H72" s="69">
        <f>E72*F72*G72</f>
        <v>1.0000000000000002E-6</v>
      </c>
      <c r="I72" s="70">
        <v>7.49</v>
      </c>
      <c r="J72" s="71">
        <f>I72</f>
        <v>7.49</v>
      </c>
      <c r="K72" s="72" t="s">
        <v>83</v>
      </c>
      <c r="L72" s="73">
        <v>42</v>
      </c>
      <c r="M72" s="74" t="str">
        <f t="shared" ref="M72:N74" si="96">A72</f>
        <v>С1</v>
      </c>
      <c r="N72" s="74" t="str">
        <f t="shared" si="96"/>
        <v>Емкость подземная ЕП 8 -2000- 1 -2 , зав. №64, 65</v>
      </c>
      <c r="O72" s="74" t="str">
        <f t="shared" ref="O72:O74" si="97">D72</f>
        <v>Полное-пожар</v>
      </c>
      <c r="P72" s="74">
        <v>12.4</v>
      </c>
      <c r="Q72" s="74">
        <v>16.3</v>
      </c>
      <c r="R72" s="74">
        <v>22.1</v>
      </c>
      <c r="S72" s="74">
        <v>39.700000000000003</v>
      </c>
      <c r="T72" s="74" t="s">
        <v>84</v>
      </c>
      <c r="U72" s="74" t="s">
        <v>84</v>
      </c>
      <c r="V72" s="74" t="s">
        <v>84</v>
      </c>
      <c r="W72" s="74" t="s">
        <v>84</v>
      </c>
      <c r="X72" s="74" t="s">
        <v>84</v>
      </c>
      <c r="Y72" s="74" t="s">
        <v>84</v>
      </c>
      <c r="Z72" s="74" t="s">
        <v>84</v>
      </c>
      <c r="AA72" s="74" t="s">
        <v>84</v>
      </c>
      <c r="AB72" s="74" t="s">
        <v>84</v>
      </c>
      <c r="AC72" s="74" t="s">
        <v>84</v>
      </c>
      <c r="AD72" s="74" t="s">
        <v>84</v>
      </c>
      <c r="AE72" s="74" t="s">
        <v>84</v>
      </c>
      <c r="AF72" s="74" t="s">
        <v>84</v>
      </c>
      <c r="AG72" s="74" t="s">
        <v>84</v>
      </c>
      <c r="AH72" s="75">
        <v>1</v>
      </c>
      <c r="AI72" s="75">
        <v>1</v>
      </c>
      <c r="AJ72" s="76">
        <v>0.75</v>
      </c>
      <c r="AK72" s="76">
        <v>2.7E-2</v>
      </c>
      <c r="AL72" s="76">
        <v>1</v>
      </c>
      <c r="AO72" s="77">
        <f>AK72*I72+AJ72</f>
        <v>0.95223000000000002</v>
      </c>
      <c r="AP72" s="77">
        <f>0.1*AO72</f>
        <v>9.5223000000000002E-2</v>
      </c>
      <c r="AQ72" s="78">
        <f>AH72*3+0.25*AI72</f>
        <v>3.25</v>
      </c>
      <c r="AR72" s="78">
        <f>SUM(AO72:AQ72)/4</f>
        <v>1.07436325</v>
      </c>
      <c r="AS72" s="77">
        <f>10068.2*J72*POWER(10,-6)</f>
        <v>7.5410818000000004E-2</v>
      </c>
      <c r="AT72" s="78">
        <f t="shared" ref="AT72:AT74" si="98">AS72+AR72+AQ72+AP72+AO72</f>
        <v>5.4472270680000001</v>
      </c>
      <c r="AU72" s="79">
        <f>AH72*H72</f>
        <v>1.0000000000000002E-6</v>
      </c>
      <c r="AV72" s="79">
        <f>H72*AI72</f>
        <v>1.0000000000000002E-6</v>
      </c>
      <c r="AW72" s="79">
        <f>H72*AT72</f>
        <v>5.4472270680000013E-6</v>
      </c>
    </row>
    <row r="73" spans="1:54" s="74" customFormat="1" x14ac:dyDescent="0.3">
      <c r="A73" s="64" t="s">
        <v>85</v>
      </c>
      <c r="B73" s="64" t="str">
        <f>B72</f>
        <v>Емкость подземная ЕП 8 -2000- 1 -2 , зав. №64, 65</v>
      </c>
      <c r="C73" s="66" t="s">
        <v>86</v>
      </c>
      <c r="D73" s="67" t="s">
        <v>87</v>
      </c>
      <c r="E73" s="80">
        <f>E72</f>
        <v>1.0000000000000001E-5</v>
      </c>
      <c r="F73" s="81">
        <v>2</v>
      </c>
      <c r="G73" s="64">
        <v>4.7500000000000001E-2</v>
      </c>
      <c r="H73" s="69">
        <f t="shared" ref="H73:H74" si="99">E73*F73*G73</f>
        <v>9.5000000000000012E-7</v>
      </c>
      <c r="I73" s="82">
        <f>I72</f>
        <v>7.49</v>
      </c>
      <c r="J73" s="112">
        <v>2E-3</v>
      </c>
      <c r="K73" s="83" t="s">
        <v>88</v>
      </c>
      <c r="L73" s="84">
        <v>0</v>
      </c>
      <c r="M73" s="74" t="str">
        <f t="shared" si="96"/>
        <v>С2</v>
      </c>
      <c r="N73" s="74" t="str">
        <f t="shared" si="96"/>
        <v>Емкость подземная ЕП 8 -2000- 1 -2 , зав. №64, 65</v>
      </c>
      <c r="O73" s="74" t="str">
        <f t="shared" si="97"/>
        <v>Полное-взрыв</v>
      </c>
      <c r="P73" s="74" t="s">
        <v>84</v>
      </c>
      <c r="Q73" s="74" t="s">
        <v>84</v>
      </c>
      <c r="R73" s="74" t="s">
        <v>84</v>
      </c>
      <c r="S73" s="74" t="s">
        <v>84</v>
      </c>
      <c r="T73" s="74">
        <v>4.0999999999999996</v>
      </c>
      <c r="U73" s="74">
        <v>9.1</v>
      </c>
      <c r="V73" s="74">
        <v>25.1</v>
      </c>
      <c r="W73" s="74">
        <v>43.1</v>
      </c>
      <c r="X73" s="74" t="s">
        <v>84</v>
      </c>
      <c r="Y73" s="74" t="s">
        <v>84</v>
      </c>
      <c r="Z73" s="74" t="s">
        <v>84</v>
      </c>
      <c r="AA73" s="74" t="s">
        <v>84</v>
      </c>
      <c r="AB73" s="74" t="s">
        <v>84</v>
      </c>
      <c r="AC73" s="74" t="s">
        <v>84</v>
      </c>
      <c r="AD73" s="74" t="s">
        <v>84</v>
      </c>
      <c r="AE73" s="74" t="s">
        <v>84</v>
      </c>
      <c r="AF73" s="74" t="s">
        <v>84</v>
      </c>
      <c r="AG73" s="74" t="s">
        <v>84</v>
      </c>
      <c r="AH73" s="75">
        <v>1</v>
      </c>
      <c r="AI73" s="75">
        <v>1</v>
      </c>
      <c r="AJ73" s="74">
        <f>AJ72</f>
        <v>0.75</v>
      </c>
      <c r="AK73" s="74">
        <f>AK72</f>
        <v>2.7E-2</v>
      </c>
      <c r="AL73" s="74">
        <f>AL72</f>
        <v>1</v>
      </c>
      <c r="AO73" s="77">
        <f>AK73*I73+AJ73</f>
        <v>0.95223000000000002</v>
      </c>
      <c r="AP73" s="77">
        <f t="shared" ref="AP73:AP74" si="100">0.1*AO73</f>
        <v>9.5223000000000002E-2</v>
      </c>
      <c r="AQ73" s="78">
        <f t="shared" ref="AQ73:AQ74" si="101">AH73*3+0.25*AI73</f>
        <v>3.25</v>
      </c>
      <c r="AR73" s="78">
        <f t="shared" ref="AR73:AR74" si="102">SUM(AO73:AQ73)/4</f>
        <v>1.07436325</v>
      </c>
      <c r="AS73" s="77">
        <f>10068.2*J73*POWER(10,-6)*10</f>
        <v>2.0136400000000002E-4</v>
      </c>
      <c r="AT73" s="78">
        <f t="shared" si="98"/>
        <v>5.3720176139999998</v>
      </c>
      <c r="AU73" s="79">
        <f t="shared" ref="AU73:AU74" si="103">AH73*H73</f>
        <v>9.5000000000000012E-7</v>
      </c>
      <c r="AV73" s="79">
        <f t="shared" ref="AV73:AV74" si="104">H73*AI73</f>
        <v>9.5000000000000012E-7</v>
      </c>
      <c r="AW73" s="79">
        <f t="shared" ref="AW73" si="105">H73*AT73</f>
        <v>5.1034167333000002E-6</v>
      </c>
    </row>
    <row r="74" spans="1:54" s="74" customFormat="1" x14ac:dyDescent="0.3">
      <c r="A74" s="64" t="s">
        <v>89</v>
      </c>
      <c r="B74" s="64" t="str">
        <f>B72</f>
        <v>Емкость подземная ЕП 8 -2000- 1 -2 , зав. №64, 65</v>
      </c>
      <c r="C74" s="66" t="s">
        <v>163</v>
      </c>
      <c r="D74" s="67" t="s">
        <v>90</v>
      </c>
      <c r="E74" s="80">
        <f>E72</f>
        <v>1.0000000000000001E-5</v>
      </c>
      <c r="F74" s="81">
        <v>2</v>
      </c>
      <c r="G74" s="64">
        <v>0.90249999999999997</v>
      </c>
      <c r="H74" s="69">
        <f t="shared" si="99"/>
        <v>1.8050000000000002E-5</v>
      </c>
      <c r="I74" s="82">
        <f>I72</f>
        <v>7.49</v>
      </c>
      <c r="J74" s="85">
        <v>0</v>
      </c>
      <c r="K74" s="83" t="s">
        <v>91</v>
      </c>
      <c r="L74" s="84">
        <v>0</v>
      </c>
      <c r="M74" s="74" t="str">
        <f t="shared" si="96"/>
        <v>С3</v>
      </c>
      <c r="N74" s="74" t="str">
        <f t="shared" si="96"/>
        <v>Емкость подземная ЕП 8 -2000- 1 -2 , зав. №64, 65</v>
      </c>
      <c r="O74" s="74" t="str">
        <f t="shared" si="97"/>
        <v>Полное-ликвидация</v>
      </c>
      <c r="P74" s="74" t="s">
        <v>84</v>
      </c>
      <c r="Q74" s="74" t="s">
        <v>84</v>
      </c>
      <c r="R74" s="74" t="s">
        <v>84</v>
      </c>
      <c r="S74" s="74" t="s">
        <v>84</v>
      </c>
      <c r="T74" s="74" t="s">
        <v>84</v>
      </c>
      <c r="U74" s="74" t="s">
        <v>84</v>
      </c>
      <c r="V74" s="74" t="s">
        <v>84</v>
      </c>
      <c r="W74" s="74" t="s">
        <v>84</v>
      </c>
      <c r="X74" s="74" t="s">
        <v>84</v>
      </c>
      <c r="Y74" s="74" t="s">
        <v>84</v>
      </c>
      <c r="Z74" s="74" t="s">
        <v>84</v>
      </c>
      <c r="AA74" s="74" t="s">
        <v>84</v>
      </c>
      <c r="AB74" s="74" t="s">
        <v>84</v>
      </c>
      <c r="AC74" s="74" t="s">
        <v>84</v>
      </c>
      <c r="AD74" s="74" t="s">
        <v>84</v>
      </c>
      <c r="AE74" s="74" t="s">
        <v>84</v>
      </c>
      <c r="AF74" s="74" t="s">
        <v>84</v>
      </c>
      <c r="AG74" s="74" t="s">
        <v>84</v>
      </c>
      <c r="AH74" s="74">
        <v>0</v>
      </c>
      <c r="AI74" s="74">
        <v>0</v>
      </c>
      <c r="AJ74" s="74">
        <f>AJ72</f>
        <v>0.75</v>
      </c>
      <c r="AK74" s="74">
        <f>AK72</f>
        <v>2.7E-2</v>
      </c>
      <c r="AL74" s="74">
        <f>AL72</f>
        <v>1</v>
      </c>
      <c r="AO74" s="77">
        <f>AK74*I74*0.1+AJ74</f>
        <v>0.77022299999999999</v>
      </c>
      <c r="AP74" s="77">
        <f t="shared" si="100"/>
        <v>7.7022300000000002E-2</v>
      </c>
      <c r="AQ74" s="78">
        <f t="shared" si="101"/>
        <v>0</v>
      </c>
      <c r="AR74" s="78">
        <f t="shared" si="102"/>
        <v>0.21181132499999999</v>
      </c>
      <c r="AS74" s="77">
        <f>1333*J72*POWER(10,-6)</f>
        <v>9.9841699999999988E-3</v>
      </c>
      <c r="AT74" s="78">
        <f t="shared" si="98"/>
        <v>1.069040795</v>
      </c>
      <c r="AU74" s="79">
        <f t="shared" si="103"/>
        <v>0</v>
      </c>
      <c r="AV74" s="79">
        <f t="shared" si="104"/>
        <v>0</v>
      </c>
      <c r="AW74" s="79">
        <f>H74*AT74</f>
        <v>1.9296186349750002E-5</v>
      </c>
    </row>
    <row r="75" spans="1:54" s="74" customFormat="1" x14ac:dyDescent="0.3">
      <c r="A75" s="64"/>
      <c r="B75" s="64"/>
      <c r="C75" s="66"/>
      <c r="D75" s="67"/>
      <c r="E75" s="68"/>
      <c r="F75" s="81"/>
      <c r="G75" s="64"/>
      <c r="H75" s="69"/>
      <c r="I75" s="82"/>
      <c r="J75" s="71"/>
      <c r="K75" s="83" t="s">
        <v>95</v>
      </c>
      <c r="L75" s="84">
        <v>45390</v>
      </c>
      <c r="AO75" s="77"/>
      <c r="AP75" s="77"/>
      <c r="AQ75" s="78"/>
      <c r="AR75" s="78"/>
      <c r="AS75" s="77"/>
      <c r="AT75" s="78"/>
      <c r="AU75" s="79"/>
      <c r="AV75" s="79"/>
      <c r="AW75" s="79"/>
    </row>
    <row r="76" spans="1:54" s="74" customFormat="1" x14ac:dyDescent="0.3">
      <c r="A76" s="64"/>
      <c r="B76" s="64"/>
      <c r="C76" s="66"/>
      <c r="D76" s="67"/>
      <c r="E76" s="80"/>
      <c r="F76" s="81"/>
      <c r="G76" s="64"/>
      <c r="H76" s="69"/>
      <c r="I76" s="82"/>
      <c r="J76" s="71"/>
      <c r="K76" s="83" t="s">
        <v>98</v>
      </c>
      <c r="L76" s="84">
        <v>3</v>
      </c>
      <c r="AO76" s="77"/>
      <c r="AP76" s="77"/>
      <c r="AQ76" s="78"/>
      <c r="AR76" s="78"/>
      <c r="AS76" s="77"/>
      <c r="AT76" s="78"/>
      <c r="AU76" s="79"/>
      <c r="AV76" s="79"/>
      <c r="AW76" s="79"/>
    </row>
    <row r="77" spans="1:54" s="74" customFormat="1" ht="17.25" thickBot="1" x14ac:dyDescent="0.35">
      <c r="A77" s="64"/>
      <c r="B77" s="64"/>
      <c r="C77" s="66"/>
      <c r="D77" s="67"/>
      <c r="E77" s="80"/>
      <c r="F77" s="81"/>
      <c r="G77" s="64"/>
      <c r="H77" s="69"/>
      <c r="I77" s="82"/>
      <c r="J77" s="71"/>
      <c r="K77" s="86" t="s">
        <v>101</v>
      </c>
      <c r="L77" s="113">
        <v>14</v>
      </c>
      <c r="AO77" s="77"/>
      <c r="AP77" s="77"/>
      <c r="AQ77" s="78"/>
      <c r="AR77" s="78"/>
      <c r="AS77" s="77"/>
      <c r="AT77" s="78"/>
      <c r="AU77" s="79"/>
      <c r="AV77" s="79"/>
      <c r="AW77" s="79"/>
    </row>
    <row r="78" spans="1:54" x14ac:dyDescent="0.3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</row>
    <row r="79" spans="1:54" x14ac:dyDescent="0.3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</row>
    <row r="80" spans="1:54" x14ac:dyDescent="0.3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</row>
    <row r="81" spans="1:54" ht="17.25" thickBot="1" x14ac:dyDescent="0.35">
      <c r="A81" s="47"/>
      <c r="B81" s="47"/>
      <c r="C81" s="47"/>
      <c r="D81" s="48"/>
      <c r="E81" s="48"/>
      <c r="F81" s="48"/>
      <c r="G81" s="48"/>
      <c r="H81" s="48"/>
      <c r="I81" s="48"/>
      <c r="J81" s="48"/>
      <c r="K81" s="48"/>
      <c r="M81" s="42"/>
      <c r="N81" s="42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47"/>
      <c r="AC81" s="47"/>
      <c r="AD81" s="87"/>
      <c r="AE81" s="87"/>
      <c r="AF81" s="87"/>
      <c r="AG81" s="87"/>
      <c r="AH81" s="48"/>
      <c r="AI81" s="48"/>
      <c r="AJ81" s="88"/>
      <c r="AK81" s="61"/>
      <c r="AL81" s="61"/>
      <c r="AO81" s="48"/>
      <c r="AP81" s="48"/>
      <c r="AQ81" s="48"/>
      <c r="AR81" s="48"/>
      <c r="AS81" s="48"/>
      <c r="AT81" s="48"/>
      <c r="AU81" s="48"/>
      <c r="AV81" s="48"/>
      <c r="AW81" s="48"/>
    </row>
    <row r="82" spans="1:54" s="74" customFormat="1" ht="18" customHeight="1" x14ac:dyDescent="0.3">
      <c r="A82" s="64" t="s">
        <v>80</v>
      </c>
      <c r="B82" s="90" t="s">
        <v>71</v>
      </c>
      <c r="C82" s="66" t="s">
        <v>81</v>
      </c>
      <c r="D82" s="67" t="s">
        <v>82</v>
      </c>
      <c r="E82" s="68">
        <v>1.0000000000000001E-5</v>
      </c>
      <c r="F82" s="65">
        <v>2</v>
      </c>
      <c r="G82" s="64">
        <v>0.05</v>
      </c>
      <c r="H82" s="69">
        <f>E82*F82*G82</f>
        <v>1.0000000000000002E-6</v>
      </c>
      <c r="I82" s="70">
        <v>21.4</v>
      </c>
      <c r="J82" s="71">
        <f>I82</f>
        <v>21.4</v>
      </c>
      <c r="K82" s="72" t="s">
        <v>83</v>
      </c>
      <c r="L82" s="73">
        <v>120</v>
      </c>
      <c r="M82" s="74" t="str">
        <f t="shared" ref="M82:M84" si="106">A82</f>
        <v>С1</v>
      </c>
      <c r="N82" s="74" t="str">
        <f t="shared" ref="N82:N84" si="107">B82</f>
        <v>Емкость подземная ЕП 8 -2000 - 1 - 2, зав. № 65</v>
      </c>
      <c r="O82" s="74" t="str">
        <f t="shared" ref="O82:O84" si="108">D82</f>
        <v>Полное-пожар</v>
      </c>
      <c r="P82" s="74">
        <v>15.2</v>
      </c>
      <c r="Q82" s="74">
        <v>20.3</v>
      </c>
      <c r="R82" s="74">
        <v>28.1</v>
      </c>
      <c r="S82" s="74">
        <v>50.9</v>
      </c>
      <c r="T82" s="74" t="s">
        <v>84</v>
      </c>
      <c r="U82" s="74" t="s">
        <v>84</v>
      </c>
      <c r="V82" s="74" t="s">
        <v>84</v>
      </c>
      <c r="W82" s="74" t="s">
        <v>84</v>
      </c>
      <c r="X82" s="74" t="s">
        <v>84</v>
      </c>
      <c r="Y82" s="74" t="s">
        <v>84</v>
      </c>
      <c r="Z82" s="74" t="s">
        <v>84</v>
      </c>
      <c r="AA82" s="74" t="s">
        <v>84</v>
      </c>
      <c r="AB82" s="74" t="s">
        <v>84</v>
      </c>
      <c r="AC82" s="74" t="s">
        <v>84</v>
      </c>
      <c r="AD82" s="74" t="s">
        <v>84</v>
      </c>
      <c r="AE82" s="74" t="s">
        <v>84</v>
      </c>
      <c r="AF82" s="74" t="s">
        <v>84</v>
      </c>
      <c r="AG82" s="74" t="s">
        <v>84</v>
      </c>
      <c r="AH82" s="75">
        <v>1</v>
      </c>
      <c r="AI82" s="75">
        <v>1</v>
      </c>
      <c r="AJ82" s="76">
        <v>0.75</v>
      </c>
      <c r="AK82" s="76">
        <v>2.7E-2</v>
      </c>
      <c r="AL82" s="76">
        <v>1</v>
      </c>
      <c r="AO82" s="77">
        <f>AK82*I82+AJ82</f>
        <v>1.3277999999999999</v>
      </c>
      <c r="AP82" s="77">
        <f>0.1*AO82</f>
        <v>0.13277999999999998</v>
      </c>
      <c r="AQ82" s="78">
        <f>AH82*3+0.25*AI82</f>
        <v>3.25</v>
      </c>
      <c r="AR82" s="78">
        <f>SUM(AO82:AQ82)/4</f>
        <v>1.1776450000000001</v>
      </c>
      <c r="AS82" s="77">
        <f>10068.2*J82*POWER(10,-6)</f>
        <v>0.21545948000000001</v>
      </c>
      <c r="AT82" s="78">
        <f t="shared" ref="AT82:AT84" si="109">AS82+AR82+AQ82+AP82+AO82</f>
        <v>6.1036844800000001</v>
      </c>
      <c r="AU82" s="79">
        <f>AH82*H82</f>
        <v>1.0000000000000002E-6</v>
      </c>
      <c r="AV82" s="79">
        <f>H82*AI82</f>
        <v>1.0000000000000002E-6</v>
      </c>
      <c r="AW82" s="79">
        <f>H82*AT82</f>
        <v>6.103684480000001E-6</v>
      </c>
    </row>
    <row r="83" spans="1:54" s="74" customFormat="1" x14ac:dyDescent="0.3">
      <c r="A83" s="64" t="s">
        <v>85</v>
      </c>
      <c r="B83" s="64" t="str">
        <f>B82</f>
        <v>Емкость подземная ЕП 8 -2000 - 1 - 2, зав. № 65</v>
      </c>
      <c r="C83" s="66" t="s">
        <v>86</v>
      </c>
      <c r="D83" s="67" t="s">
        <v>87</v>
      </c>
      <c r="E83" s="80">
        <f>E82</f>
        <v>1.0000000000000001E-5</v>
      </c>
      <c r="F83" s="81">
        <f>F82</f>
        <v>2</v>
      </c>
      <c r="G83" s="64">
        <v>4.7500000000000001E-2</v>
      </c>
      <c r="H83" s="69">
        <f t="shared" ref="H83:H84" si="110">E83*F83*G83</f>
        <v>9.5000000000000012E-7</v>
      </c>
      <c r="I83" s="82">
        <f>I82</f>
        <v>21.4</v>
      </c>
      <c r="J83" s="112">
        <v>7.0000000000000001E-3</v>
      </c>
      <c r="K83" s="83" t="s">
        <v>88</v>
      </c>
      <c r="L83" s="84">
        <v>0</v>
      </c>
      <c r="M83" s="74" t="str">
        <f t="shared" si="106"/>
        <v>С2</v>
      </c>
      <c r="N83" s="74" t="str">
        <f t="shared" si="107"/>
        <v>Емкость подземная ЕП 8 -2000 - 1 - 2, зав. № 65</v>
      </c>
      <c r="O83" s="74" t="str">
        <f t="shared" si="108"/>
        <v>Полное-взрыв</v>
      </c>
      <c r="P83" s="74" t="s">
        <v>84</v>
      </c>
      <c r="Q83" s="74" t="s">
        <v>84</v>
      </c>
      <c r="R83" s="74" t="s">
        <v>84</v>
      </c>
      <c r="S83" s="74" t="s">
        <v>84</v>
      </c>
      <c r="T83" s="74">
        <v>6.1</v>
      </c>
      <c r="U83" s="74">
        <v>14.1</v>
      </c>
      <c r="V83" s="74">
        <v>38.6</v>
      </c>
      <c r="W83" s="74">
        <v>65.599999999999994</v>
      </c>
      <c r="X83" s="74" t="s">
        <v>84</v>
      </c>
      <c r="Y83" s="74" t="s">
        <v>84</v>
      </c>
      <c r="Z83" s="74" t="s">
        <v>84</v>
      </c>
      <c r="AA83" s="74" t="s">
        <v>84</v>
      </c>
      <c r="AB83" s="74" t="s">
        <v>84</v>
      </c>
      <c r="AC83" s="74" t="s">
        <v>84</v>
      </c>
      <c r="AD83" s="74" t="s">
        <v>84</v>
      </c>
      <c r="AE83" s="74" t="s">
        <v>84</v>
      </c>
      <c r="AF83" s="74" t="s">
        <v>84</v>
      </c>
      <c r="AG83" s="74" t="s">
        <v>84</v>
      </c>
      <c r="AH83" s="75">
        <v>1</v>
      </c>
      <c r="AI83" s="75">
        <v>1</v>
      </c>
      <c r="AJ83" s="74">
        <f>AJ82</f>
        <v>0.75</v>
      </c>
      <c r="AK83" s="74">
        <f>AK82</f>
        <v>2.7E-2</v>
      </c>
      <c r="AL83" s="74">
        <f>AL82</f>
        <v>1</v>
      </c>
      <c r="AO83" s="77">
        <f>AK83*I83+AJ83</f>
        <v>1.3277999999999999</v>
      </c>
      <c r="AP83" s="77">
        <f t="shared" ref="AP83:AP84" si="111">0.1*AO83</f>
        <v>0.13277999999999998</v>
      </c>
      <c r="AQ83" s="78">
        <f t="shared" ref="AQ83:AQ84" si="112">AH83*3+0.25*AI83</f>
        <v>3.25</v>
      </c>
      <c r="AR83" s="78">
        <f t="shared" ref="AR83:AR84" si="113">SUM(AO83:AQ83)/4</f>
        <v>1.1776450000000001</v>
      </c>
      <c r="AS83" s="77">
        <f>10068.2*J83*POWER(10,-6)*10</f>
        <v>7.0477400000000003E-4</v>
      </c>
      <c r="AT83" s="78">
        <f t="shared" si="109"/>
        <v>5.8889297740000002</v>
      </c>
      <c r="AU83" s="79">
        <f t="shared" ref="AU83:AU84" si="114">AH83*H83</f>
        <v>9.5000000000000012E-7</v>
      </c>
      <c r="AV83" s="79">
        <f t="shared" ref="AV83:AV84" si="115">H83*AI83</f>
        <v>9.5000000000000012E-7</v>
      </c>
      <c r="AW83" s="79">
        <f t="shared" ref="AW83" si="116">H83*AT83</f>
        <v>5.5944832853000011E-6</v>
      </c>
    </row>
    <row r="84" spans="1:54" s="74" customFormat="1" x14ac:dyDescent="0.3">
      <c r="A84" s="64" t="s">
        <v>89</v>
      </c>
      <c r="B84" s="64" t="str">
        <f>B82</f>
        <v>Емкость подземная ЕП 8 -2000 - 1 - 2, зав. № 65</v>
      </c>
      <c r="C84" s="66" t="s">
        <v>163</v>
      </c>
      <c r="D84" s="67" t="s">
        <v>90</v>
      </c>
      <c r="E84" s="80">
        <f>E82</f>
        <v>1.0000000000000001E-5</v>
      </c>
      <c r="F84" s="81">
        <f>F82</f>
        <v>2</v>
      </c>
      <c r="G84" s="64">
        <v>0.90249999999999997</v>
      </c>
      <c r="H84" s="69">
        <f t="shared" si="110"/>
        <v>1.8050000000000002E-5</v>
      </c>
      <c r="I84" s="82">
        <f>I82</f>
        <v>21.4</v>
      </c>
      <c r="J84" s="85">
        <v>0</v>
      </c>
      <c r="K84" s="83" t="s">
        <v>91</v>
      </c>
      <c r="L84" s="84">
        <v>0</v>
      </c>
      <c r="M84" s="74" t="str">
        <f t="shared" si="106"/>
        <v>С3</v>
      </c>
      <c r="N84" s="74" t="str">
        <f t="shared" si="107"/>
        <v>Емкость подземная ЕП 8 -2000 - 1 - 2, зав. № 65</v>
      </c>
      <c r="O84" s="74" t="str">
        <f t="shared" si="108"/>
        <v>Полное-ликвидация</v>
      </c>
      <c r="P84" s="74" t="s">
        <v>84</v>
      </c>
      <c r="Q84" s="74" t="s">
        <v>84</v>
      </c>
      <c r="R84" s="74" t="s">
        <v>84</v>
      </c>
      <c r="S84" s="74" t="s">
        <v>84</v>
      </c>
      <c r="T84" s="74" t="s">
        <v>84</v>
      </c>
      <c r="U84" s="74" t="s">
        <v>84</v>
      </c>
      <c r="V84" s="74" t="s">
        <v>84</v>
      </c>
      <c r="W84" s="74" t="s">
        <v>84</v>
      </c>
      <c r="X84" s="74" t="s">
        <v>84</v>
      </c>
      <c r="Y84" s="74" t="s">
        <v>84</v>
      </c>
      <c r="Z84" s="74" t="s">
        <v>84</v>
      </c>
      <c r="AA84" s="74" t="s">
        <v>84</v>
      </c>
      <c r="AB84" s="74" t="s">
        <v>84</v>
      </c>
      <c r="AC84" s="74" t="s">
        <v>84</v>
      </c>
      <c r="AD84" s="74" t="s">
        <v>84</v>
      </c>
      <c r="AE84" s="74" t="s">
        <v>84</v>
      </c>
      <c r="AF84" s="74" t="s">
        <v>84</v>
      </c>
      <c r="AG84" s="74" t="s">
        <v>84</v>
      </c>
      <c r="AH84" s="74">
        <v>0</v>
      </c>
      <c r="AI84" s="74">
        <v>0</v>
      </c>
      <c r="AJ84" s="74">
        <f>AJ82</f>
        <v>0.75</v>
      </c>
      <c r="AK84" s="74">
        <f>AK82</f>
        <v>2.7E-2</v>
      </c>
      <c r="AL84" s="74">
        <f>AL82</f>
        <v>1</v>
      </c>
      <c r="AO84" s="77">
        <f>AK84*I84*0.1+AJ84</f>
        <v>0.80777999999999994</v>
      </c>
      <c r="AP84" s="77">
        <f t="shared" si="111"/>
        <v>8.0778000000000003E-2</v>
      </c>
      <c r="AQ84" s="78">
        <f t="shared" si="112"/>
        <v>0</v>
      </c>
      <c r="AR84" s="78">
        <f t="shared" si="113"/>
        <v>0.22213949999999999</v>
      </c>
      <c r="AS84" s="77">
        <f>1333*J82*POWER(10,-6)</f>
        <v>2.8526199999999995E-2</v>
      </c>
      <c r="AT84" s="78">
        <f t="shared" si="109"/>
        <v>1.1392237000000001</v>
      </c>
      <c r="AU84" s="79">
        <f t="shared" si="114"/>
        <v>0</v>
      </c>
      <c r="AV84" s="79">
        <f t="shared" si="115"/>
        <v>0</v>
      </c>
      <c r="AW84" s="79">
        <f>H84*AT84</f>
        <v>2.0562987785000002E-5</v>
      </c>
    </row>
    <row r="85" spans="1:54" s="74" customFormat="1" x14ac:dyDescent="0.3">
      <c r="A85" s="64"/>
      <c r="B85" s="64"/>
      <c r="C85" s="66"/>
      <c r="D85" s="67"/>
      <c r="E85" s="68"/>
      <c r="F85" s="81"/>
      <c r="G85" s="64"/>
      <c r="H85" s="69"/>
      <c r="I85" s="82"/>
      <c r="J85" s="71"/>
      <c r="K85" s="83" t="s">
        <v>95</v>
      </c>
      <c r="L85" s="84">
        <v>45390</v>
      </c>
      <c r="AO85" s="77"/>
      <c r="AP85" s="77"/>
      <c r="AQ85" s="78"/>
      <c r="AR85" s="78"/>
      <c r="AS85" s="77"/>
      <c r="AT85" s="78"/>
      <c r="AU85" s="79"/>
      <c r="AV85" s="79"/>
      <c r="AW85" s="79"/>
    </row>
    <row r="86" spans="1:54" s="74" customFormat="1" x14ac:dyDescent="0.3">
      <c r="A86" s="64"/>
      <c r="B86" s="64"/>
      <c r="C86" s="66"/>
      <c r="D86" s="67"/>
      <c r="E86" s="80"/>
      <c r="F86" s="81"/>
      <c r="G86" s="64"/>
      <c r="H86" s="69"/>
      <c r="I86" s="82"/>
      <c r="J86" s="71"/>
      <c r="K86" s="83" t="s">
        <v>98</v>
      </c>
      <c r="L86" s="84">
        <v>3</v>
      </c>
      <c r="AO86" s="77"/>
      <c r="AP86" s="77"/>
      <c r="AQ86" s="78"/>
      <c r="AR86" s="78"/>
      <c r="AS86" s="77"/>
      <c r="AT86" s="78"/>
      <c r="AU86" s="79"/>
      <c r="AV86" s="79"/>
      <c r="AW86" s="79"/>
    </row>
    <row r="87" spans="1:54" s="74" customFormat="1" ht="17.25" thickBot="1" x14ac:dyDescent="0.35">
      <c r="A87" s="64"/>
      <c r="B87" s="64"/>
      <c r="C87" s="66"/>
      <c r="D87" s="67"/>
      <c r="E87" s="80"/>
      <c r="F87" s="81"/>
      <c r="G87" s="64"/>
      <c r="H87" s="69"/>
      <c r="I87" s="82"/>
      <c r="J87" s="71"/>
      <c r="K87" s="86" t="s">
        <v>101</v>
      </c>
      <c r="L87" s="113">
        <v>14</v>
      </c>
      <c r="AO87" s="77"/>
      <c r="AP87" s="77"/>
      <c r="AQ87" s="78"/>
      <c r="AR87" s="78"/>
      <c r="AS87" s="77"/>
      <c r="AT87" s="78"/>
      <c r="AU87" s="79"/>
      <c r="AV87" s="79"/>
      <c r="AW87" s="79"/>
    </row>
    <row r="88" spans="1:54" s="74" customFormat="1" x14ac:dyDescent="0.3">
      <c r="A88" s="64"/>
      <c r="B88" s="64"/>
      <c r="C88" s="66"/>
      <c r="D88" s="67"/>
      <c r="E88" s="80"/>
      <c r="F88" s="81"/>
      <c r="G88" s="64"/>
      <c r="H88" s="69"/>
      <c r="I88" s="82"/>
      <c r="J88" s="71"/>
      <c r="K88" s="140"/>
      <c r="L88" s="141"/>
      <c r="AO88" s="77"/>
      <c r="AP88" s="77"/>
      <c r="AQ88" s="78"/>
      <c r="AR88" s="78"/>
      <c r="AS88" s="77"/>
      <c r="AT88" s="78"/>
      <c r="AU88" s="79"/>
      <c r="AV88" s="79"/>
      <c r="AW88" s="79"/>
    </row>
    <row r="89" spans="1:54" x14ac:dyDescent="0.3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</row>
    <row r="90" spans="1:54" x14ac:dyDescent="0.3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</row>
    <row r="91" spans="1:54" ht="17.25" thickBot="1" x14ac:dyDescent="0.35">
      <c r="A91" s="47"/>
      <c r="B91" s="47"/>
      <c r="C91" s="47"/>
      <c r="D91" s="48"/>
      <c r="E91" s="48"/>
      <c r="F91" s="48"/>
      <c r="G91" s="48"/>
      <c r="H91" s="48"/>
      <c r="I91" s="48"/>
      <c r="J91" s="48"/>
      <c r="K91" s="48"/>
      <c r="M91" s="42"/>
      <c r="N91" s="42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47"/>
      <c r="AC91" s="47"/>
      <c r="AD91" s="87"/>
      <c r="AE91" s="87"/>
      <c r="AF91" s="87"/>
      <c r="AG91" s="87"/>
      <c r="AH91" s="48"/>
      <c r="AI91" s="48"/>
      <c r="AJ91" s="88"/>
      <c r="AK91" s="61"/>
      <c r="AL91" s="61"/>
      <c r="AO91" s="48"/>
      <c r="AP91" s="48"/>
      <c r="AQ91" s="48"/>
      <c r="AR91" s="48"/>
      <c r="AS91" s="48"/>
      <c r="AT91" s="48"/>
      <c r="AU91" s="48"/>
      <c r="AV91" s="48"/>
      <c r="AW91" s="48"/>
    </row>
    <row r="92" spans="1:54" s="74" customFormat="1" ht="18" customHeight="1" x14ac:dyDescent="0.3">
      <c r="A92" s="64" t="s">
        <v>80</v>
      </c>
      <c r="B92" s="90" t="s">
        <v>73</v>
      </c>
      <c r="C92" s="66" t="s">
        <v>81</v>
      </c>
      <c r="D92" s="67" t="s">
        <v>82</v>
      </c>
      <c r="E92" s="68">
        <v>1.0000000000000001E-5</v>
      </c>
      <c r="F92" s="65">
        <v>1</v>
      </c>
      <c r="G92" s="64">
        <v>0.05</v>
      </c>
      <c r="H92" s="69">
        <f>E92*F92*G92</f>
        <v>5.0000000000000008E-7</v>
      </c>
      <c r="I92" s="70">
        <v>10.7</v>
      </c>
      <c r="J92" s="71">
        <f>I92</f>
        <v>10.7</v>
      </c>
      <c r="K92" s="72" t="s">
        <v>83</v>
      </c>
      <c r="L92" s="73">
        <v>120</v>
      </c>
      <c r="M92" s="74" t="str">
        <f t="shared" ref="M92:M94" si="117">A92</f>
        <v>С1</v>
      </c>
      <c r="N92" s="74" t="str">
        <f t="shared" ref="N92:N94" si="118">B92</f>
        <v>Емкость подземная ЕП 12,5 -2000-1 -2 , (КЕ-3)</v>
      </c>
      <c r="O92" s="74" t="str">
        <f t="shared" ref="O92:O94" si="119">D92</f>
        <v>Полное-пожар</v>
      </c>
      <c r="P92" s="74">
        <v>15.2</v>
      </c>
      <c r="Q92" s="74">
        <v>20.3</v>
      </c>
      <c r="R92" s="74">
        <v>28.1</v>
      </c>
      <c r="S92" s="74">
        <v>50.9</v>
      </c>
      <c r="T92" s="74" t="s">
        <v>84</v>
      </c>
      <c r="U92" s="74" t="s">
        <v>84</v>
      </c>
      <c r="V92" s="74" t="s">
        <v>84</v>
      </c>
      <c r="W92" s="74" t="s">
        <v>84</v>
      </c>
      <c r="X92" s="74" t="s">
        <v>84</v>
      </c>
      <c r="Y92" s="74" t="s">
        <v>84</v>
      </c>
      <c r="Z92" s="74" t="s">
        <v>84</v>
      </c>
      <c r="AA92" s="74" t="s">
        <v>84</v>
      </c>
      <c r="AB92" s="74" t="s">
        <v>84</v>
      </c>
      <c r="AC92" s="74" t="s">
        <v>84</v>
      </c>
      <c r="AD92" s="74" t="s">
        <v>84</v>
      </c>
      <c r="AE92" s="74" t="s">
        <v>84</v>
      </c>
      <c r="AF92" s="74" t="s">
        <v>84</v>
      </c>
      <c r="AG92" s="74" t="s">
        <v>84</v>
      </c>
      <c r="AH92" s="75">
        <v>1</v>
      </c>
      <c r="AI92" s="75">
        <v>1</v>
      </c>
      <c r="AJ92" s="76">
        <v>0.75</v>
      </c>
      <c r="AK92" s="76">
        <v>2.7E-2</v>
      </c>
      <c r="AL92" s="76">
        <v>1</v>
      </c>
      <c r="AO92" s="77">
        <f>AK92*I92+AJ92</f>
        <v>1.0388999999999999</v>
      </c>
      <c r="AP92" s="77">
        <f>0.1*AO92</f>
        <v>0.10389</v>
      </c>
      <c r="AQ92" s="78">
        <f>AH92*3+0.25*AI92</f>
        <v>3.25</v>
      </c>
      <c r="AR92" s="78">
        <f>SUM(AO92:AQ92)/4</f>
        <v>1.0981974999999999</v>
      </c>
      <c r="AS92" s="77">
        <f>10068.2*J92*POWER(10,-6)</f>
        <v>0.10772974</v>
      </c>
      <c r="AT92" s="78">
        <f t="shared" ref="AT92:AT94" si="120">AS92+AR92+AQ92+AP92+AO92</f>
        <v>5.5987172399999992</v>
      </c>
      <c r="AU92" s="79">
        <f>AH92*H92</f>
        <v>5.0000000000000008E-7</v>
      </c>
      <c r="AV92" s="79">
        <f>H92*AI92</f>
        <v>5.0000000000000008E-7</v>
      </c>
      <c r="AW92" s="79">
        <f>H92*AT92</f>
        <v>2.7993586200000001E-6</v>
      </c>
    </row>
    <row r="93" spans="1:54" s="74" customFormat="1" x14ac:dyDescent="0.3">
      <c r="A93" s="64" t="s">
        <v>85</v>
      </c>
      <c r="B93" s="64" t="str">
        <f>B92</f>
        <v>Емкость подземная ЕП 12,5 -2000-1 -2 , (КЕ-3)</v>
      </c>
      <c r="C93" s="66" t="s">
        <v>86</v>
      </c>
      <c r="D93" s="67" t="s">
        <v>87</v>
      </c>
      <c r="E93" s="80">
        <f>E92</f>
        <v>1.0000000000000001E-5</v>
      </c>
      <c r="F93" s="81">
        <f>F92</f>
        <v>1</v>
      </c>
      <c r="G93" s="64">
        <v>4.7500000000000001E-2</v>
      </c>
      <c r="H93" s="69">
        <f t="shared" ref="H93:H94" si="121">E93*F93*G93</f>
        <v>4.7500000000000006E-7</v>
      </c>
      <c r="I93" s="82">
        <f>I92</f>
        <v>10.7</v>
      </c>
      <c r="J93" s="112">
        <v>3.0000000000000001E-3</v>
      </c>
      <c r="K93" s="83" t="s">
        <v>88</v>
      </c>
      <c r="L93" s="84">
        <v>0</v>
      </c>
      <c r="M93" s="74" t="str">
        <f t="shared" si="117"/>
        <v>С2</v>
      </c>
      <c r="N93" s="74" t="str">
        <f t="shared" si="118"/>
        <v>Емкость подземная ЕП 12,5 -2000-1 -2 , (КЕ-3)</v>
      </c>
      <c r="O93" s="74" t="str">
        <f t="shared" si="119"/>
        <v>Полное-взрыв</v>
      </c>
      <c r="P93" s="74" t="s">
        <v>84</v>
      </c>
      <c r="Q93" s="74" t="s">
        <v>84</v>
      </c>
      <c r="R93" s="74" t="s">
        <v>84</v>
      </c>
      <c r="S93" s="74" t="s">
        <v>84</v>
      </c>
      <c r="T93" s="74">
        <v>4.5999999999999996</v>
      </c>
      <c r="U93" s="74">
        <v>10.6</v>
      </c>
      <c r="V93" s="74">
        <v>29.1</v>
      </c>
      <c r="W93" s="74">
        <v>49.6</v>
      </c>
      <c r="X93" s="74" t="s">
        <v>84</v>
      </c>
      <c r="Y93" s="74" t="s">
        <v>84</v>
      </c>
      <c r="Z93" s="74" t="s">
        <v>84</v>
      </c>
      <c r="AA93" s="74" t="s">
        <v>84</v>
      </c>
      <c r="AB93" s="74" t="s">
        <v>84</v>
      </c>
      <c r="AC93" s="74" t="s">
        <v>84</v>
      </c>
      <c r="AD93" s="74" t="s">
        <v>84</v>
      </c>
      <c r="AE93" s="74" t="s">
        <v>84</v>
      </c>
      <c r="AF93" s="74" t="s">
        <v>84</v>
      </c>
      <c r="AG93" s="74" t="s">
        <v>84</v>
      </c>
      <c r="AH93" s="75">
        <v>1</v>
      </c>
      <c r="AI93" s="75">
        <v>1</v>
      </c>
      <c r="AJ93" s="74">
        <f>AJ92</f>
        <v>0.75</v>
      </c>
      <c r="AK93" s="74">
        <f>AK92</f>
        <v>2.7E-2</v>
      </c>
      <c r="AL93" s="74">
        <f>AL92</f>
        <v>1</v>
      </c>
      <c r="AO93" s="77">
        <f>AK93*I93+AJ93</f>
        <v>1.0388999999999999</v>
      </c>
      <c r="AP93" s="77">
        <f t="shared" ref="AP93:AP94" si="122">0.1*AO93</f>
        <v>0.10389</v>
      </c>
      <c r="AQ93" s="78">
        <f t="shared" ref="AQ93:AQ94" si="123">AH93*3+0.25*AI93</f>
        <v>3.25</v>
      </c>
      <c r="AR93" s="78">
        <f t="shared" ref="AR93:AR94" si="124">SUM(AO93:AQ93)/4</f>
        <v>1.0981974999999999</v>
      </c>
      <c r="AS93" s="77">
        <f>10068.2*J93*POWER(10,-6)*10</f>
        <v>3.0204600000000004E-4</v>
      </c>
      <c r="AT93" s="78">
        <f t="shared" si="120"/>
        <v>5.491289546</v>
      </c>
      <c r="AU93" s="79">
        <f t="shared" ref="AU93:AU94" si="125">AH93*H93</f>
        <v>4.7500000000000006E-7</v>
      </c>
      <c r="AV93" s="79">
        <f t="shared" ref="AV93:AV94" si="126">H93*AI93</f>
        <v>4.7500000000000006E-7</v>
      </c>
      <c r="AW93" s="79">
        <f t="shared" ref="AW93" si="127">H93*AT93</f>
        <v>2.6083625343500005E-6</v>
      </c>
    </row>
    <row r="94" spans="1:54" s="74" customFormat="1" x14ac:dyDescent="0.3">
      <c r="A94" s="64" t="s">
        <v>89</v>
      </c>
      <c r="B94" s="64" t="str">
        <f>B92</f>
        <v>Емкость подземная ЕП 12,5 -2000-1 -2 , (КЕ-3)</v>
      </c>
      <c r="C94" s="66" t="s">
        <v>163</v>
      </c>
      <c r="D94" s="67" t="s">
        <v>90</v>
      </c>
      <c r="E94" s="80">
        <f>E92</f>
        <v>1.0000000000000001E-5</v>
      </c>
      <c r="F94" s="81">
        <f>F92</f>
        <v>1</v>
      </c>
      <c r="G94" s="64">
        <v>0.90249999999999997</v>
      </c>
      <c r="H94" s="69">
        <f t="shared" si="121"/>
        <v>9.0250000000000008E-6</v>
      </c>
      <c r="I94" s="82">
        <f>I92</f>
        <v>10.7</v>
      </c>
      <c r="J94" s="85">
        <v>0</v>
      </c>
      <c r="K94" s="83" t="s">
        <v>91</v>
      </c>
      <c r="L94" s="84">
        <v>0</v>
      </c>
      <c r="M94" s="74" t="str">
        <f t="shared" si="117"/>
        <v>С3</v>
      </c>
      <c r="N94" s="74" t="str">
        <f t="shared" si="118"/>
        <v>Емкость подземная ЕП 12,5 -2000-1 -2 , (КЕ-3)</v>
      </c>
      <c r="O94" s="74" t="str">
        <f t="shared" si="119"/>
        <v>Полное-ликвидация</v>
      </c>
      <c r="P94" s="74" t="s">
        <v>84</v>
      </c>
      <c r="Q94" s="74" t="s">
        <v>84</v>
      </c>
      <c r="R94" s="74" t="s">
        <v>84</v>
      </c>
      <c r="S94" s="74" t="s">
        <v>84</v>
      </c>
      <c r="T94" s="74" t="s">
        <v>84</v>
      </c>
      <c r="U94" s="74" t="s">
        <v>84</v>
      </c>
      <c r="V94" s="74" t="s">
        <v>84</v>
      </c>
      <c r="W94" s="74" t="s">
        <v>84</v>
      </c>
      <c r="X94" s="74" t="s">
        <v>84</v>
      </c>
      <c r="Y94" s="74" t="s">
        <v>84</v>
      </c>
      <c r="Z94" s="74" t="s">
        <v>84</v>
      </c>
      <c r="AA94" s="74" t="s">
        <v>84</v>
      </c>
      <c r="AB94" s="74" t="s">
        <v>84</v>
      </c>
      <c r="AC94" s="74" t="s">
        <v>84</v>
      </c>
      <c r="AD94" s="74" t="s">
        <v>84</v>
      </c>
      <c r="AE94" s="74" t="s">
        <v>84</v>
      </c>
      <c r="AF94" s="74" t="s">
        <v>84</v>
      </c>
      <c r="AG94" s="74" t="s">
        <v>84</v>
      </c>
      <c r="AH94" s="74">
        <v>0</v>
      </c>
      <c r="AI94" s="74">
        <v>0</v>
      </c>
      <c r="AJ94" s="74">
        <f>AJ92</f>
        <v>0.75</v>
      </c>
      <c r="AK94" s="74">
        <f>AK92</f>
        <v>2.7E-2</v>
      </c>
      <c r="AL94" s="74">
        <f>AL92</f>
        <v>1</v>
      </c>
      <c r="AO94" s="77">
        <f>AK94*I94*0.1+AJ94</f>
        <v>0.77888999999999997</v>
      </c>
      <c r="AP94" s="77">
        <f t="shared" si="122"/>
        <v>7.7889E-2</v>
      </c>
      <c r="AQ94" s="78">
        <f t="shared" si="123"/>
        <v>0</v>
      </c>
      <c r="AR94" s="78">
        <f t="shared" si="124"/>
        <v>0.21419474999999999</v>
      </c>
      <c r="AS94" s="77">
        <f>1333*J92*POWER(10,-6)</f>
        <v>1.4263099999999997E-2</v>
      </c>
      <c r="AT94" s="78">
        <f t="shared" si="120"/>
        <v>1.08523685</v>
      </c>
      <c r="AU94" s="79">
        <f t="shared" si="125"/>
        <v>0</v>
      </c>
      <c r="AV94" s="79">
        <f t="shared" si="126"/>
        <v>0</v>
      </c>
      <c r="AW94" s="79">
        <f>H94*AT94</f>
        <v>9.794262571250002E-6</v>
      </c>
    </row>
    <row r="95" spans="1:54" s="74" customFormat="1" x14ac:dyDescent="0.3">
      <c r="A95" s="64"/>
      <c r="B95" s="64"/>
      <c r="C95" s="66"/>
      <c r="D95" s="67"/>
      <c r="E95" s="68"/>
      <c r="F95" s="81"/>
      <c r="G95" s="64"/>
      <c r="H95" s="69"/>
      <c r="I95" s="82"/>
      <c r="J95" s="71"/>
      <c r="K95" s="83" t="s">
        <v>95</v>
      </c>
      <c r="L95" s="84">
        <v>45390</v>
      </c>
      <c r="AO95" s="77"/>
      <c r="AP95" s="77"/>
      <c r="AQ95" s="78"/>
      <c r="AR95" s="78"/>
      <c r="AS95" s="77"/>
      <c r="AT95" s="78"/>
      <c r="AU95" s="79"/>
      <c r="AV95" s="79"/>
      <c r="AW95" s="79"/>
    </row>
    <row r="96" spans="1:54" s="74" customFormat="1" x14ac:dyDescent="0.3">
      <c r="A96" s="64"/>
      <c r="B96" s="64"/>
      <c r="C96" s="66"/>
      <c r="D96" s="67"/>
      <c r="E96" s="80"/>
      <c r="F96" s="81"/>
      <c r="G96" s="64"/>
      <c r="H96" s="69"/>
      <c r="I96" s="82"/>
      <c r="J96" s="71"/>
      <c r="K96" s="83" t="s">
        <v>98</v>
      </c>
      <c r="L96" s="84">
        <v>3</v>
      </c>
      <c r="AO96" s="77"/>
      <c r="AP96" s="77"/>
      <c r="AQ96" s="78"/>
      <c r="AR96" s="78"/>
      <c r="AS96" s="77"/>
      <c r="AT96" s="78"/>
      <c r="AU96" s="79"/>
      <c r="AV96" s="79"/>
      <c r="AW96" s="79"/>
    </row>
    <row r="97" spans="1:54" s="74" customFormat="1" ht="17.25" thickBot="1" x14ac:dyDescent="0.35">
      <c r="A97" s="64"/>
      <c r="B97" s="64"/>
      <c r="C97" s="66"/>
      <c r="D97" s="67"/>
      <c r="E97" s="80"/>
      <c r="F97" s="81"/>
      <c r="G97" s="64"/>
      <c r="H97" s="69"/>
      <c r="I97" s="82"/>
      <c r="J97" s="71"/>
      <c r="K97" s="86" t="s">
        <v>101</v>
      </c>
      <c r="L97" s="113">
        <v>14</v>
      </c>
      <c r="AO97" s="77"/>
      <c r="AP97" s="77"/>
      <c r="AQ97" s="78"/>
      <c r="AR97" s="78"/>
      <c r="AS97" s="77"/>
      <c r="AT97" s="78"/>
      <c r="AU97" s="79"/>
      <c r="AV97" s="79"/>
      <c r="AW97" s="79"/>
    </row>
    <row r="98" spans="1:54" s="74" customFormat="1" x14ac:dyDescent="0.3">
      <c r="A98" s="64"/>
      <c r="B98" s="64"/>
      <c r="C98" s="66"/>
      <c r="D98" s="67"/>
      <c r="E98" s="80"/>
      <c r="F98" s="81"/>
      <c r="G98" s="64"/>
      <c r="H98" s="69"/>
      <c r="I98" s="82"/>
      <c r="J98" s="71"/>
      <c r="K98" s="140"/>
      <c r="L98" s="141"/>
      <c r="AO98" s="77"/>
      <c r="AP98" s="77"/>
      <c r="AQ98" s="78"/>
      <c r="AR98" s="78"/>
      <c r="AS98" s="77"/>
      <c r="AT98" s="78"/>
      <c r="AU98" s="79"/>
      <c r="AV98" s="79"/>
      <c r="AW98" s="79"/>
    </row>
    <row r="99" spans="1:54" x14ac:dyDescent="0.3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x14ac:dyDescent="0.3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7.25" thickBot="1" x14ac:dyDescent="0.35">
      <c r="A101" s="47"/>
      <c r="B101" s="47"/>
      <c r="C101" s="47"/>
      <c r="D101" s="48"/>
      <c r="E101" s="48"/>
      <c r="F101" s="48"/>
      <c r="G101" s="48"/>
      <c r="H101" s="48"/>
      <c r="I101" s="48"/>
      <c r="J101" s="48"/>
      <c r="K101" s="48"/>
      <c r="M101" s="42"/>
      <c r="N101" s="42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47"/>
      <c r="AC101" s="47"/>
      <c r="AD101" s="87"/>
      <c r="AE101" s="87"/>
      <c r="AF101" s="87"/>
      <c r="AG101" s="87"/>
      <c r="AH101" s="48"/>
      <c r="AI101" s="48"/>
      <c r="AJ101" s="88"/>
      <c r="AK101" s="61"/>
      <c r="AL101" s="61"/>
      <c r="AO101" s="48"/>
      <c r="AP101" s="48"/>
      <c r="AQ101" s="48"/>
      <c r="AR101" s="48"/>
      <c r="AS101" s="48"/>
      <c r="AT101" s="48"/>
      <c r="AU101" s="48"/>
      <c r="AV101" s="48"/>
      <c r="AW101" s="48"/>
    </row>
    <row r="102" spans="1:54" s="124" customFormat="1" ht="50.25" thickBot="1" x14ac:dyDescent="0.35">
      <c r="A102" s="114" t="s">
        <v>80</v>
      </c>
      <c r="B102" s="139" t="s">
        <v>159</v>
      </c>
      <c r="C102" s="116" t="s">
        <v>152</v>
      </c>
      <c r="D102" s="117" t="s">
        <v>149</v>
      </c>
      <c r="E102" s="118">
        <v>1.0000000000000001E-5</v>
      </c>
      <c r="F102" s="115">
        <v>3</v>
      </c>
      <c r="G102" s="114">
        <v>0.1</v>
      </c>
      <c r="H102" s="119">
        <f>E102*F102*G102</f>
        <v>3.0000000000000005E-6</v>
      </c>
      <c r="I102" s="120">
        <v>1.1599999999999999</v>
      </c>
      <c r="J102" s="121">
        <f>I102</f>
        <v>1.1599999999999999</v>
      </c>
      <c r="K102" s="122" t="s">
        <v>83</v>
      </c>
      <c r="L102" s="123">
        <v>7</v>
      </c>
      <c r="M102" s="124" t="str">
        <f t="shared" ref="M102:N107" si="128">A102</f>
        <v>С1</v>
      </c>
      <c r="N102" s="124" t="str">
        <f t="shared" si="128"/>
        <v>Насос Н 3/1,2 и Н1/2, ЦНСГ 13-140,
зав. № 335,655, 828</v>
      </c>
      <c r="O102" s="124" t="str">
        <f t="shared" ref="O102:O107" si="129">D102</f>
        <v>Полное-факел</v>
      </c>
      <c r="P102" s="124" t="s">
        <v>84</v>
      </c>
      <c r="Q102" s="124" t="s">
        <v>84</v>
      </c>
      <c r="R102" s="124" t="s">
        <v>84</v>
      </c>
      <c r="S102" s="124" t="s">
        <v>84</v>
      </c>
      <c r="T102" s="124" t="s">
        <v>84</v>
      </c>
      <c r="U102" s="124" t="s">
        <v>84</v>
      </c>
      <c r="V102" s="124" t="s">
        <v>84</v>
      </c>
      <c r="W102" s="124" t="s">
        <v>84</v>
      </c>
      <c r="X102" s="124">
        <v>15</v>
      </c>
      <c r="Y102" s="124">
        <v>3</v>
      </c>
      <c r="Z102" s="124" t="s">
        <v>84</v>
      </c>
      <c r="AA102" s="124" t="s">
        <v>84</v>
      </c>
      <c r="AB102" s="124" t="s">
        <v>84</v>
      </c>
      <c r="AC102" s="124" t="s">
        <v>84</v>
      </c>
      <c r="AD102" s="124" t="s">
        <v>84</v>
      </c>
      <c r="AE102" s="124" t="s">
        <v>84</v>
      </c>
      <c r="AF102" s="124" t="s">
        <v>84</v>
      </c>
      <c r="AG102" s="124" t="s">
        <v>84</v>
      </c>
      <c r="AH102" s="125">
        <v>1</v>
      </c>
      <c r="AI102" s="125">
        <v>1</v>
      </c>
      <c r="AJ102" s="126">
        <v>0.75</v>
      </c>
      <c r="AK102" s="126">
        <v>2.7E-2</v>
      </c>
      <c r="AL102" s="126">
        <v>3</v>
      </c>
      <c r="AO102" s="127">
        <f>AK102*I102+AJ102</f>
        <v>0.78132000000000001</v>
      </c>
      <c r="AP102" s="127">
        <f>0.1*AO102</f>
        <v>7.8132000000000007E-2</v>
      </c>
      <c r="AQ102" s="128">
        <f>AH102*3+0.25*AI102</f>
        <v>3.25</v>
      </c>
      <c r="AR102" s="128">
        <f>SUM(AO102:AQ102)/4</f>
        <v>1.027363</v>
      </c>
      <c r="AS102" s="127">
        <f>10068.2*J102*POWER(10,-6)</f>
        <v>1.1679111999999998E-2</v>
      </c>
      <c r="AT102" s="128">
        <f t="shared" ref="AT102:AT107" si="130">AS102+AR102+AQ102+AP102+AO102</f>
        <v>5.1484941119999998</v>
      </c>
      <c r="AU102" s="129">
        <f>AH102*H102</f>
        <v>3.0000000000000005E-6</v>
      </c>
      <c r="AV102" s="129">
        <f>H102*AI102</f>
        <v>3.0000000000000005E-6</v>
      </c>
      <c r="AW102" s="129">
        <f>H102*AT102</f>
        <v>1.5445482336000003E-5</v>
      </c>
    </row>
    <row r="103" spans="1:54" s="124" customFormat="1" ht="17.25" thickBot="1" x14ac:dyDescent="0.35">
      <c r="A103" s="114" t="s">
        <v>85</v>
      </c>
      <c r="B103" s="114" t="str">
        <f>B102</f>
        <v>Насос Н 3/1,2 и Н1/2, ЦНСГ 13-140,
зав. № 335,655, 828</v>
      </c>
      <c r="C103" s="116" t="s">
        <v>153</v>
      </c>
      <c r="D103" s="117" t="s">
        <v>154</v>
      </c>
      <c r="E103" s="130">
        <f>E102</f>
        <v>1.0000000000000001E-5</v>
      </c>
      <c r="F103" s="131">
        <f>F102</f>
        <v>3</v>
      </c>
      <c r="G103" s="114">
        <v>0.18000000000000002</v>
      </c>
      <c r="H103" s="119">
        <f t="shared" ref="H103:H107" si="131">E103*F103*G103</f>
        <v>5.4000000000000017E-6</v>
      </c>
      <c r="I103" s="121">
        <f>I102</f>
        <v>1.1599999999999999</v>
      </c>
      <c r="J103" s="138">
        <f>0.001</f>
        <v>1E-3</v>
      </c>
      <c r="K103" s="122" t="s">
        <v>88</v>
      </c>
      <c r="L103" s="123">
        <v>0</v>
      </c>
      <c r="M103" s="124" t="str">
        <f t="shared" si="128"/>
        <v>С2</v>
      </c>
      <c r="N103" s="124" t="str">
        <f t="shared" si="128"/>
        <v>Насос Н 3/1,2 и Н1/2, ЦНСГ 13-140,
зав. № 335,655, 828</v>
      </c>
      <c r="O103" s="124" t="str">
        <f t="shared" si="129"/>
        <v>Полное-взрыв облака ТВС</v>
      </c>
      <c r="P103" s="124" t="s">
        <v>84</v>
      </c>
      <c r="Q103" s="124" t="s">
        <v>84</v>
      </c>
      <c r="R103" s="124" t="s">
        <v>84</v>
      </c>
      <c r="S103" s="124" t="s">
        <v>84</v>
      </c>
      <c r="T103" s="124">
        <v>3.1</v>
      </c>
      <c r="U103" s="124">
        <v>7.6</v>
      </c>
      <c r="V103" s="124">
        <v>20.100000000000001</v>
      </c>
      <c r="W103" s="124">
        <v>34.6</v>
      </c>
      <c r="X103" s="124" t="s">
        <v>84</v>
      </c>
      <c r="Y103" s="124" t="s">
        <v>84</v>
      </c>
      <c r="Z103" s="124" t="s">
        <v>84</v>
      </c>
      <c r="AA103" s="124" t="s">
        <v>84</v>
      </c>
      <c r="AB103" s="124" t="s">
        <v>84</v>
      </c>
      <c r="AC103" s="124" t="s">
        <v>84</v>
      </c>
      <c r="AD103" s="124" t="s">
        <v>84</v>
      </c>
      <c r="AE103" s="124" t="s">
        <v>84</v>
      </c>
      <c r="AF103" s="124" t="s">
        <v>84</v>
      </c>
      <c r="AG103" s="124" t="s">
        <v>84</v>
      </c>
      <c r="AH103" s="125">
        <v>1</v>
      </c>
      <c r="AI103" s="125">
        <v>1</v>
      </c>
      <c r="AJ103" s="124">
        <f>AJ102</f>
        <v>0.75</v>
      </c>
      <c r="AK103" s="124">
        <f>AK102</f>
        <v>2.7E-2</v>
      </c>
      <c r="AL103" s="124">
        <f>AL102</f>
        <v>3</v>
      </c>
      <c r="AO103" s="127">
        <f>AK103*I103+AJ103</f>
        <v>0.78132000000000001</v>
      </c>
      <c r="AP103" s="127">
        <f t="shared" ref="AP103:AP107" si="132">0.1*AO103</f>
        <v>7.8132000000000007E-2</v>
      </c>
      <c r="AQ103" s="128">
        <f t="shared" ref="AQ103:AQ107" si="133">AH103*3+0.25*AI103</f>
        <v>3.25</v>
      </c>
      <c r="AR103" s="128">
        <f t="shared" ref="AR103:AR107" si="134">SUM(AO103:AQ103)/4</f>
        <v>1.027363</v>
      </c>
      <c r="AS103" s="127">
        <f>10068.2*J103*POWER(10,-6)*10</f>
        <v>1.0068200000000001E-4</v>
      </c>
      <c r="AT103" s="128">
        <f t="shared" si="130"/>
        <v>5.1369156820000006</v>
      </c>
      <c r="AU103" s="129">
        <f t="shared" ref="AU103:AU107" si="135">AH103*H103</f>
        <v>5.4000000000000017E-6</v>
      </c>
      <c r="AV103" s="129">
        <f t="shared" ref="AV103:AV107" si="136">H103*AI103</f>
        <v>5.4000000000000017E-6</v>
      </c>
      <c r="AW103" s="129">
        <f t="shared" ref="AW103:AW107" si="137">H103*AT103</f>
        <v>2.7739344682800012E-5</v>
      </c>
    </row>
    <row r="104" spans="1:54" s="124" customFormat="1" x14ac:dyDescent="0.3">
      <c r="A104" s="114" t="s">
        <v>89</v>
      </c>
      <c r="B104" s="114" t="str">
        <f>B102</f>
        <v>Насос Н 3/1,2 и Н1/2, ЦНСГ 13-140,
зав. № 335,655, 828</v>
      </c>
      <c r="C104" s="116" t="s">
        <v>155</v>
      </c>
      <c r="D104" s="117" t="s">
        <v>90</v>
      </c>
      <c r="E104" s="130">
        <f>E102</f>
        <v>1.0000000000000001E-5</v>
      </c>
      <c r="F104" s="131">
        <f>F102</f>
        <v>3</v>
      </c>
      <c r="G104" s="114">
        <v>0.72000000000000008</v>
      </c>
      <c r="H104" s="119">
        <f t="shared" si="131"/>
        <v>2.1600000000000007E-5</v>
      </c>
      <c r="I104" s="121">
        <f>I102</f>
        <v>1.1599999999999999</v>
      </c>
      <c r="J104" s="114">
        <v>0</v>
      </c>
      <c r="K104" s="122" t="s">
        <v>91</v>
      </c>
      <c r="L104" s="123">
        <v>1</v>
      </c>
      <c r="M104" s="124" t="str">
        <f t="shared" si="128"/>
        <v>С3</v>
      </c>
      <c r="N104" s="124" t="str">
        <f t="shared" si="128"/>
        <v>Насос Н 3/1,2 и Н1/2, ЦНСГ 13-140,
зав. № 335,655, 828</v>
      </c>
      <c r="O104" s="124" t="str">
        <f t="shared" si="129"/>
        <v>Полное-ликвидация</v>
      </c>
      <c r="P104" s="124" t="s">
        <v>84</v>
      </c>
      <c r="Q104" s="124" t="s">
        <v>84</v>
      </c>
      <c r="R104" s="124" t="s">
        <v>84</v>
      </c>
      <c r="S104" s="124" t="s">
        <v>84</v>
      </c>
      <c r="T104" s="124" t="s">
        <v>84</v>
      </c>
      <c r="U104" s="124" t="s">
        <v>84</v>
      </c>
      <c r="V104" s="124" t="s">
        <v>84</v>
      </c>
      <c r="W104" s="124" t="s">
        <v>84</v>
      </c>
      <c r="X104" s="124" t="s">
        <v>84</v>
      </c>
      <c r="Y104" s="124" t="s">
        <v>84</v>
      </c>
      <c r="Z104" s="124" t="s">
        <v>84</v>
      </c>
      <c r="AA104" s="124" t="s">
        <v>84</v>
      </c>
      <c r="AB104" s="124" t="s">
        <v>84</v>
      </c>
      <c r="AC104" s="124" t="s">
        <v>84</v>
      </c>
      <c r="AD104" s="124" t="s">
        <v>84</v>
      </c>
      <c r="AE104" s="124" t="s">
        <v>84</v>
      </c>
      <c r="AF104" s="124" t="s">
        <v>84</v>
      </c>
      <c r="AG104" s="124" t="s">
        <v>84</v>
      </c>
      <c r="AH104" s="124">
        <v>0</v>
      </c>
      <c r="AI104" s="124">
        <v>0</v>
      </c>
      <c r="AJ104" s="124">
        <f>AJ102</f>
        <v>0.75</v>
      </c>
      <c r="AK104" s="124">
        <f>AK102</f>
        <v>2.7E-2</v>
      </c>
      <c r="AL104" s="124">
        <f>AL102</f>
        <v>3</v>
      </c>
      <c r="AO104" s="127">
        <f>AK104*I104*0.1+AJ104</f>
        <v>0.75313200000000002</v>
      </c>
      <c r="AP104" s="127">
        <f t="shared" si="132"/>
        <v>7.5313200000000011E-2</v>
      </c>
      <c r="AQ104" s="128">
        <f t="shared" si="133"/>
        <v>0</v>
      </c>
      <c r="AR104" s="128">
        <f t="shared" si="134"/>
        <v>0.2071113</v>
      </c>
      <c r="AS104" s="127">
        <f>1333*J103*POWER(10,-6)</f>
        <v>1.333E-6</v>
      </c>
      <c r="AT104" s="128">
        <f t="shared" si="130"/>
        <v>1.0355578329999999</v>
      </c>
      <c r="AU104" s="129">
        <f t="shared" si="135"/>
        <v>0</v>
      </c>
      <c r="AV104" s="129">
        <f t="shared" si="136"/>
        <v>0</v>
      </c>
      <c r="AW104" s="129">
        <f t="shared" si="137"/>
        <v>2.2368049192800004E-5</v>
      </c>
    </row>
    <row r="105" spans="1:54" s="124" customFormat="1" x14ac:dyDescent="0.3">
      <c r="A105" s="114" t="s">
        <v>92</v>
      </c>
      <c r="B105" s="114" t="str">
        <f>B102</f>
        <v>Насос Н 3/1,2 и Н1/2, ЦНСГ 13-140,
зав. № 335,655, 828</v>
      </c>
      <c r="C105" s="116" t="s">
        <v>156</v>
      </c>
      <c r="D105" s="117" t="s">
        <v>148</v>
      </c>
      <c r="E105" s="130">
        <f>E103</f>
        <v>1.0000000000000001E-5</v>
      </c>
      <c r="F105" s="131">
        <f>F102</f>
        <v>3</v>
      </c>
      <c r="G105" s="114">
        <v>0.1</v>
      </c>
      <c r="H105" s="119">
        <f t="shared" si="131"/>
        <v>3.0000000000000005E-6</v>
      </c>
      <c r="I105" s="121">
        <f>0.15*I102</f>
        <v>0.17399999999999999</v>
      </c>
      <c r="J105" s="121">
        <f>I105</f>
        <v>0.17399999999999999</v>
      </c>
      <c r="K105" s="132" t="s">
        <v>95</v>
      </c>
      <c r="L105" s="133">
        <v>45390</v>
      </c>
      <c r="M105" s="124" t="str">
        <f t="shared" si="128"/>
        <v>С4</v>
      </c>
      <c r="N105" s="124" t="str">
        <f t="shared" si="128"/>
        <v>Насос Н 3/1,2 и Н1/2, ЦНСГ 13-140,
зав. № 335,655, 828</v>
      </c>
      <c r="O105" s="124" t="str">
        <f t="shared" si="129"/>
        <v>Частичное-пожар</v>
      </c>
      <c r="P105" s="124" t="s">
        <v>84</v>
      </c>
      <c r="Q105" s="124" t="s">
        <v>84</v>
      </c>
      <c r="R105" s="124" t="s">
        <v>84</v>
      </c>
      <c r="S105" s="124" t="s">
        <v>84</v>
      </c>
      <c r="T105" s="124" t="s">
        <v>84</v>
      </c>
      <c r="U105" s="124" t="s">
        <v>84</v>
      </c>
      <c r="V105" s="124" t="s">
        <v>84</v>
      </c>
      <c r="W105" s="124" t="s">
        <v>84</v>
      </c>
      <c r="X105" s="124" t="s">
        <v>84</v>
      </c>
      <c r="Y105" s="124" t="s">
        <v>84</v>
      </c>
      <c r="Z105" s="124" t="s">
        <v>84</v>
      </c>
      <c r="AA105" s="124" t="s">
        <v>84</v>
      </c>
      <c r="AB105" s="124" t="s">
        <v>84</v>
      </c>
      <c r="AC105" s="124" t="s">
        <v>84</v>
      </c>
      <c r="AD105" s="124" t="s">
        <v>84</v>
      </c>
      <c r="AE105" s="124" t="s">
        <v>84</v>
      </c>
      <c r="AF105" s="124" t="s">
        <v>84</v>
      </c>
      <c r="AG105" s="124" t="s">
        <v>84</v>
      </c>
      <c r="AH105" s="124">
        <v>0</v>
      </c>
      <c r="AI105" s="124">
        <v>2</v>
      </c>
      <c r="AJ105" s="124">
        <f>0.1*$AJ$2</f>
        <v>7.5000000000000011E-2</v>
      </c>
      <c r="AK105" s="124">
        <f>AK102</f>
        <v>2.7E-2</v>
      </c>
      <c r="AL105" s="124">
        <f>ROUNDUP(AL102/3,0)</f>
        <v>1</v>
      </c>
      <c r="AO105" s="127">
        <f>AK105*I105+AJ105</f>
        <v>7.9698000000000005E-2</v>
      </c>
      <c r="AP105" s="127">
        <f t="shared" si="132"/>
        <v>7.9698000000000008E-3</v>
      </c>
      <c r="AQ105" s="128">
        <f t="shared" si="133"/>
        <v>0.5</v>
      </c>
      <c r="AR105" s="128">
        <f t="shared" si="134"/>
        <v>0.14691694999999999</v>
      </c>
      <c r="AS105" s="127">
        <f>10068.2*J105*POWER(10,-6)</f>
        <v>1.7518668E-3</v>
      </c>
      <c r="AT105" s="128">
        <f t="shared" si="130"/>
        <v>0.73633661680000007</v>
      </c>
      <c r="AU105" s="129">
        <f t="shared" si="135"/>
        <v>0</v>
      </c>
      <c r="AV105" s="129">
        <f t="shared" si="136"/>
        <v>6.000000000000001E-6</v>
      </c>
      <c r="AW105" s="129">
        <f t="shared" si="137"/>
        <v>2.2090098504000006E-6</v>
      </c>
    </row>
    <row r="106" spans="1:54" s="124" customFormat="1" x14ac:dyDescent="0.3">
      <c r="A106" s="114" t="s">
        <v>96</v>
      </c>
      <c r="B106" s="114" t="str">
        <f>B102</f>
        <v>Насос Н 3/1,2 и Н1/2, ЦНСГ 13-140,
зав. № 335,655, 828</v>
      </c>
      <c r="C106" s="116" t="s">
        <v>157</v>
      </c>
      <c r="D106" s="117" t="s">
        <v>148</v>
      </c>
      <c r="E106" s="130">
        <f t="shared" ref="E106:E107" si="138">E104</f>
        <v>1.0000000000000001E-5</v>
      </c>
      <c r="F106" s="131">
        <f>F102</f>
        <v>3</v>
      </c>
      <c r="G106" s="114">
        <v>4.5000000000000005E-2</v>
      </c>
      <c r="H106" s="119">
        <f t="shared" si="131"/>
        <v>1.3500000000000004E-6</v>
      </c>
      <c r="I106" s="121">
        <f>0.15*I102</f>
        <v>0.17399999999999999</v>
      </c>
      <c r="J106" s="121">
        <f>I105</f>
        <v>0.17399999999999999</v>
      </c>
      <c r="K106" s="132" t="s">
        <v>98</v>
      </c>
      <c r="L106" s="133">
        <v>3</v>
      </c>
      <c r="M106" s="124" t="str">
        <f t="shared" si="128"/>
        <v>С5</v>
      </c>
      <c r="N106" s="124" t="str">
        <f t="shared" si="128"/>
        <v>Насос Н 3/1,2 и Н1/2, ЦНСГ 13-140,
зав. № 335,655, 828</v>
      </c>
      <c r="O106" s="124" t="str">
        <f t="shared" si="129"/>
        <v>Частичное-пожар</v>
      </c>
      <c r="P106" s="124" t="s">
        <v>84</v>
      </c>
      <c r="Q106" s="124" t="s">
        <v>84</v>
      </c>
      <c r="R106" s="124" t="s">
        <v>84</v>
      </c>
      <c r="S106" s="124" t="s">
        <v>84</v>
      </c>
      <c r="T106" s="124" t="s">
        <v>84</v>
      </c>
      <c r="U106" s="124" t="s">
        <v>84</v>
      </c>
      <c r="V106" s="124" t="s">
        <v>84</v>
      </c>
      <c r="W106" s="124" t="s">
        <v>84</v>
      </c>
      <c r="X106" s="124" t="s">
        <v>84</v>
      </c>
      <c r="Y106" s="124" t="s">
        <v>84</v>
      </c>
      <c r="Z106" s="124" t="s">
        <v>84</v>
      </c>
      <c r="AA106" s="124" t="s">
        <v>84</v>
      </c>
      <c r="AB106" s="124" t="s">
        <v>84</v>
      </c>
      <c r="AC106" s="124" t="s">
        <v>84</v>
      </c>
      <c r="AD106" s="124" t="s">
        <v>84</v>
      </c>
      <c r="AE106" s="124" t="s">
        <v>84</v>
      </c>
      <c r="AF106" s="124" t="s">
        <v>84</v>
      </c>
      <c r="AG106" s="124" t="s">
        <v>84</v>
      </c>
      <c r="AH106" s="124">
        <v>0</v>
      </c>
      <c r="AI106" s="124">
        <v>1</v>
      </c>
      <c r="AJ106" s="124">
        <f>0.1*$AJ$2</f>
        <v>7.5000000000000011E-2</v>
      </c>
      <c r="AK106" s="124">
        <f>AK102</f>
        <v>2.7E-2</v>
      </c>
      <c r="AL106" s="124">
        <f>ROUNDUP(AL102/3,0)</f>
        <v>1</v>
      </c>
      <c r="AO106" s="127">
        <f t="shared" ref="AO106" si="139">AK106*I106+AJ106</f>
        <v>7.9698000000000005E-2</v>
      </c>
      <c r="AP106" s="127">
        <f t="shared" si="132"/>
        <v>7.9698000000000008E-3</v>
      </c>
      <c r="AQ106" s="128">
        <f t="shared" si="133"/>
        <v>0.25</v>
      </c>
      <c r="AR106" s="128">
        <f t="shared" si="134"/>
        <v>8.4416950000000004E-2</v>
      </c>
      <c r="AS106" s="127">
        <f>10068.2*J106*POWER(10,-6)*10</f>
        <v>1.7518668000000001E-2</v>
      </c>
      <c r="AT106" s="128">
        <f t="shared" si="130"/>
        <v>0.43960341800000002</v>
      </c>
      <c r="AU106" s="129">
        <f t="shared" si="135"/>
        <v>0</v>
      </c>
      <c r="AV106" s="129">
        <f t="shared" si="136"/>
        <v>1.3500000000000004E-6</v>
      </c>
      <c r="AW106" s="129">
        <f t="shared" si="137"/>
        <v>5.934646143000002E-7</v>
      </c>
    </row>
    <row r="107" spans="1:54" s="124" customFormat="1" ht="17.25" thickBot="1" x14ac:dyDescent="0.35">
      <c r="A107" s="114" t="s">
        <v>99</v>
      </c>
      <c r="B107" s="114" t="str">
        <f>B102</f>
        <v>Насос Н 3/1,2 и Н1/2, ЦНСГ 13-140,
зав. № 335,655, 828</v>
      </c>
      <c r="C107" s="116" t="s">
        <v>158</v>
      </c>
      <c r="D107" s="117" t="s">
        <v>97</v>
      </c>
      <c r="E107" s="130">
        <f t="shared" si="138"/>
        <v>1.0000000000000001E-5</v>
      </c>
      <c r="F107" s="131">
        <f>F102</f>
        <v>3</v>
      </c>
      <c r="G107" s="114">
        <v>0.85499999999999998</v>
      </c>
      <c r="H107" s="119">
        <f t="shared" si="131"/>
        <v>2.5650000000000003E-5</v>
      </c>
      <c r="I107" s="121">
        <f>0.15*I102</f>
        <v>0.17399999999999999</v>
      </c>
      <c r="J107" s="114">
        <v>0</v>
      </c>
      <c r="K107" s="134" t="s">
        <v>101</v>
      </c>
      <c r="L107" s="134">
        <v>11</v>
      </c>
      <c r="M107" s="124" t="str">
        <f t="shared" si="128"/>
        <v>С6</v>
      </c>
      <c r="N107" s="124" t="str">
        <f t="shared" si="128"/>
        <v>Насос Н 3/1,2 и Н1/2, ЦНСГ 13-140,
зав. № 335,655, 828</v>
      </c>
      <c r="O107" s="124" t="str">
        <f t="shared" si="129"/>
        <v>Частичное-ликвидация</v>
      </c>
      <c r="P107" s="124" t="s">
        <v>84</v>
      </c>
      <c r="Q107" s="124" t="s">
        <v>84</v>
      </c>
      <c r="R107" s="124" t="s">
        <v>84</v>
      </c>
      <c r="S107" s="124" t="s">
        <v>84</v>
      </c>
      <c r="T107" s="124" t="s">
        <v>84</v>
      </c>
      <c r="U107" s="124" t="s">
        <v>84</v>
      </c>
      <c r="V107" s="124" t="s">
        <v>84</v>
      </c>
      <c r="W107" s="124" t="s">
        <v>84</v>
      </c>
      <c r="X107" s="124" t="s">
        <v>84</v>
      </c>
      <c r="Y107" s="124" t="s">
        <v>84</v>
      </c>
      <c r="Z107" s="124" t="s">
        <v>84</v>
      </c>
      <c r="AA107" s="124" t="s">
        <v>84</v>
      </c>
      <c r="AB107" s="124" t="s">
        <v>84</v>
      </c>
      <c r="AC107" s="124" t="s">
        <v>84</v>
      </c>
      <c r="AD107" s="124" t="s">
        <v>84</v>
      </c>
      <c r="AE107" s="124" t="s">
        <v>84</v>
      </c>
      <c r="AF107" s="124" t="s">
        <v>84</v>
      </c>
      <c r="AG107" s="124" t="s">
        <v>84</v>
      </c>
      <c r="AH107" s="124">
        <v>0</v>
      </c>
      <c r="AI107" s="124">
        <v>0</v>
      </c>
      <c r="AJ107" s="124">
        <f>0.1*$AJ$2</f>
        <v>7.5000000000000011E-2</v>
      </c>
      <c r="AK107" s="124">
        <f>AK102</f>
        <v>2.7E-2</v>
      </c>
      <c r="AL107" s="124">
        <f>ROUNDUP(AL102/3,0)</f>
        <v>1</v>
      </c>
      <c r="AO107" s="127">
        <f>AK107*I107*0.1+AJ107</f>
        <v>7.5469800000000017E-2</v>
      </c>
      <c r="AP107" s="127">
        <f t="shared" si="132"/>
        <v>7.5469800000000017E-3</v>
      </c>
      <c r="AQ107" s="128">
        <f t="shared" si="133"/>
        <v>0</v>
      </c>
      <c r="AR107" s="128">
        <f t="shared" si="134"/>
        <v>2.0754195000000003E-2</v>
      </c>
      <c r="AS107" s="127">
        <f>1333*J106*POWER(10,-6)</f>
        <v>2.3194199999999996E-4</v>
      </c>
      <c r="AT107" s="128">
        <f t="shared" si="130"/>
        <v>0.10400291700000003</v>
      </c>
      <c r="AU107" s="129">
        <f t="shared" si="135"/>
        <v>0</v>
      </c>
      <c r="AV107" s="129">
        <f t="shared" si="136"/>
        <v>0</v>
      </c>
      <c r="AW107" s="129">
        <f t="shared" si="137"/>
        <v>2.6676748210500011E-6</v>
      </c>
    </row>
    <row r="108" spans="1:54" s="124" customFormat="1" x14ac:dyDescent="0.3">
      <c r="A108" s="142"/>
      <c r="B108" s="142"/>
      <c r="C108" s="143"/>
      <c r="D108" s="144"/>
      <c r="E108" s="145"/>
      <c r="F108" s="146"/>
      <c r="G108" s="142"/>
      <c r="H108" s="147"/>
      <c r="I108" s="148"/>
      <c r="J108" s="142"/>
      <c r="K108" s="142"/>
      <c r="L108" s="142"/>
      <c r="AO108" s="127"/>
      <c r="AP108" s="127"/>
      <c r="AQ108" s="128"/>
      <c r="AR108" s="128"/>
      <c r="AS108" s="127"/>
      <c r="AT108" s="128"/>
      <c r="AU108" s="129"/>
      <c r="AV108" s="129"/>
      <c r="AW108" s="129"/>
    </row>
    <row r="109" spans="1:54" s="124" customFormat="1" x14ac:dyDescent="0.3">
      <c r="A109" s="125"/>
      <c r="B109" s="125"/>
      <c r="D109" s="135"/>
      <c r="E109" s="136"/>
      <c r="F109" s="137"/>
      <c r="G109" s="125"/>
      <c r="H109" s="129"/>
      <c r="I109" s="128"/>
      <c r="J109" s="125"/>
      <c r="K109" s="125"/>
      <c r="L109" s="125"/>
      <c r="AO109" s="127"/>
      <c r="AP109" s="127"/>
      <c r="AQ109" s="128"/>
      <c r="AR109" s="128"/>
      <c r="AS109" s="127"/>
      <c r="AT109" s="128"/>
      <c r="AU109" s="129"/>
      <c r="AV109" s="129"/>
      <c r="AW109" s="129"/>
    </row>
    <row r="110" spans="1:54" s="124" customFormat="1" x14ac:dyDescent="0.3">
      <c r="A110" s="125"/>
      <c r="B110" s="125"/>
      <c r="D110" s="135"/>
      <c r="E110" s="136"/>
      <c r="F110" s="137"/>
      <c r="G110" s="125"/>
      <c r="H110" s="129"/>
      <c r="I110" s="128"/>
      <c r="J110" s="125"/>
      <c r="K110" s="125"/>
      <c r="L110" s="125"/>
      <c r="AO110" s="127"/>
      <c r="AP110" s="127"/>
      <c r="AQ110" s="128"/>
      <c r="AR110" s="128"/>
      <c r="AS110" s="127"/>
      <c r="AT110" s="128"/>
      <c r="AU110" s="129"/>
      <c r="AV110" s="129"/>
      <c r="AW110" s="129"/>
    </row>
    <row r="111" spans="1:54" ht="17.25" thickBot="1" x14ac:dyDescent="0.35">
      <c r="A111" s="47"/>
      <c r="B111" s="47"/>
      <c r="C111" s="47"/>
      <c r="D111" s="48"/>
      <c r="E111" s="48"/>
      <c r="F111" s="48"/>
      <c r="G111" s="48"/>
      <c r="H111" s="48"/>
      <c r="I111" s="48"/>
      <c r="J111" s="48"/>
      <c r="K111" s="48"/>
      <c r="M111" s="42"/>
      <c r="N111" s="42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47"/>
      <c r="AC111" s="47"/>
      <c r="AD111" s="87"/>
      <c r="AE111" s="87"/>
      <c r="AF111" s="87"/>
      <c r="AG111" s="87"/>
      <c r="AH111" s="48"/>
      <c r="AI111" s="48"/>
      <c r="AJ111" s="88"/>
      <c r="AK111" s="61"/>
      <c r="AL111" s="61"/>
      <c r="AO111" s="48"/>
      <c r="AP111" s="48"/>
      <c r="AQ111" s="48"/>
      <c r="AR111" s="48"/>
      <c r="AS111" s="48"/>
      <c r="AT111" s="48"/>
      <c r="AU111" s="48"/>
      <c r="AV111" s="48"/>
      <c r="AW111" s="48"/>
    </row>
    <row r="112" spans="1:54" s="124" customFormat="1" ht="33.75" thickBot="1" x14ac:dyDescent="0.35">
      <c r="A112" s="114" t="s">
        <v>80</v>
      </c>
      <c r="B112" s="139" t="s">
        <v>75</v>
      </c>
      <c r="C112" s="116" t="s">
        <v>152</v>
      </c>
      <c r="D112" s="117" t="s">
        <v>149</v>
      </c>
      <c r="E112" s="118">
        <v>1.0000000000000001E-5</v>
      </c>
      <c r="F112" s="115">
        <v>2</v>
      </c>
      <c r="G112" s="114">
        <v>0.1</v>
      </c>
      <c r="H112" s="119">
        <f>E112*F112*G112</f>
        <v>2.0000000000000003E-6</v>
      </c>
      <c r="I112" s="120">
        <v>3.39</v>
      </c>
      <c r="J112" s="121">
        <f>I112</f>
        <v>3.39</v>
      </c>
      <c r="K112" s="122" t="s">
        <v>83</v>
      </c>
      <c r="L112" s="123">
        <v>19</v>
      </c>
      <c r="M112" s="124" t="str">
        <f t="shared" ref="M112:M117" si="140">A112</f>
        <v>С1</v>
      </c>
      <c r="N112" s="124" t="str">
        <f t="shared" ref="N112:N117" si="141">B112</f>
        <v>Насос Н 2/1,2, ЦНСн 38-175,
зав. № 196, 74</v>
      </c>
      <c r="O112" s="124" t="str">
        <f t="shared" ref="O112:O117" si="142">D112</f>
        <v>Полное-факел</v>
      </c>
      <c r="P112" s="124" t="s">
        <v>84</v>
      </c>
      <c r="Q112" s="124" t="s">
        <v>84</v>
      </c>
      <c r="R112" s="124" t="s">
        <v>84</v>
      </c>
      <c r="S112" s="124" t="s">
        <v>84</v>
      </c>
      <c r="T112" s="124" t="s">
        <v>84</v>
      </c>
      <c r="U112" s="124" t="s">
        <v>84</v>
      </c>
      <c r="V112" s="124" t="s">
        <v>84</v>
      </c>
      <c r="W112" s="124" t="s">
        <v>84</v>
      </c>
      <c r="X112" s="124">
        <v>16</v>
      </c>
      <c r="Y112" s="124">
        <v>3</v>
      </c>
      <c r="Z112" s="124" t="s">
        <v>84</v>
      </c>
      <c r="AA112" s="124" t="s">
        <v>84</v>
      </c>
      <c r="AB112" s="124" t="s">
        <v>84</v>
      </c>
      <c r="AC112" s="124" t="s">
        <v>84</v>
      </c>
      <c r="AD112" s="124" t="s">
        <v>84</v>
      </c>
      <c r="AE112" s="124" t="s">
        <v>84</v>
      </c>
      <c r="AF112" s="124" t="s">
        <v>84</v>
      </c>
      <c r="AG112" s="124" t="s">
        <v>84</v>
      </c>
      <c r="AH112" s="125">
        <v>1</v>
      </c>
      <c r="AI112" s="125">
        <v>1</v>
      </c>
      <c r="AJ112" s="126">
        <v>0.75</v>
      </c>
      <c r="AK112" s="126">
        <v>2.7E-2</v>
      </c>
      <c r="AL112" s="126">
        <v>3</v>
      </c>
      <c r="AO112" s="127">
        <f>AK112*I112+AJ112</f>
        <v>0.84153</v>
      </c>
      <c r="AP112" s="127">
        <f>0.1*AO112</f>
        <v>8.4153000000000006E-2</v>
      </c>
      <c r="AQ112" s="128">
        <f>AH112*3+0.25*AI112</f>
        <v>3.25</v>
      </c>
      <c r="AR112" s="128">
        <f>SUM(AO112:AQ112)/4</f>
        <v>1.0439207500000001</v>
      </c>
      <c r="AS112" s="127">
        <f>10068.2*J112*POWER(10,-6)</f>
        <v>3.4131198000000001E-2</v>
      </c>
      <c r="AT112" s="128">
        <f t="shared" ref="AT112:AT117" si="143">AS112+AR112+AQ112+AP112+AO112</f>
        <v>5.253734948</v>
      </c>
      <c r="AU112" s="129">
        <f>AH112*H112</f>
        <v>2.0000000000000003E-6</v>
      </c>
      <c r="AV112" s="129">
        <f>H112*AI112</f>
        <v>2.0000000000000003E-6</v>
      </c>
      <c r="AW112" s="129">
        <f>H112*AT112</f>
        <v>1.0507469896000002E-5</v>
      </c>
    </row>
    <row r="113" spans="1:49" s="124" customFormat="1" ht="17.25" thickBot="1" x14ac:dyDescent="0.35">
      <c r="A113" s="114" t="s">
        <v>85</v>
      </c>
      <c r="B113" s="114" t="str">
        <f>B112</f>
        <v>Насос Н 2/1,2, ЦНСн 38-175,
зав. № 196, 74</v>
      </c>
      <c r="C113" s="116" t="s">
        <v>153</v>
      </c>
      <c r="D113" s="117" t="s">
        <v>154</v>
      </c>
      <c r="E113" s="130">
        <f>E112</f>
        <v>1.0000000000000001E-5</v>
      </c>
      <c r="F113" s="131">
        <v>2</v>
      </c>
      <c r="G113" s="114">
        <v>0.18000000000000002</v>
      </c>
      <c r="H113" s="119">
        <f t="shared" ref="H113:H117" si="144">E113*F113*G113</f>
        <v>3.6000000000000007E-6</v>
      </c>
      <c r="I113" s="121">
        <f>I112</f>
        <v>3.39</v>
      </c>
      <c r="J113" s="138">
        <v>4.0000000000000001E-3</v>
      </c>
      <c r="K113" s="122" t="s">
        <v>88</v>
      </c>
      <c r="L113" s="123">
        <v>0</v>
      </c>
      <c r="M113" s="124" t="str">
        <f t="shared" si="140"/>
        <v>С2</v>
      </c>
      <c r="N113" s="124" t="str">
        <f t="shared" si="141"/>
        <v>Насос Н 2/1,2, ЦНСн 38-175,
зав. № 196, 74</v>
      </c>
      <c r="O113" s="124" t="str">
        <f t="shared" si="142"/>
        <v>Полное-взрыв облака ТВС</v>
      </c>
      <c r="P113" s="124" t="s">
        <v>84</v>
      </c>
      <c r="Q113" s="124" t="s">
        <v>84</v>
      </c>
      <c r="R113" s="124" t="s">
        <v>84</v>
      </c>
      <c r="S113" s="124" t="s">
        <v>84</v>
      </c>
      <c r="T113" s="124">
        <v>5.0999999999999996</v>
      </c>
      <c r="U113" s="124">
        <v>11.6</v>
      </c>
      <c r="V113" s="124">
        <v>32.1</v>
      </c>
      <c r="W113" s="124">
        <v>54.6</v>
      </c>
      <c r="X113" s="124" t="s">
        <v>84</v>
      </c>
      <c r="Y113" s="124" t="s">
        <v>84</v>
      </c>
      <c r="Z113" s="124" t="s">
        <v>84</v>
      </c>
      <c r="AA113" s="124" t="s">
        <v>84</v>
      </c>
      <c r="AB113" s="124" t="s">
        <v>84</v>
      </c>
      <c r="AC113" s="124" t="s">
        <v>84</v>
      </c>
      <c r="AD113" s="124" t="s">
        <v>84</v>
      </c>
      <c r="AE113" s="124" t="s">
        <v>84</v>
      </c>
      <c r="AF113" s="124" t="s">
        <v>84</v>
      </c>
      <c r="AG113" s="124" t="s">
        <v>84</v>
      </c>
      <c r="AH113" s="125">
        <v>1</v>
      </c>
      <c r="AI113" s="125">
        <v>1</v>
      </c>
      <c r="AJ113" s="124">
        <f>AJ112</f>
        <v>0.75</v>
      </c>
      <c r="AK113" s="124">
        <f>AK112</f>
        <v>2.7E-2</v>
      </c>
      <c r="AL113" s="124">
        <f>AL112</f>
        <v>3</v>
      </c>
      <c r="AO113" s="127">
        <f>AK113*I113+AJ113</f>
        <v>0.84153</v>
      </c>
      <c r="AP113" s="127">
        <f t="shared" ref="AP113:AP117" si="145">0.1*AO113</f>
        <v>8.4153000000000006E-2</v>
      </c>
      <c r="AQ113" s="128">
        <f t="shared" ref="AQ113:AQ117" si="146">AH113*3+0.25*AI113</f>
        <v>3.25</v>
      </c>
      <c r="AR113" s="128">
        <f t="shared" ref="AR113:AR117" si="147">SUM(AO113:AQ113)/4</f>
        <v>1.0439207500000001</v>
      </c>
      <c r="AS113" s="127">
        <f>10068.2*J113*POWER(10,-6)*10</f>
        <v>4.0272800000000004E-4</v>
      </c>
      <c r="AT113" s="128">
        <f t="shared" si="143"/>
        <v>5.2200064779999993</v>
      </c>
      <c r="AU113" s="129">
        <f t="shared" ref="AU113:AU117" si="148">AH113*H113</f>
        <v>3.6000000000000007E-6</v>
      </c>
      <c r="AV113" s="129">
        <f t="shared" ref="AV113:AV117" si="149">H113*AI113</f>
        <v>3.6000000000000007E-6</v>
      </c>
      <c r="AW113" s="129">
        <f t="shared" ref="AW113:AW117" si="150">H113*AT113</f>
        <v>1.8792023320800002E-5</v>
      </c>
    </row>
    <row r="114" spans="1:49" s="124" customFormat="1" x14ac:dyDescent="0.3">
      <c r="A114" s="114" t="s">
        <v>89</v>
      </c>
      <c r="B114" s="114" t="str">
        <f>B112</f>
        <v>Насос Н 2/1,2, ЦНСн 38-175,
зав. № 196, 74</v>
      </c>
      <c r="C114" s="116" t="s">
        <v>155</v>
      </c>
      <c r="D114" s="117" t="s">
        <v>90</v>
      </c>
      <c r="E114" s="130">
        <f>E112</f>
        <v>1.0000000000000001E-5</v>
      </c>
      <c r="F114" s="131">
        <v>2</v>
      </c>
      <c r="G114" s="114">
        <v>0.72000000000000008</v>
      </c>
      <c r="H114" s="119">
        <f t="shared" si="144"/>
        <v>1.4400000000000003E-5</v>
      </c>
      <c r="I114" s="121">
        <f>I112</f>
        <v>3.39</v>
      </c>
      <c r="J114" s="114">
        <v>0</v>
      </c>
      <c r="K114" s="122" t="s">
        <v>91</v>
      </c>
      <c r="L114" s="123">
        <v>1.3</v>
      </c>
      <c r="M114" s="124" t="str">
        <f t="shared" si="140"/>
        <v>С3</v>
      </c>
      <c r="N114" s="124" t="str">
        <f t="shared" si="141"/>
        <v>Насос Н 2/1,2, ЦНСн 38-175,
зав. № 196, 74</v>
      </c>
      <c r="O114" s="124" t="str">
        <f t="shared" si="142"/>
        <v>Полное-ликвидация</v>
      </c>
      <c r="P114" s="124" t="s">
        <v>84</v>
      </c>
      <c r="Q114" s="124" t="s">
        <v>84</v>
      </c>
      <c r="R114" s="124" t="s">
        <v>84</v>
      </c>
      <c r="S114" s="124" t="s">
        <v>84</v>
      </c>
      <c r="T114" s="124" t="s">
        <v>84</v>
      </c>
      <c r="U114" s="124" t="s">
        <v>84</v>
      </c>
      <c r="V114" s="124" t="s">
        <v>84</v>
      </c>
      <c r="W114" s="124" t="s">
        <v>84</v>
      </c>
      <c r="X114" s="124" t="s">
        <v>84</v>
      </c>
      <c r="Y114" s="124" t="s">
        <v>84</v>
      </c>
      <c r="Z114" s="124" t="s">
        <v>84</v>
      </c>
      <c r="AA114" s="124" t="s">
        <v>84</v>
      </c>
      <c r="AB114" s="124" t="s">
        <v>84</v>
      </c>
      <c r="AC114" s="124" t="s">
        <v>84</v>
      </c>
      <c r="AD114" s="124" t="s">
        <v>84</v>
      </c>
      <c r="AE114" s="124" t="s">
        <v>84</v>
      </c>
      <c r="AF114" s="124" t="s">
        <v>84</v>
      </c>
      <c r="AG114" s="124" t="s">
        <v>84</v>
      </c>
      <c r="AH114" s="124">
        <v>0</v>
      </c>
      <c r="AI114" s="124">
        <v>0</v>
      </c>
      <c r="AJ114" s="124">
        <f>AJ112</f>
        <v>0.75</v>
      </c>
      <c r="AK114" s="124">
        <f>AK112</f>
        <v>2.7E-2</v>
      </c>
      <c r="AL114" s="124">
        <f>AL112</f>
        <v>3</v>
      </c>
      <c r="AO114" s="127">
        <f>AK114*I114*0.1+AJ114</f>
        <v>0.75915299999999997</v>
      </c>
      <c r="AP114" s="127">
        <f t="shared" si="145"/>
        <v>7.5915300000000005E-2</v>
      </c>
      <c r="AQ114" s="128">
        <f t="shared" si="146"/>
        <v>0</v>
      </c>
      <c r="AR114" s="128">
        <f t="shared" si="147"/>
        <v>0.208767075</v>
      </c>
      <c r="AS114" s="127">
        <f>1333*J113*POWER(10,-6)</f>
        <v>5.3319999999999999E-6</v>
      </c>
      <c r="AT114" s="128">
        <f t="shared" si="143"/>
        <v>1.043840707</v>
      </c>
      <c r="AU114" s="129">
        <f t="shared" si="148"/>
        <v>0</v>
      </c>
      <c r="AV114" s="129">
        <f t="shared" si="149"/>
        <v>0</v>
      </c>
      <c r="AW114" s="129">
        <f t="shared" si="150"/>
        <v>1.5031306180800002E-5</v>
      </c>
    </row>
    <row r="115" spans="1:49" s="124" customFormat="1" x14ac:dyDescent="0.3">
      <c r="A115" s="114" t="s">
        <v>92</v>
      </c>
      <c r="B115" s="114" t="str">
        <f>B112</f>
        <v>Насос Н 2/1,2, ЦНСн 38-175,
зав. № 196, 74</v>
      </c>
      <c r="C115" s="116" t="s">
        <v>156</v>
      </c>
      <c r="D115" s="117" t="s">
        <v>148</v>
      </c>
      <c r="E115" s="130">
        <f>E113</f>
        <v>1.0000000000000001E-5</v>
      </c>
      <c r="F115" s="131">
        <v>2</v>
      </c>
      <c r="G115" s="114">
        <v>0.1</v>
      </c>
      <c r="H115" s="119">
        <f t="shared" si="144"/>
        <v>2.0000000000000003E-6</v>
      </c>
      <c r="I115" s="121">
        <f>0.15*I112</f>
        <v>0.50849999999999995</v>
      </c>
      <c r="J115" s="121">
        <f>I115</f>
        <v>0.50849999999999995</v>
      </c>
      <c r="K115" s="132" t="s">
        <v>95</v>
      </c>
      <c r="L115" s="133">
        <v>45390</v>
      </c>
      <c r="M115" s="124" t="str">
        <f t="shared" si="140"/>
        <v>С4</v>
      </c>
      <c r="N115" s="124" t="str">
        <f t="shared" si="141"/>
        <v>Насос Н 2/1,2, ЦНСн 38-175,
зав. № 196, 74</v>
      </c>
      <c r="O115" s="124" t="str">
        <f t="shared" si="142"/>
        <v>Частичное-пожар</v>
      </c>
      <c r="P115" s="124" t="s">
        <v>84</v>
      </c>
      <c r="Q115" s="124" t="s">
        <v>84</v>
      </c>
      <c r="R115" s="124" t="s">
        <v>84</v>
      </c>
      <c r="S115" s="124" t="s">
        <v>84</v>
      </c>
      <c r="T115" s="124" t="s">
        <v>84</v>
      </c>
      <c r="U115" s="124" t="s">
        <v>84</v>
      </c>
      <c r="V115" s="124" t="s">
        <v>84</v>
      </c>
      <c r="W115" s="124" t="s">
        <v>84</v>
      </c>
      <c r="X115" s="124" t="s">
        <v>84</v>
      </c>
      <c r="Y115" s="124" t="s">
        <v>84</v>
      </c>
      <c r="Z115" s="124" t="s">
        <v>84</v>
      </c>
      <c r="AA115" s="124" t="s">
        <v>84</v>
      </c>
      <c r="AB115" s="124" t="s">
        <v>84</v>
      </c>
      <c r="AC115" s="124" t="s">
        <v>84</v>
      </c>
      <c r="AD115" s="124" t="s">
        <v>84</v>
      </c>
      <c r="AE115" s="124" t="s">
        <v>84</v>
      </c>
      <c r="AF115" s="124" t="s">
        <v>84</v>
      </c>
      <c r="AG115" s="124" t="s">
        <v>84</v>
      </c>
      <c r="AH115" s="124">
        <v>0</v>
      </c>
      <c r="AI115" s="124">
        <v>2</v>
      </c>
      <c r="AJ115" s="124">
        <f>0.1*$AJ$2</f>
        <v>7.5000000000000011E-2</v>
      </c>
      <c r="AK115" s="124">
        <f>AK112</f>
        <v>2.7E-2</v>
      </c>
      <c r="AL115" s="124">
        <f>ROUNDUP(AL112/3,0)</f>
        <v>1</v>
      </c>
      <c r="AO115" s="127">
        <f>AK115*I115+AJ115</f>
        <v>8.8729500000000017E-2</v>
      </c>
      <c r="AP115" s="127">
        <f t="shared" si="145"/>
        <v>8.8729500000000027E-3</v>
      </c>
      <c r="AQ115" s="128">
        <f t="shared" si="146"/>
        <v>0.5</v>
      </c>
      <c r="AR115" s="128">
        <f t="shared" si="147"/>
        <v>0.1494006125</v>
      </c>
      <c r="AS115" s="127">
        <f>10068.2*J115*POWER(10,-6)</f>
        <v>5.1196796999999992E-3</v>
      </c>
      <c r="AT115" s="128">
        <f t="shared" si="143"/>
        <v>0.75212274219999997</v>
      </c>
      <c r="AU115" s="129">
        <f t="shared" si="148"/>
        <v>0</v>
      </c>
      <c r="AV115" s="129">
        <f t="shared" si="149"/>
        <v>4.0000000000000007E-6</v>
      </c>
      <c r="AW115" s="129">
        <f t="shared" si="150"/>
        <v>1.5042454844000003E-6</v>
      </c>
    </row>
    <row r="116" spans="1:49" s="124" customFormat="1" x14ac:dyDescent="0.3">
      <c r="A116" s="114" t="s">
        <v>96</v>
      </c>
      <c r="B116" s="114" t="str">
        <f>B112</f>
        <v>Насос Н 2/1,2, ЦНСн 38-175,
зав. № 196, 74</v>
      </c>
      <c r="C116" s="116" t="s">
        <v>157</v>
      </c>
      <c r="D116" s="117" t="s">
        <v>148</v>
      </c>
      <c r="E116" s="130">
        <f t="shared" ref="E116:E117" si="151">E114</f>
        <v>1.0000000000000001E-5</v>
      </c>
      <c r="F116" s="131">
        <v>2</v>
      </c>
      <c r="G116" s="114">
        <v>4.5000000000000005E-2</v>
      </c>
      <c r="H116" s="119">
        <f t="shared" si="144"/>
        <v>9.0000000000000017E-7</v>
      </c>
      <c r="I116" s="121">
        <f>0.15*I112</f>
        <v>0.50849999999999995</v>
      </c>
      <c r="J116" s="121">
        <f>I115</f>
        <v>0.50849999999999995</v>
      </c>
      <c r="K116" s="132" t="s">
        <v>98</v>
      </c>
      <c r="L116" s="133">
        <v>3</v>
      </c>
      <c r="M116" s="124" t="str">
        <f t="shared" si="140"/>
        <v>С5</v>
      </c>
      <c r="N116" s="124" t="str">
        <f t="shared" si="141"/>
        <v>Насос Н 2/1,2, ЦНСн 38-175,
зав. № 196, 74</v>
      </c>
      <c r="O116" s="124" t="str">
        <f t="shared" si="142"/>
        <v>Частичное-пожар</v>
      </c>
      <c r="P116" s="124" t="s">
        <v>84</v>
      </c>
      <c r="Q116" s="124" t="s">
        <v>84</v>
      </c>
      <c r="R116" s="124" t="s">
        <v>84</v>
      </c>
      <c r="S116" s="124" t="s">
        <v>84</v>
      </c>
      <c r="T116" s="124" t="s">
        <v>84</v>
      </c>
      <c r="U116" s="124" t="s">
        <v>84</v>
      </c>
      <c r="V116" s="124" t="s">
        <v>84</v>
      </c>
      <c r="W116" s="124" t="s">
        <v>84</v>
      </c>
      <c r="X116" s="124" t="s">
        <v>84</v>
      </c>
      <c r="Y116" s="124" t="s">
        <v>84</v>
      </c>
      <c r="Z116" s="124" t="s">
        <v>84</v>
      </c>
      <c r="AA116" s="124" t="s">
        <v>84</v>
      </c>
      <c r="AB116" s="124" t="s">
        <v>84</v>
      </c>
      <c r="AC116" s="124" t="s">
        <v>84</v>
      </c>
      <c r="AD116" s="124" t="s">
        <v>84</v>
      </c>
      <c r="AE116" s="124" t="s">
        <v>84</v>
      </c>
      <c r="AF116" s="124" t="s">
        <v>84</v>
      </c>
      <c r="AG116" s="124" t="s">
        <v>84</v>
      </c>
      <c r="AH116" s="124">
        <v>0</v>
      </c>
      <c r="AI116" s="124">
        <v>1</v>
      </c>
      <c r="AJ116" s="124">
        <f>0.1*$AJ$2</f>
        <v>7.5000000000000011E-2</v>
      </c>
      <c r="AK116" s="124">
        <f>AK112</f>
        <v>2.7E-2</v>
      </c>
      <c r="AL116" s="124">
        <f>ROUNDUP(AL112/3,0)</f>
        <v>1</v>
      </c>
      <c r="AO116" s="127">
        <f t="shared" ref="AO116" si="152">AK116*I116+AJ116</f>
        <v>8.8729500000000017E-2</v>
      </c>
      <c r="AP116" s="127">
        <f t="shared" si="145"/>
        <v>8.8729500000000027E-3</v>
      </c>
      <c r="AQ116" s="128">
        <f t="shared" si="146"/>
        <v>0.25</v>
      </c>
      <c r="AR116" s="128">
        <f t="shared" si="147"/>
        <v>8.6900612500000002E-2</v>
      </c>
      <c r="AS116" s="127">
        <f>10068.2*J116*POWER(10,-6)*10</f>
        <v>5.1196796999999988E-2</v>
      </c>
      <c r="AT116" s="128">
        <f t="shared" si="143"/>
        <v>0.4856998595</v>
      </c>
      <c r="AU116" s="129">
        <f t="shared" si="148"/>
        <v>0</v>
      </c>
      <c r="AV116" s="129">
        <f t="shared" si="149"/>
        <v>9.0000000000000017E-7</v>
      </c>
      <c r="AW116" s="129">
        <f t="shared" si="150"/>
        <v>4.3712987355000011E-7</v>
      </c>
    </row>
    <row r="117" spans="1:49" s="124" customFormat="1" ht="17.25" thickBot="1" x14ac:dyDescent="0.35">
      <c r="A117" s="114" t="s">
        <v>250</v>
      </c>
      <c r="B117" s="114" t="str">
        <f>B112</f>
        <v>Насос Н 2/1,2, ЦНСн 38-175,
зав. № 196, 74</v>
      </c>
      <c r="C117" s="116" t="s">
        <v>158</v>
      </c>
      <c r="D117" s="117" t="s">
        <v>97</v>
      </c>
      <c r="E117" s="130">
        <f t="shared" si="151"/>
        <v>1.0000000000000001E-5</v>
      </c>
      <c r="F117" s="131">
        <v>2</v>
      </c>
      <c r="G117" s="114">
        <v>0.85499999999999998</v>
      </c>
      <c r="H117" s="119">
        <f t="shared" si="144"/>
        <v>1.7100000000000002E-5</v>
      </c>
      <c r="I117" s="121">
        <f>0.15*I112</f>
        <v>0.50849999999999995</v>
      </c>
      <c r="J117" s="114">
        <v>0</v>
      </c>
      <c r="K117" s="134" t="s">
        <v>101</v>
      </c>
      <c r="L117" s="134">
        <v>11</v>
      </c>
      <c r="M117" s="124" t="str">
        <f t="shared" si="140"/>
        <v>С6+A76A56:A2:A117</v>
      </c>
      <c r="N117" s="124" t="str">
        <f t="shared" si="141"/>
        <v>Насос Н 2/1,2, ЦНСн 38-175,
зав. № 196, 74</v>
      </c>
      <c r="O117" s="124" t="str">
        <f t="shared" si="142"/>
        <v>Частичное-ликвидация</v>
      </c>
      <c r="P117" s="124" t="s">
        <v>84</v>
      </c>
      <c r="Q117" s="124" t="s">
        <v>84</v>
      </c>
      <c r="R117" s="124" t="s">
        <v>84</v>
      </c>
      <c r="S117" s="124" t="s">
        <v>84</v>
      </c>
      <c r="T117" s="124" t="s">
        <v>84</v>
      </c>
      <c r="U117" s="124" t="s">
        <v>84</v>
      </c>
      <c r="V117" s="124" t="s">
        <v>84</v>
      </c>
      <c r="W117" s="124" t="s">
        <v>84</v>
      </c>
      <c r="X117" s="124" t="s">
        <v>84</v>
      </c>
      <c r="Y117" s="124" t="s">
        <v>84</v>
      </c>
      <c r="Z117" s="124" t="s">
        <v>84</v>
      </c>
      <c r="AA117" s="124" t="s">
        <v>84</v>
      </c>
      <c r="AB117" s="124" t="s">
        <v>84</v>
      </c>
      <c r="AC117" s="124" t="s">
        <v>84</v>
      </c>
      <c r="AD117" s="124" t="s">
        <v>84</v>
      </c>
      <c r="AE117" s="124" t="s">
        <v>84</v>
      </c>
      <c r="AF117" s="124" t="s">
        <v>84</v>
      </c>
      <c r="AG117" s="124" t="s">
        <v>84</v>
      </c>
      <c r="AH117" s="124">
        <v>0</v>
      </c>
      <c r="AI117" s="124">
        <v>0</v>
      </c>
      <c r="AJ117" s="124">
        <f>0.1*$AJ$2</f>
        <v>7.5000000000000011E-2</v>
      </c>
      <c r="AK117" s="124">
        <f>AK112</f>
        <v>2.7E-2</v>
      </c>
      <c r="AL117" s="124">
        <f>ROUNDUP(AL112/3,0)</f>
        <v>1</v>
      </c>
      <c r="AO117" s="127">
        <f>AK117*I117*0.1+AJ117</f>
        <v>7.6372950000000009E-2</v>
      </c>
      <c r="AP117" s="127">
        <f t="shared" si="145"/>
        <v>7.6372950000000014E-3</v>
      </c>
      <c r="AQ117" s="128">
        <f t="shared" si="146"/>
        <v>0</v>
      </c>
      <c r="AR117" s="128">
        <f t="shared" si="147"/>
        <v>2.1002561250000003E-2</v>
      </c>
      <c r="AS117" s="127">
        <f>1333*J116*POWER(10,-6)</f>
        <v>6.7783049999999988E-4</v>
      </c>
      <c r="AT117" s="128">
        <f t="shared" si="143"/>
        <v>0.10569063675000001</v>
      </c>
      <c r="AU117" s="129">
        <f t="shared" si="148"/>
        <v>0</v>
      </c>
      <c r="AV117" s="129">
        <f t="shared" si="149"/>
        <v>0</v>
      </c>
      <c r="AW117" s="129">
        <f t="shared" si="150"/>
        <v>1.8073098884250004E-6</v>
      </c>
    </row>
    <row r="118" spans="1:49" s="124" customFormat="1" x14ac:dyDescent="0.3">
      <c r="A118" s="142"/>
      <c r="B118" s="142"/>
      <c r="C118" s="143"/>
      <c r="D118" s="144"/>
      <c r="E118" s="145"/>
      <c r="F118" s="146"/>
      <c r="G118" s="142"/>
      <c r="H118" s="147"/>
      <c r="I118" s="148"/>
      <c r="J118" s="142"/>
      <c r="K118" s="142"/>
      <c r="L118" s="142"/>
      <c r="AO118" s="127"/>
      <c r="AP118" s="127"/>
      <c r="AQ118" s="128"/>
      <c r="AR118" s="128"/>
      <c r="AS118" s="127"/>
      <c r="AT118" s="128"/>
      <c r="AU118" s="129"/>
      <c r="AV118" s="129"/>
      <c r="AW118" s="129"/>
    </row>
    <row r="119" spans="1:49" s="124" customFormat="1" x14ac:dyDescent="0.3">
      <c r="A119" s="125"/>
      <c r="B119" s="125"/>
      <c r="D119" s="135"/>
      <c r="E119" s="136"/>
      <c r="F119" s="137"/>
      <c r="G119" s="125"/>
      <c r="H119" s="129"/>
      <c r="I119" s="128"/>
      <c r="J119" s="125"/>
      <c r="K119" s="125"/>
      <c r="L119" s="125"/>
      <c r="AO119" s="127"/>
      <c r="AP119" s="127"/>
      <c r="AQ119" s="128"/>
      <c r="AR119" s="128"/>
      <c r="AS119" s="127"/>
      <c r="AT119" s="128"/>
      <c r="AU119" s="129"/>
      <c r="AV119" s="129"/>
      <c r="AW119" s="129"/>
    </row>
    <row r="120" spans="1:49" s="124" customFormat="1" x14ac:dyDescent="0.3">
      <c r="A120" s="125"/>
      <c r="B120" s="125"/>
      <c r="D120" s="135"/>
      <c r="E120" s="136"/>
      <c r="F120" s="137"/>
      <c r="G120" s="125"/>
      <c r="H120" s="129"/>
      <c r="I120" s="128"/>
      <c r="J120" s="125"/>
      <c r="K120" s="125"/>
      <c r="L120" s="125"/>
      <c r="AO120" s="127"/>
      <c r="AP120" s="127"/>
      <c r="AQ120" s="128"/>
      <c r="AR120" s="128"/>
      <c r="AS120" s="127"/>
      <c r="AT120" s="128"/>
      <c r="AU120" s="129"/>
      <c r="AV120" s="129"/>
      <c r="AW120" s="129"/>
    </row>
    <row r="121" spans="1:49" ht="17.25" thickBot="1" x14ac:dyDescent="0.35">
      <c r="A121" s="47"/>
      <c r="B121" s="47"/>
      <c r="C121" s="47"/>
      <c r="D121" s="48"/>
      <c r="E121" s="48"/>
      <c r="F121" s="48"/>
      <c r="G121" s="48"/>
      <c r="H121" s="48"/>
      <c r="I121" s="48"/>
      <c r="J121" s="48"/>
      <c r="K121" s="48"/>
      <c r="M121" s="42"/>
      <c r="N121" s="42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47"/>
      <c r="AC121" s="47"/>
      <c r="AD121" s="87"/>
      <c r="AE121" s="87"/>
      <c r="AF121" s="87"/>
      <c r="AG121" s="87"/>
      <c r="AH121" s="48"/>
      <c r="AI121" s="48"/>
      <c r="AJ121" s="88"/>
      <c r="AK121" s="61"/>
      <c r="AL121" s="61"/>
      <c r="AO121" s="48"/>
      <c r="AP121" s="48"/>
      <c r="AQ121" s="48"/>
      <c r="AR121" s="48"/>
      <c r="AS121" s="48"/>
      <c r="AT121" s="48"/>
      <c r="AU121" s="48"/>
      <c r="AV121" s="48"/>
      <c r="AW121" s="48"/>
    </row>
    <row r="122" spans="1:49" s="124" customFormat="1" ht="50.25" thickBot="1" x14ac:dyDescent="0.35">
      <c r="A122" s="114" t="s">
        <v>80</v>
      </c>
      <c r="B122" s="139" t="s">
        <v>77</v>
      </c>
      <c r="C122" s="116" t="s">
        <v>152</v>
      </c>
      <c r="D122" s="117" t="s">
        <v>149</v>
      </c>
      <c r="E122" s="118">
        <v>1.0000000000000001E-5</v>
      </c>
      <c r="F122" s="115">
        <v>2</v>
      </c>
      <c r="G122" s="114">
        <v>0.1</v>
      </c>
      <c r="H122" s="119">
        <f>E122*F122*G122</f>
        <v>2.0000000000000003E-6</v>
      </c>
      <c r="I122" s="120">
        <v>1.1599999999999999</v>
      </c>
      <c r="J122" s="121">
        <f>I122</f>
        <v>1.1599999999999999</v>
      </c>
      <c r="K122" s="122" t="s">
        <v>83</v>
      </c>
      <c r="L122" s="123">
        <v>7</v>
      </c>
      <c r="M122" s="124" t="str">
        <f t="shared" ref="M122:M127" si="153">A122</f>
        <v>С1</v>
      </c>
      <c r="N122" s="124" t="str">
        <f t="shared" ref="N122:N127" si="154">B122</f>
        <v>Насос Н 1/1 и Н-7, А 1-ЗВ 16/25 (Е -
2), зав. № 11ц26, 8С1</v>
      </c>
      <c r="O122" s="124" t="str">
        <f t="shared" ref="O122:O127" si="155">D122</f>
        <v>Полное-факел</v>
      </c>
      <c r="P122" s="124" t="s">
        <v>84</v>
      </c>
      <c r="Q122" s="124" t="s">
        <v>84</v>
      </c>
      <c r="R122" s="124" t="s">
        <v>84</v>
      </c>
      <c r="S122" s="124" t="s">
        <v>84</v>
      </c>
      <c r="T122" s="124" t="s">
        <v>84</v>
      </c>
      <c r="U122" s="124" t="s">
        <v>84</v>
      </c>
      <c r="V122" s="124" t="s">
        <v>84</v>
      </c>
      <c r="W122" s="124" t="s">
        <v>84</v>
      </c>
      <c r="X122" s="124">
        <v>15</v>
      </c>
      <c r="Y122" s="124">
        <v>3</v>
      </c>
      <c r="Z122" s="124" t="s">
        <v>84</v>
      </c>
      <c r="AA122" s="124" t="s">
        <v>84</v>
      </c>
      <c r="AB122" s="124" t="s">
        <v>84</v>
      </c>
      <c r="AC122" s="124" t="s">
        <v>84</v>
      </c>
      <c r="AD122" s="124" t="s">
        <v>84</v>
      </c>
      <c r="AE122" s="124" t="s">
        <v>84</v>
      </c>
      <c r="AF122" s="124" t="s">
        <v>84</v>
      </c>
      <c r="AG122" s="124" t="s">
        <v>84</v>
      </c>
      <c r="AH122" s="125">
        <v>1</v>
      </c>
      <c r="AI122" s="125">
        <v>1</v>
      </c>
      <c r="AJ122" s="126">
        <v>0.75</v>
      </c>
      <c r="AK122" s="126">
        <v>2.7E-2</v>
      </c>
      <c r="AL122" s="126">
        <v>3</v>
      </c>
      <c r="AO122" s="127">
        <f>AK122*I122+AJ122</f>
        <v>0.78132000000000001</v>
      </c>
      <c r="AP122" s="127">
        <f>0.1*AO122</f>
        <v>7.8132000000000007E-2</v>
      </c>
      <c r="AQ122" s="128">
        <f>AH122*3+0.25*AI122</f>
        <v>3.25</v>
      </c>
      <c r="AR122" s="128">
        <f>SUM(AO122:AQ122)/4</f>
        <v>1.027363</v>
      </c>
      <c r="AS122" s="127">
        <f>10068.2*J122*POWER(10,-6)</f>
        <v>1.1679111999999998E-2</v>
      </c>
      <c r="AT122" s="128">
        <f t="shared" ref="AT122:AT127" si="156">AS122+AR122+AQ122+AP122+AO122</f>
        <v>5.1484941119999998</v>
      </c>
      <c r="AU122" s="129">
        <f>AH122*H122</f>
        <v>2.0000000000000003E-6</v>
      </c>
      <c r="AV122" s="129">
        <f>H122*AI122</f>
        <v>2.0000000000000003E-6</v>
      </c>
      <c r="AW122" s="129">
        <f>H122*AT122</f>
        <v>1.0296988224000001E-5</v>
      </c>
    </row>
    <row r="123" spans="1:49" s="124" customFormat="1" ht="17.25" thickBot="1" x14ac:dyDescent="0.35">
      <c r="A123" s="114" t="s">
        <v>85</v>
      </c>
      <c r="B123" s="114" t="str">
        <f>B122</f>
        <v>Насос Н 1/1 и Н-7, А 1-ЗВ 16/25 (Е -
2), зав. № 11ц26, 8С1</v>
      </c>
      <c r="C123" s="116" t="s">
        <v>153</v>
      </c>
      <c r="D123" s="117" t="s">
        <v>154</v>
      </c>
      <c r="E123" s="130">
        <f>E122</f>
        <v>1.0000000000000001E-5</v>
      </c>
      <c r="F123" s="131">
        <v>2</v>
      </c>
      <c r="G123" s="114">
        <v>0.18000000000000002</v>
      </c>
      <c r="H123" s="119">
        <f t="shared" ref="H123:H127" si="157">E123*F123*G123</f>
        <v>3.6000000000000007E-6</v>
      </c>
      <c r="I123" s="121">
        <f>I122</f>
        <v>1.1599999999999999</v>
      </c>
      <c r="J123" s="138">
        <v>1E-3</v>
      </c>
      <c r="K123" s="122" t="s">
        <v>88</v>
      </c>
      <c r="L123" s="123">
        <v>0</v>
      </c>
      <c r="M123" s="124" t="str">
        <f t="shared" si="153"/>
        <v>С2</v>
      </c>
      <c r="N123" s="124" t="str">
        <f t="shared" si="154"/>
        <v>Насос Н 1/1 и Н-7, А 1-ЗВ 16/25 (Е -
2), зав. № 11ц26, 8С1</v>
      </c>
      <c r="O123" s="124" t="str">
        <f t="shared" si="155"/>
        <v>Полное-взрыв облака ТВС</v>
      </c>
      <c r="P123" s="124" t="s">
        <v>84</v>
      </c>
      <c r="Q123" s="124" t="s">
        <v>84</v>
      </c>
      <c r="R123" s="124" t="s">
        <v>84</v>
      </c>
      <c r="S123" s="124" t="s">
        <v>84</v>
      </c>
      <c r="T123" s="124">
        <v>3.1</v>
      </c>
      <c r="U123" s="124">
        <v>7.6</v>
      </c>
      <c r="V123" s="124">
        <v>20.100000000000001</v>
      </c>
      <c r="W123" s="124">
        <v>34.6</v>
      </c>
      <c r="X123" s="124" t="s">
        <v>84</v>
      </c>
      <c r="Y123" s="124" t="s">
        <v>84</v>
      </c>
      <c r="Z123" s="124" t="s">
        <v>84</v>
      </c>
      <c r="AA123" s="124" t="s">
        <v>84</v>
      </c>
      <c r="AB123" s="124" t="s">
        <v>84</v>
      </c>
      <c r="AC123" s="124" t="s">
        <v>84</v>
      </c>
      <c r="AD123" s="124" t="s">
        <v>84</v>
      </c>
      <c r="AE123" s="124" t="s">
        <v>84</v>
      </c>
      <c r="AF123" s="124" t="s">
        <v>84</v>
      </c>
      <c r="AG123" s="124" t="s">
        <v>84</v>
      </c>
      <c r="AH123" s="125">
        <v>1</v>
      </c>
      <c r="AI123" s="125">
        <v>1</v>
      </c>
      <c r="AJ123" s="124">
        <f>AJ122</f>
        <v>0.75</v>
      </c>
      <c r="AK123" s="124">
        <f>AK122</f>
        <v>2.7E-2</v>
      </c>
      <c r="AL123" s="124">
        <f>AL122</f>
        <v>3</v>
      </c>
      <c r="AO123" s="127">
        <f>AK123*I123+AJ123</f>
        <v>0.78132000000000001</v>
      </c>
      <c r="AP123" s="127">
        <f t="shared" ref="AP123:AP127" si="158">0.1*AO123</f>
        <v>7.8132000000000007E-2</v>
      </c>
      <c r="AQ123" s="128">
        <f t="shared" ref="AQ123:AQ127" si="159">AH123*3+0.25*AI123</f>
        <v>3.25</v>
      </c>
      <c r="AR123" s="128">
        <f t="shared" ref="AR123:AR127" si="160">SUM(AO123:AQ123)/4</f>
        <v>1.027363</v>
      </c>
      <c r="AS123" s="127">
        <f>10068.2*J123*POWER(10,-6)*10</f>
        <v>1.0068200000000001E-4</v>
      </c>
      <c r="AT123" s="128">
        <f t="shared" si="156"/>
        <v>5.1369156820000006</v>
      </c>
      <c r="AU123" s="129">
        <f t="shared" ref="AU123:AU127" si="161">AH123*H123</f>
        <v>3.6000000000000007E-6</v>
      </c>
      <c r="AV123" s="129">
        <f t="shared" ref="AV123:AV127" si="162">H123*AI123</f>
        <v>3.6000000000000007E-6</v>
      </c>
      <c r="AW123" s="129">
        <f t="shared" ref="AW123:AW127" si="163">H123*AT123</f>
        <v>1.8492896455200005E-5</v>
      </c>
    </row>
    <row r="124" spans="1:49" s="124" customFormat="1" x14ac:dyDescent="0.3">
      <c r="A124" s="114" t="s">
        <v>89</v>
      </c>
      <c r="B124" s="114" t="str">
        <f>B122</f>
        <v>Насос Н 1/1 и Н-7, А 1-ЗВ 16/25 (Е -
2), зав. № 11ц26, 8С1</v>
      </c>
      <c r="C124" s="116" t="s">
        <v>155</v>
      </c>
      <c r="D124" s="117" t="s">
        <v>90</v>
      </c>
      <c r="E124" s="130">
        <f>E122</f>
        <v>1.0000000000000001E-5</v>
      </c>
      <c r="F124" s="131">
        <v>2</v>
      </c>
      <c r="G124" s="114">
        <v>0.72000000000000008</v>
      </c>
      <c r="H124" s="119">
        <f t="shared" si="157"/>
        <v>1.4400000000000003E-5</v>
      </c>
      <c r="I124" s="121">
        <f>I122</f>
        <v>1.1599999999999999</v>
      </c>
      <c r="J124" s="114">
        <v>0</v>
      </c>
      <c r="K124" s="122" t="s">
        <v>91</v>
      </c>
      <c r="L124" s="123">
        <v>1</v>
      </c>
      <c r="M124" s="124" t="str">
        <f t="shared" si="153"/>
        <v>С3</v>
      </c>
      <c r="N124" s="124" t="str">
        <f t="shared" si="154"/>
        <v>Насос Н 1/1 и Н-7, А 1-ЗВ 16/25 (Е -
2), зав. № 11ц26, 8С1</v>
      </c>
      <c r="O124" s="124" t="str">
        <f t="shared" si="155"/>
        <v>Полное-ликвидация</v>
      </c>
      <c r="P124" s="124" t="s">
        <v>84</v>
      </c>
      <c r="Q124" s="124" t="s">
        <v>84</v>
      </c>
      <c r="R124" s="124" t="s">
        <v>84</v>
      </c>
      <c r="S124" s="124" t="s">
        <v>84</v>
      </c>
      <c r="T124" s="124" t="s">
        <v>84</v>
      </c>
      <c r="U124" s="124" t="s">
        <v>84</v>
      </c>
      <c r="V124" s="124" t="s">
        <v>84</v>
      </c>
      <c r="W124" s="124" t="s">
        <v>84</v>
      </c>
      <c r="X124" s="124" t="s">
        <v>84</v>
      </c>
      <c r="Y124" s="124" t="s">
        <v>84</v>
      </c>
      <c r="Z124" s="124" t="s">
        <v>84</v>
      </c>
      <c r="AA124" s="124" t="s">
        <v>84</v>
      </c>
      <c r="AB124" s="124" t="s">
        <v>84</v>
      </c>
      <c r="AC124" s="124" t="s">
        <v>84</v>
      </c>
      <c r="AD124" s="124" t="s">
        <v>84</v>
      </c>
      <c r="AE124" s="124" t="s">
        <v>84</v>
      </c>
      <c r="AF124" s="124" t="s">
        <v>84</v>
      </c>
      <c r="AG124" s="124" t="s">
        <v>84</v>
      </c>
      <c r="AH124" s="124">
        <v>0</v>
      </c>
      <c r="AI124" s="124">
        <v>0</v>
      </c>
      <c r="AJ124" s="124">
        <f>AJ122</f>
        <v>0.75</v>
      </c>
      <c r="AK124" s="124">
        <f>AK122</f>
        <v>2.7E-2</v>
      </c>
      <c r="AL124" s="124">
        <f>AL122</f>
        <v>3</v>
      </c>
      <c r="AO124" s="127">
        <f>AK124*I124*0.1+AJ124</f>
        <v>0.75313200000000002</v>
      </c>
      <c r="AP124" s="127">
        <f t="shared" si="158"/>
        <v>7.5313200000000011E-2</v>
      </c>
      <c r="AQ124" s="128">
        <f t="shared" si="159"/>
        <v>0</v>
      </c>
      <c r="AR124" s="128">
        <f t="shared" si="160"/>
        <v>0.2071113</v>
      </c>
      <c r="AS124" s="127">
        <f>1333*J123*POWER(10,-6)</f>
        <v>1.333E-6</v>
      </c>
      <c r="AT124" s="128">
        <f t="shared" si="156"/>
        <v>1.0355578329999999</v>
      </c>
      <c r="AU124" s="129">
        <f t="shared" si="161"/>
        <v>0</v>
      </c>
      <c r="AV124" s="129">
        <f t="shared" si="162"/>
        <v>0</v>
      </c>
      <c r="AW124" s="129">
        <f t="shared" si="163"/>
        <v>1.4912032795200002E-5</v>
      </c>
    </row>
    <row r="125" spans="1:49" s="124" customFormat="1" x14ac:dyDescent="0.3">
      <c r="A125" s="114" t="s">
        <v>92</v>
      </c>
      <c r="B125" s="114" t="str">
        <f>B122</f>
        <v>Насос Н 1/1 и Н-7, А 1-ЗВ 16/25 (Е -
2), зав. № 11ц26, 8С1</v>
      </c>
      <c r="C125" s="116" t="s">
        <v>156</v>
      </c>
      <c r="D125" s="117" t="s">
        <v>148</v>
      </c>
      <c r="E125" s="130">
        <f>E123</f>
        <v>1.0000000000000001E-5</v>
      </c>
      <c r="F125" s="131">
        <v>2</v>
      </c>
      <c r="G125" s="114">
        <v>0.1</v>
      </c>
      <c r="H125" s="119">
        <f t="shared" si="157"/>
        <v>2.0000000000000003E-6</v>
      </c>
      <c r="I125" s="121">
        <f>0.15*I122</f>
        <v>0.17399999999999999</v>
      </c>
      <c r="J125" s="121">
        <f>I125</f>
        <v>0.17399999999999999</v>
      </c>
      <c r="K125" s="132" t="s">
        <v>95</v>
      </c>
      <c r="L125" s="133">
        <v>45390</v>
      </c>
      <c r="M125" s="124" t="str">
        <f t="shared" si="153"/>
        <v>С4</v>
      </c>
      <c r="N125" s="124" t="str">
        <f t="shared" si="154"/>
        <v>Насос Н 1/1 и Н-7, А 1-ЗВ 16/25 (Е -
2), зав. № 11ц26, 8С1</v>
      </c>
      <c r="O125" s="124" t="str">
        <f t="shared" si="155"/>
        <v>Частичное-пожар</v>
      </c>
      <c r="P125" s="124" t="s">
        <v>84</v>
      </c>
      <c r="Q125" s="124" t="s">
        <v>84</v>
      </c>
      <c r="R125" s="124" t="s">
        <v>84</v>
      </c>
      <c r="S125" s="124" t="s">
        <v>84</v>
      </c>
      <c r="T125" s="124" t="s">
        <v>84</v>
      </c>
      <c r="U125" s="124" t="s">
        <v>84</v>
      </c>
      <c r="V125" s="124" t="s">
        <v>84</v>
      </c>
      <c r="W125" s="124" t="s">
        <v>84</v>
      </c>
      <c r="X125" s="124" t="s">
        <v>84</v>
      </c>
      <c r="Y125" s="124" t="s">
        <v>84</v>
      </c>
      <c r="Z125" s="124" t="s">
        <v>84</v>
      </c>
      <c r="AA125" s="124" t="s">
        <v>84</v>
      </c>
      <c r="AB125" s="124" t="s">
        <v>84</v>
      </c>
      <c r="AC125" s="124" t="s">
        <v>84</v>
      </c>
      <c r="AD125" s="124" t="s">
        <v>84</v>
      </c>
      <c r="AE125" s="124" t="s">
        <v>84</v>
      </c>
      <c r="AF125" s="124" t="s">
        <v>84</v>
      </c>
      <c r="AG125" s="124" t="s">
        <v>84</v>
      </c>
      <c r="AH125" s="124">
        <v>0</v>
      </c>
      <c r="AI125" s="124">
        <v>2</v>
      </c>
      <c r="AJ125" s="124">
        <f>0.1*$AJ$2</f>
        <v>7.5000000000000011E-2</v>
      </c>
      <c r="AK125" s="124">
        <f>AK122</f>
        <v>2.7E-2</v>
      </c>
      <c r="AL125" s="124">
        <f>ROUNDUP(AL122/3,0)</f>
        <v>1</v>
      </c>
      <c r="AO125" s="127">
        <f>AK125*I125+AJ125</f>
        <v>7.9698000000000005E-2</v>
      </c>
      <c r="AP125" s="127">
        <f t="shared" si="158"/>
        <v>7.9698000000000008E-3</v>
      </c>
      <c r="AQ125" s="128">
        <f t="shared" si="159"/>
        <v>0.5</v>
      </c>
      <c r="AR125" s="128">
        <f t="shared" si="160"/>
        <v>0.14691694999999999</v>
      </c>
      <c r="AS125" s="127">
        <f>10068.2*J125*POWER(10,-6)</f>
        <v>1.7518668E-3</v>
      </c>
      <c r="AT125" s="128">
        <f t="shared" si="156"/>
        <v>0.73633661680000007</v>
      </c>
      <c r="AU125" s="129">
        <f t="shared" si="161"/>
        <v>0</v>
      </c>
      <c r="AV125" s="129">
        <f t="shared" si="162"/>
        <v>4.0000000000000007E-6</v>
      </c>
      <c r="AW125" s="129">
        <f t="shared" si="163"/>
        <v>1.4726732336000003E-6</v>
      </c>
    </row>
    <row r="126" spans="1:49" s="124" customFormat="1" x14ac:dyDescent="0.3">
      <c r="A126" s="114" t="s">
        <v>96</v>
      </c>
      <c r="B126" s="114" t="str">
        <f>B122</f>
        <v>Насос Н 1/1 и Н-7, А 1-ЗВ 16/25 (Е -
2), зав. № 11ц26, 8С1</v>
      </c>
      <c r="C126" s="116" t="s">
        <v>157</v>
      </c>
      <c r="D126" s="117" t="s">
        <v>148</v>
      </c>
      <c r="E126" s="130">
        <f t="shared" ref="E126:E127" si="164">E124</f>
        <v>1.0000000000000001E-5</v>
      </c>
      <c r="F126" s="131">
        <v>2</v>
      </c>
      <c r="G126" s="114">
        <v>4.5000000000000005E-2</v>
      </c>
      <c r="H126" s="119">
        <f t="shared" si="157"/>
        <v>9.0000000000000017E-7</v>
      </c>
      <c r="I126" s="121">
        <f>0.15*I122</f>
        <v>0.17399999999999999</v>
      </c>
      <c r="J126" s="121">
        <f>I125</f>
        <v>0.17399999999999999</v>
      </c>
      <c r="K126" s="132" t="s">
        <v>98</v>
      </c>
      <c r="L126" s="133">
        <v>3</v>
      </c>
      <c r="M126" s="124" t="str">
        <f t="shared" si="153"/>
        <v>С5</v>
      </c>
      <c r="N126" s="124" t="str">
        <f t="shared" si="154"/>
        <v>Насос Н 1/1 и Н-7, А 1-ЗВ 16/25 (Е -
2), зав. № 11ц26, 8С1</v>
      </c>
      <c r="O126" s="124" t="str">
        <f t="shared" si="155"/>
        <v>Частичное-пожар</v>
      </c>
      <c r="P126" s="124" t="s">
        <v>84</v>
      </c>
      <c r="Q126" s="124" t="s">
        <v>84</v>
      </c>
      <c r="R126" s="124" t="s">
        <v>84</v>
      </c>
      <c r="S126" s="124" t="s">
        <v>84</v>
      </c>
      <c r="T126" s="124" t="s">
        <v>84</v>
      </c>
      <c r="U126" s="124" t="s">
        <v>84</v>
      </c>
      <c r="V126" s="124" t="s">
        <v>84</v>
      </c>
      <c r="W126" s="124" t="s">
        <v>84</v>
      </c>
      <c r="X126" s="124" t="s">
        <v>84</v>
      </c>
      <c r="Y126" s="124" t="s">
        <v>84</v>
      </c>
      <c r="Z126" s="124" t="s">
        <v>84</v>
      </c>
      <c r="AA126" s="124" t="s">
        <v>84</v>
      </c>
      <c r="AB126" s="124" t="s">
        <v>84</v>
      </c>
      <c r="AC126" s="124" t="s">
        <v>84</v>
      </c>
      <c r="AD126" s="124" t="s">
        <v>84</v>
      </c>
      <c r="AE126" s="124" t="s">
        <v>84</v>
      </c>
      <c r="AF126" s="124" t="s">
        <v>84</v>
      </c>
      <c r="AG126" s="124" t="s">
        <v>84</v>
      </c>
      <c r="AH126" s="124">
        <v>0</v>
      </c>
      <c r="AI126" s="124">
        <v>1</v>
      </c>
      <c r="AJ126" s="124">
        <f>0.1*$AJ$2</f>
        <v>7.5000000000000011E-2</v>
      </c>
      <c r="AK126" s="124">
        <f>AK122</f>
        <v>2.7E-2</v>
      </c>
      <c r="AL126" s="124">
        <f>ROUNDUP(AL122/3,0)</f>
        <v>1</v>
      </c>
      <c r="AO126" s="127">
        <f t="shared" ref="AO126" si="165">AK126*I126+AJ126</f>
        <v>7.9698000000000005E-2</v>
      </c>
      <c r="AP126" s="127">
        <f t="shared" si="158"/>
        <v>7.9698000000000008E-3</v>
      </c>
      <c r="AQ126" s="128">
        <f t="shared" si="159"/>
        <v>0.25</v>
      </c>
      <c r="AR126" s="128">
        <f t="shared" si="160"/>
        <v>8.4416950000000004E-2</v>
      </c>
      <c r="AS126" s="127">
        <f>10068.2*J126*POWER(10,-6)*10</f>
        <v>1.7518668000000001E-2</v>
      </c>
      <c r="AT126" s="128">
        <f t="shared" si="156"/>
        <v>0.43960341800000002</v>
      </c>
      <c r="AU126" s="129">
        <f t="shared" si="161"/>
        <v>0</v>
      </c>
      <c r="AV126" s="129">
        <f t="shared" si="162"/>
        <v>9.0000000000000017E-7</v>
      </c>
      <c r="AW126" s="129">
        <f t="shared" si="163"/>
        <v>3.956430762000001E-7</v>
      </c>
    </row>
    <row r="127" spans="1:49" s="124" customFormat="1" ht="17.25" thickBot="1" x14ac:dyDescent="0.35">
      <c r="A127" s="114" t="s">
        <v>99</v>
      </c>
      <c r="B127" s="114" t="str">
        <f>B122</f>
        <v>Насос Н 1/1 и Н-7, А 1-ЗВ 16/25 (Е -
2), зав. № 11ц26, 8С1</v>
      </c>
      <c r="C127" s="116" t="s">
        <v>158</v>
      </c>
      <c r="D127" s="117" t="s">
        <v>97</v>
      </c>
      <c r="E127" s="130">
        <f t="shared" si="164"/>
        <v>1.0000000000000001E-5</v>
      </c>
      <c r="F127" s="131">
        <v>2</v>
      </c>
      <c r="G127" s="114">
        <v>0.85499999999999998</v>
      </c>
      <c r="H127" s="119">
        <f t="shared" si="157"/>
        <v>1.7100000000000002E-5</v>
      </c>
      <c r="I127" s="121">
        <f>0.15*I122</f>
        <v>0.17399999999999999</v>
      </c>
      <c r="J127" s="114">
        <v>0</v>
      </c>
      <c r="K127" s="134" t="s">
        <v>101</v>
      </c>
      <c r="L127" s="134">
        <v>11</v>
      </c>
      <c r="M127" s="124" t="str">
        <f t="shared" si="153"/>
        <v>С6</v>
      </c>
      <c r="N127" s="124" t="str">
        <f t="shared" si="154"/>
        <v>Насос Н 1/1 и Н-7, А 1-ЗВ 16/25 (Е -
2), зав. № 11ц26, 8С1</v>
      </c>
      <c r="O127" s="124" t="str">
        <f t="shared" si="155"/>
        <v>Частичное-ликвидация</v>
      </c>
      <c r="P127" s="124" t="s">
        <v>84</v>
      </c>
      <c r="Q127" s="124" t="s">
        <v>84</v>
      </c>
      <c r="R127" s="124" t="s">
        <v>84</v>
      </c>
      <c r="S127" s="124" t="s">
        <v>84</v>
      </c>
      <c r="T127" s="124" t="s">
        <v>84</v>
      </c>
      <c r="U127" s="124" t="s">
        <v>84</v>
      </c>
      <c r="V127" s="124" t="s">
        <v>84</v>
      </c>
      <c r="W127" s="124" t="s">
        <v>84</v>
      </c>
      <c r="X127" s="124" t="s">
        <v>84</v>
      </c>
      <c r="Y127" s="124" t="s">
        <v>84</v>
      </c>
      <c r="Z127" s="124" t="s">
        <v>84</v>
      </c>
      <c r="AA127" s="124" t="s">
        <v>84</v>
      </c>
      <c r="AB127" s="124" t="s">
        <v>84</v>
      </c>
      <c r="AC127" s="124" t="s">
        <v>84</v>
      </c>
      <c r="AD127" s="124" t="s">
        <v>84</v>
      </c>
      <c r="AE127" s="124" t="s">
        <v>84</v>
      </c>
      <c r="AF127" s="124" t="s">
        <v>84</v>
      </c>
      <c r="AG127" s="124" t="s">
        <v>84</v>
      </c>
      <c r="AH127" s="124">
        <v>0</v>
      </c>
      <c r="AI127" s="124">
        <v>0</v>
      </c>
      <c r="AJ127" s="124">
        <f>0.1*$AJ$2</f>
        <v>7.5000000000000011E-2</v>
      </c>
      <c r="AK127" s="124">
        <f>AK122</f>
        <v>2.7E-2</v>
      </c>
      <c r="AL127" s="124">
        <f>ROUNDUP(AL122/3,0)</f>
        <v>1</v>
      </c>
      <c r="AO127" s="127">
        <f>AK127*I127*0.1+AJ127</f>
        <v>7.5469800000000017E-2</v>
      </c>
      <c r="AP127" s="127">
        <f t="shared" si="158"/>
        <v>7.5469800000000017E-3</v>
      </c>
      <c r="AQ127" s="128">
        <f t="shared" si="159"/>
        <v>0</v>
      </c>
      <c r="AR127" s="128">
        <f t="shared" si="160"/>
        <v>2.0754195000000003E-2</v>
      </c>
      <c r="AS127" s="127">
        <f>1333*J126*POWER(10,-6)</f>
        <v>2.3194199999999996E-4</v>
      </c>
      <c r="AT127" s="128">
        <f t="shared" si="156"/>
        <v>0.10400291700000003</v>
      </c>
      <c r="AU127" s="129">
        <f t="shared" si="161"/>
        <v>0</v>
      </c>
      <c r="AV127" s="129">
        <f t="shared" si="162"/>
        <v>0</v>
      </c>
      <c r="AW127" s="129">
        <f t="shared" si="163"/>
        <v>1.7784498807000008E-6</v>
      </c>
    </row>
    <row r="128" spans="1:49" s="124" customFormat="1" x14ac:dyDescent="0.3">
      <c r="A128" s="142"/>
      <c r="B128" s="142"/>
      <c r="C128" s="143"/>
      <c r="D128" s="144"/>
      <c r="E128" s="145"/>
      <c r="F128" s="146"/>
      <c r="G128" s="142"/>
      <c r="H128" s="147"/>
      <c r="I128" s="148"/>
      <c r="J128" s="142"/>
      <c r="K128" s="142"/>
      <c r="L128" s="142"/>
      <c r="AO128" s="127"/>
      <c r="AP128" s="127"/>
      <c r="AQ128" s="128"/>
      <c r="AR128" s="128"/>
      <c r="AS128" s="127"/>
      <c r="AT128" s="128"/>
      <c r="AU128" s="129"/>
      <c r="AV128" s="129"/>
      <c r="AW128" s="129"/>
    </row>
    <row r="129" spans="1:49" s="124" customFormat="1" x14ac:dyDescent="0.3">
      <c r="A129" s="125"/>
      <c r="B129" s="125"/>
      <c r="D129" s="135"/>
      <c r="E129" s="136"/>
      <c r="F129" s="137"/>
      <c r="G129" s="125"/>
      <c r="H129" s="129"/>
      <c r="I129" s="128"/>
      <c r="J129" s="125"/>
      <c r="K129" s="125"/>
      <c r="L129" s="125"/>
      <c r="AO129" s="127"/>
      <c r="AP129" s="127"/>
      <c r="AQ129" s="128"/>
      <c r="AR129" s="128"/>
      <c r="AS129" s="127"/>
      <c r="AT129" s="128"/>
      <c r="AU129" s="129"/>
      <c r="AV129" s="129"/>
      <c r="AW129" s="129"/>
    </row>
    <row r="130" spans="1:49" s="124" customFormat="1" x14ac:dyDescent="0.3">
      <c r="A130" s="125"/>
      <c r="B130" s="125"/>
      <c r="D130" s="135"/>
      <c r="E130" s="136"/>
      <c r="F130" s="137"/>
      <c r="G130" s="125"/>
      <c r="H130" s="129"/>
      <c r="I130" s="128"/>
      <c r="J130" s="125"/>
      <c r="K130" s="125"/>
      <c r="L130" s="125"/>
      <c r="AO130" s="127"/>
      <c r="AP130" s="127"/>
      <c r="AQ130" s="128"/>
      <c r="AR130" s="128"/>
      <c r="AS130" s="127"/>
      <c r="AT130" s="128"/>
      <c r="AU130" s="129"/>
      <c r="AV130" s="129"/>
      <c r="AW130" s="129"/>
    </row>
    <row r="132" spans="1:49" ht="17.25" thickBot="1" x14ac:dyDescent="0.35">
      <c r="H132" s="167">
        <f>MAX(H2:H127)</f>
        <v>2.5650000000000003E-5</v>
      </c>
    </row>
    <row r="133" spans="1:49" ht="17.25" thickBot="1" x14ac:dyDescent="0.35">
      <c r="A133" s="161" t="s">
        <v>80</v>
      </c>
      <c r="B133" s="163" t="s">
        <v>80</v>
      </c>
      <c r="AU133" s="166">
        <f>SUM(AU2:AU127)</f>
        <v>2.0305500000000008E-4</v>
      </c>
      <c r="AV133" s="166">
        <f>SUM(AV2:AV127)</f>
        <v>4.2270500000000016E-4</v>
      </c>
    </row>
    <row r="134" spans="1:49" ht="17.25" thickBot="1" x14ac:dyDescent="0.35">
      <c r="A134" s="162" t="s">
        <v>85</v>
      </c>
      <c r="B134" s="163" t="s">
        <v>85</v>
      </c>
      <c r="W134" s="2">
        <f>MAX(P2:AG127)</f>
        <v>136.1</v>
      </c>
      <c r="AU134" s="166">
        <f>AU133/30</f>
        <v>6.768500000000003E-6</v>
      </c>
      <c r="AV134" s="166">
        <f>AV133/30</f>
        <v>1.4090166666666673E-5</v>
      </c>
    </row>
    <row r="135" spans="1:49" ht="17.25" thickBot="1" x14ac:dyDescent="0.35">
      <c r="A135" s="162" t="s">
        <v>89</v>
      </c>
      <c r="B135" s="163" t="s">
        <v>89</v>
      </c>
    </row>
    <row r="136" spans="1:49" ht="17.25" thickBot="1" x14ac:dyDescent="0.35">
      <c r="A136" s="162" t="s">
        <v>92</v>
      </c>
      <c r="B136" s="163" t="s">
        <v>92</v>
      </c>
    </row>
    <row r="137" spans="1:49" ht="17.25" thickBot="1" x14ac:dyDescent="0.35">
      <c r="A137" s="162" t="s">
        <v>96</v>
      </c>
      <c r="B137" s="163" t="s">
        <v>96</v>
      </c>
    </row>
    <row r="138" spans="1:49" ht="17.25" thickBot="1" x14ac:dyDescent="0.35">
      <c r="A138" s="162" t="s">
        <v>99</v>
      </c>
      <c r="B138" s="163" t="s">
        <v>99</v>
      </c>
    </row>
    <row r="139" spans="1:49" ht="17.25" thickBot="1" x14ac:dyDescent="0.35">
      <c r="A139" s="162" t="s">
        <v>102</v>
      </c>
      <c r="B139" s="163" t="s">
        <v>102</v>
      </c>
    </row>
    <row r="140" spans="1:49" ht="17.25" thickBot="1" x14ac:dyDescent="0.35">
      <c r="A140" s="162" t="s">
        <v>105</v>
      </c>
      <c r="B140" s="163" t="s">
        <v>105</v>
      </c>
    </row>
    <row r="141" spans="1:49" ht="17.25" thickBot="1" x14ac:dyDescent="0.35">
      <c r="A141" s="162" t="s">
        <v>160</v>
      </c>
      <c r="B141" s="163" t="s">
        <v>160</v>
      </c>
    </row>
    <row r="142" spans="1:49" ht="17.25" thickBot="1" x14ac:dyDescent="0.35">
      <c r="A142" s="162" t="s">
        <v>80</v>
      </c>
      <c r="B142" s="163" t="s">
        <v>165</v>
      </c>
    </row>
    <row r="143" spans="1:49" ht="17.25" thickBot="1" x14ac:dyDescent="0.35">
      <c r="A143" s="162" t="s">
        <v>85</v>
      </c>
      <c r="B143" s="163" t="s">
        <v>166</v>
      </c>
    </row>
    <row r="144" spans="1:49" ht="17.25" thickBot="1" x14ac:dyDescent="0.35">
      <c r="A144" s="162" t="s">
        <v>89</v>
      </c>
      <c r="B144" s="163" t="s">
        <v>167</v>
      </c>
    </row>
    <row r="145" spans="1:2" ht="17.25" thickBot="1" x14ac:dyDescent="0.35">
      <c r="A145" s="162" t="s">
        <v>92</v>
      </c>
      <c r="B145" s="163" t="s">
        <v>168</v>
      </c>
    </row>
    <row r="146" spans="1:2" ht="17.25" thickBot="1" x14ac:dyDescent="0.35">
      <c r="A146" s="162" t="s">
        <v>96</v>
      </c>
      <c r="B146" s="163" t="s">
        <v>169</v>
      </c>
    </row>
    <row r="147" spans="1:2" ht="17.25" thickBot="1" x14ac:dyDescent="0.35">
      <c r="A147" s="162" t="s">
        <v>99</v>
      </c>
      <c r="B147" s="163" t="s">
        <v>170</v>
      </c>
    </row>
    <row r="148" spans="1:2" ht="17.25" thickBot="1" x14ac:dyDescent="0.35">
      <c r="A148" s="162" t="s">
        <v>102</v>
      </c>
      <c r="B148" s="163" t="s">
        <v>171</v>
      </c>
    </row>
    <row r="149" spans="1:2" ht="17.25" thickBot="1" x14ac:dyDescent="0.35">
      <c r="A149" s="162" t="s">
        <v>105</v>
      </c>
      <c r="B149" s="163" t="s">
        <v>172</v>
      </c>
    </row>
    <row r="150" spans="1:2" ht="17.25" thickBot="1" x14ac:dyDescent="0.35">
      <c r="A150" s="162" t="s">
        <v>160</v>
      </c>
      <c r="B150" s="163" t="s">
        <v>173</v>
      </c>
    </row>
    <row r="151" spans="1:2" ht="17.25" thickBot="1" x14ac:dyDescent="0.35">
      <c r="A151" s="162" t="s">
        <v>80</v>
      </c>
      <c r="B151" s="163" t="s">
        <v>174</v>
      </c>
    </row>
    <row r="152" spans="1:2" ht="17.25" thickBot="1" x14ac:dyDescent="0.35">
      <c r="A152" s="162" t="s">
        <v>85</v>
      </c>
      <c r="B152" s="163" t="s">
        <v>175</v>
      </c>
    </row>
    <row r="153" spans="1:2" ht="17.25" thickBot="1" x14ac:dyDescent="0.35">
      <c r="A153" s="162" t="s">
        <v>89</v>
      </c>
      <c r="B153" s="163" t="s">
        <v>176</v>
      </c>
    </row>
    <row r="154" spans="1:2" ht="17.25" thickBot="1" x14ac:dyDescent="0.35">
      <c r="A154" s="162" t="s">
        <v>92</v>
      </c>
      <c r="B154" s="163" t="s">
        <v>177</v>
      </c>
    </row>
    <row r="155" spans="1:2" ht="17.25" thickBot="1" x14ac:dyDescent="0.35">
      <c r="A155" s="162" t="s">
        <v>96</v>
      </c>
      <c r="B155" s="163" t="s">
        <v>178</v>
      </c>
    </row>
    <row r="156" spans="1:2" ht="17.25" thickBot="1" x14ac:dyDescent="0.35">
      <c r="A156" s="162" t="s">
        <v>99</v>
      </c>
      <c r="B156" s="163" t="s">
        <v>179</v>
      </c>
    </row>
    <row r="157" spans="1:2" ht="17.25" thickBot="1" x14ac:dyDescent="0.35">
      <c r="A157" s="162" t="s">
        <v>102</v>
      </c>
      <c r="B157" s="163" t="s">
        <v>180</v>
      </c>
    </row>
    <row r="158" spans="1:2" ht="17.25" thickBot="1" x14ac:dyDescent="0.35">
      <c r="A158" s="162" t="s">
        <v>105</v>
      </c>
      <c r="B158" s="163" t="s">
        <v>181</v>
      </c>
    </row>
    <row r="159" spans="1:2" ht="17.25" thickBot="1" x14ac:dyDescent="0.35">
      <c r="A159" s="162" t="s">
        <v>160</v>
      </c>
      <c r="B159" s="163" t="s">
        <v>182</v>
      </c>
    </row>
    <row r="160" spans="1:2" ht="17.25" thickBot="1" x14ac:dyDescent="0.35">
      <c r="A160" s="162" t="s">
        <v>80</v>
      </c>
      <c r="B160" s="163" t="s">
        <v>183</v>
      </c>
    </row>
    <row r="161" spans="1:2" ht="17.25" thickBot="1" x14ac:dyDescent="0.35">
      <c r="A161" s="162" t="s">
        <v>85</v>
      </c>
      <c r="B161" s="163" t="s">
        <v>184</v>
      </c>
    </row>
    <row r="162" spans="1:2" ht="17.25" thickBot="1" x14ac:dyDescent="0.35">
      <c r="A162" s="162" t="s">
        <v>89</v>
      </c>
      <c r="B162" s="163" t="s">
        <v>185</v>
      </c>
    </row>
    <row r="163" spans="1:2" ht="17.25" thickBot="1" x14ac:dyDescent="0.35">
      <c r="A163" s="162" t="s">
        <v>92</v>
      </c>
      <c r="B163" s="163" t="s">
        <v>186</v>
      </c>
    </row>
    <row r="164" spans="1:2" ht="17.25" thickBot="1" x14ac:dyDescent="0.35">
      <c r="A164" s="162" t="s">
        <v>96</v>
      </c>
      <c r="B164" s="163" t="s">
        <v>187</v>
      </c>
    </row>
    <row r="165" spans="1:2" ht="17.25" thickBot="1" x14ac:dyDescent="0.35">
      <c r="A165" s="162" t="s">
        <v>99</v>
      </c>
      <c r="B165" s="163" t="s">
        <v>188</v>
      </c>
    </row>
    <row r="166" spans="1:2" ht="17.25" thickBot="1" x14ac:dyDescent="0.35">
      <c r="A166" s="162" t="s">
        <v>102</v>
      </c>
      <c r="B166" s="163" t="s">
        <v>189</v>
      </c>
    </row>
    <row r="167" spans="1:2" ht="17.25" thickBot="1" x14ac:dyDescent="0.35">
      <c r="A167" s="162" t="s">
        <v>105</v>
      </c>
      <c r="B167" s="163" t="s">
        <v>190</v>
      </c>
    </row>
    <row r="168" spans="1:2" ht="17.25" thickBot="1" x14ac:dyDescent="0.35">
      <c r="A168" s="162" t="s">
        <v>160</v>
      </c>
      <c r="B168" s="163" t="s">
        <v>191</v>
      </c>
    </row>
    <row r="169" spans="1:2" ht="17.25" thickBot="1" x14ac:dyDescent="0.35">
      <c r="A169" s="162" t="s">
        <v>80</v>
      </c>
      <c r="B169" s="163" t="s">
        <v>192</v>
      </c>
    </row>
    <row r="170" spans="1:2" ht="17.25" thickBot="1" x14ac:dyDescent="0.35">
      <c r="A170" s="162" t="s">
        <v>85</v>
      </c>
      <c r="B170" s="163" t="s">
        <v>193</v>
      </c>
    </row>
    <row r="171" spans="1:2" ht="17.25" thickBot="1" x14ac:dyDescent="0.35">
      <c r="A171" s="162" t="s">
        <v>89</v>
      </c>
      <c r="B171" s="163" t="s">
        <v>194</v>
      </c>
    </row>
    <row r="172" spans="1:2" ht="17.25" thickBot="1" x14ac:dyDescent="0.35">
      <c r="A172" s="162" t="s">
        <v>92</v>
      </c>
      <c r="B172" s="163" t="s">
        <v>195</v>
      </c>
    </row>
    <row r="173" spans="1:2" ht="17.25" thickBot="1" x14ac:dyDescent="0.35">
      <c r="A173" s="162" t="s">
        <v>96</v>
      </c>
      <c r="B173" s="163" t="s">
        <v>196</v>
      </c>
    </row>
    <row r="174" spans="1:2" ht="17.25" thickBot="1" x14ac:dyDescent="0.35">
      <c r="A174" s="162" t="s">
        <v>99</v>
      </c>
      <c r="B174" s="163" t="s">
        <v>197</v>
      </c>
    </row>
    <row r="175" spans="1:2" ht="17.25" thickBot="1" x14ac:dyDescent="0.35">
      <c r="A175" s="162" t="s">
        <v>102</v>
      </c>
      <c r="B175" s="163" t="s">
        <v>198</v>
      </c>
    </row>
    <row r="176" spans="1:2" ht="17.25" thickBot="1" x14ac:dyDescent="0.35">
      <c r="A176" s="162" t="s">
        <v>105</v>
      </c>
      <c r="B176" s="163" t="s">
        <v>199</v>
      </c>
    </row>
    <row r="177" spans="1:2" ht="17.25" thickBot="1" x14ac:dyDescent="0.35">
      <c r="A177" s="162" t="s">
        <v>160</v>
      </c>
      <c r="B177" s="163" t="s">
        <v>200</v>
      </c>
    </row>
    <row r="178" spans="1:2" ht="17.25" thickBot="1" x14ac:dyDescent="0.35">
      <c r="A178" s="162" t="s">
        <v>80</v>
      </c>
      <c r="B178" s="163" t="s">
        <v>201</v>
      </c>
    </row>
    <row r="179" spans="1:2" ht="17.25" thickBot="1" x14ac:dyDescent="0.35">
      <c r="A179" s="162" t="s">
        <v>85</v>
      </c>
      <c r="B179" s="163" t="s">
        <v>202</v>
      </c>
    </row>
    <row r="180" spans="1:2" ht="17.25" thickBot="1" x14ac:dyDescent="0.35">
      <c r="A180" s="162" t="s">
        <v>89</v>
      </c>
      <c r="B180" s="163" t="s">
        <v>203</v>
      </c>
    </row>
    <row r="181" spans="1:2" ht="17.25" thickBot="1" x14ac:dyDescent="0.35">
      <c r="A181" s="162" t="s">
        <v>92</v>
      </c>
      <c r="B181" s="163" t="s">
        <v>204</v>
      </c>
    </row>
    <row r="182" spans="1:2" ht="17.25" thickBot="1" x14ac:dyDescent="0.35">
      <c r="A182" s="162" t="s">
        <v>96</v>
      </c>
      <c r="B182" s="163" t="s">
        <v>205</v>
      </c>
    </row>
    <row r="183" spans="1:2" ht="17.25" thickBot="1" x14ac:dyDescent="0.35">
      <c r="A183" s="162" t="s">
        <v>99</v>
      </c>
      <c r="B183" s="163" t="s">
        <v>206</v>
      </c>
    </row>
    <row r="184" spans="1:2" ht="17.25" thickBot="1" x14ac:dyDescent="0.35">
      <c r="A184" s="162" t="s">
        <v>102</v>
      </c>
      <c r="B184" s="163" t="s">
        <v>207</v>
      </c>
    </row>
    <row r="185" spans="1:2" ht="17.25" thickBot="1" x14ac:dyDescent="0.35">
      <c r="A185" s="162" t="s">
        <v>105</v>
      </c>
      <c r="B185" s="163" t="s">
        <v>208</v>
      </c>
    </row>
    <row r="186" spans="1:2" ht="17.25" thickBot="1" x14ac:dyDescent="0.35">
      <c r="A186" s="162" t="s">
        <v>160</v>
      </c>
      <c r="B186" s="163" t="s">
        <v>209</v>
      </c>
    </row>
    <row r="187" spans="1:2" ht="17.25" thickBot="1" x14ac:dyDescent="0.35">
      <c r="A187" s="162" t="s">
        <v>80</v>
      </c>
      <c r="B187" s="163" t="s">
        <v>210</v>
      </c>
    </row>
    <row r="188" spans="1:2" ht="17.25" thickBot="1" x14ac:dyDescent="0.35">
      <c r="A188" s="162" t="s">
        <v>85</v>
      </c>
      <c r="B188" s="163" t="s">
        <v>211</v>
      </c>
    </row>
    <row r="189" spans="1:2" ht="17.25" thickBot="1" x14ac:dyDescent="0.35">
      <c r="A189" s="162" t="s">
        <v>89</v>
      </c>
      <c r="B189" s="163" t="s">
        <v>212</v>
      </c>
    </row>
    <row r="190" spans="1:2" ht="17.25" thickBot="1" x14ac:dyDescent="0.35">
      <c r="A190" s="162" t="s">
        <v>92</v>
      </c>
      <c r="B190" s="163" t="s">
        <v>213</v>
      </c>
    </row>
    <row r="191" spans="1:2" ht="17.25" thickBot="1" x14ac:dyDescent="0.35">
      <c r="A191" s="162" t="s">
        <v>96</v>
      </c>
      <c r="B191" s="163" t="s">
        <v>214</v>
      </c>
    </row>
    <row r="192" spans="1:2" ht="17.25" thickBot="1" x14ac:dyDescent="0.35">
      <c r="A192" s="162" t="s">
        <v>99</v>
      </c>
      <c r="B192" s="163" t="s">
        <v>215</v>
      </c>
    </row>
    <row r="193" spans="1:2" ht="17.25" thickBot="1" x14ac:dyDescent="0.35">
      <c r="A193" s="162" t="s">
        <v>102</v>
      </c>
      <c r="B193" s="163" t="s">
        <v>216</v>
      </c>
    </row>
    <row r="194" spans="1:2" ht="17.25" thickBot="1" x14ac:dyDescent="0.35">
      <c r="A194" s="162" t="s">
        <v>105</v>
      </c>
      <c r="B194" s="163" t="s">
        <v>217</v>
      </c>
    </row>
    <row r="195" spans="1:2" ht="17.25" thickBot="1" x14ac:dyDescent="0.35">
      <c r="A195" s="162" t="s">
        <v>160</v>
      </c>
      <c r="B195" s="163" t="s">
        <v>218</v>
      </c>
    </row>
    <row r="196" spans="1:2" ht="17.25" thickBot="1" x14ac:dyDescent="0.35">
      <c r="A196" s="162" t="s">
        <v>80</v>
      </c>
      <c r="B196" s="163" t="s">
        <v>219</v>
      </c>
    </row>
    <row r="197" spans="1:2" ht="17.25" thickBot="1" x14ac:dyDescent="0.35">
      <c r="A197" s="162" t="s">
        <v>85</v>
      </c>
      <c r="B197" s="163" t="s">
        <v>220</v>
      </c>
    </row>
    <row r="198" spans="1:2" ht="17.25" thickBot="1" x14ac:dyDescent="0.35">
      <c r="A198" s="162" t="s">
        <v>89</v>
      </c>
      <c r="B198" s="163" t="s">
        <v>221</v>
      </c>
    </row>
    <row r="199" spans="1:2" ht="17.25" thickBot="1" x14ac:dyDescent="0.35">
      <c r="A199" s="162" t="s">
        <v>80</v>
      </c>
      <c r="B199" s="163" t="s">
        <v>222</v>
      </c>
    </row>
    <row r="200" spans="1:2" ht="17.25" thickBot="1" x14ac:dyDescent="0.35">
      <c r="A200" s="162" t="s">
        <v>85</v>
      </c>
      <c r="B200" s="163" t="s">
        <v>223</v>
      </c>
    </row>
    <row r="201" spans="1:2" ht="17.25" thickBot="1" x14ac:dyDescent="0.35">
      <c r="A201" s="162" t="s">
        <v>89</v>
      </c>
      <c r="B201" s="163" t="s">
        <v>224</v>
      </c>
    </row>
    <row r="202" spans="1:2" ht="17.25" thickBot="1" x14ac:dyDescent="0.35">
      <c r="A202" s="162" t="s">
        <v>80</v>
      </c>
      <c r="B202" s="163" t="s">
        <v>225</v>
      </c>
    </row>
    <row r="203" spans="1:2" ht="17.25" thickBot="1" x14ac:dyDescent="0.35">
      <c r="A203" s="162" t="s">
        <v>85</v>
      </c>
      <c r="B203" s="163" t="s">
        <v>226</v>
      </c>
    </row>
    <row r="204" spans="1:2" ht="17.25" thickBot="1" x14ac:dyDescent="0.35">
      <c r="A204" s="162" t="s">
        <v>89</v>
      </c>
      <c r="B204" s="163" t="s">
        <v>227</v>
      </c>
    </row>
    <row r="205" spans="1:2" ht="17.25" thickBot="1" x14ac:dyDescent="0.35">
      <c r="A205" s="162" t="s">
        <v>80</v>
      </c>
      <c r="B205" s="163" t="s">
        <v>228</v>
      </c>
    </row>
    <row r="206" spans="1:2" ht="17.25" thickBot="1" x14ac:dyDescent="0.35">
      <c r="A206" s="162" t="s">
        <v>85</v>
      </c>
      <c r="B206" s="163" t="s">
        <v>229</v>
      </c>
    </row>
    <row r="207" spans="1:2" ht="17.25" thickBot="1" x14ac:dyDescent="0.35">
      <c r="A207" s="162" t="s">
        <v>89</v>
      </c>
      <c r="B207" s="163" t="s">
        <v>230</v>
      </c>
    </row>
    <row r="208" spans="1:2" ht="17.25" thickBot="1" x14ac:dyDescent="0.35">
      <c r="A208" s="162" t="s">
        <v>92</v>
      </c>
      <c r="B208" s="163" t="s">
        <v>231</v>
      </c>
    </row>
    <row r="209" spans="1:2" ht="17.25" thickBot="1" x14ac:dyDescent="0.35">
      <c r="A209" s="162" t="s">
        <v>96</v>
      </c>
      <c r="B209" s="163" t="s">
        <v>232</v>
      </c>
    </row>
    <row r="210" spans="1:2" ht="17.25" thickBot="1" x14ac:dyDescent="0.35">
      <c r="A210" s="162" t="s">
        <v>99</v>
      </c>
      <c r="B210" s="163" t="s">
        <v>233</v>
      </c>
    </row>
    <row r="211" spans="1:2" ht="17.25" thickBot="1" x14ac:dyDescent="0.35">
      <c r="A211" s="162" t="s">
        <v>80</v>
      </c>
      <c r="B211" s="163" t="s">
        <v>234</v>
      </c>
    </row>
    <row r="212" spans="1:2" ht="17.25" thickBot="1" x14ac:dyDescent="0.35">
      <c r="A212" s="162" t="s">
        <v>85</v>
      </c>
      <c r="B212" s="163" t="s">
        <v>235</v>
      </c>
    </row>
    <row r="213" spans="1:2" ht="17.25" thickBot="1" x14ac:dyDescent="0.35">
      <c r="A213" s="162" t="s">
        <v>89</v>
      </c>
      <c r="B213" s="163" t="s">
        <v>236</v>
      </c>
    </row>
    <row r="214" spans="1:2" ht="17.25" thickBot="1" x14ac:dyDescent="0.35">
      <c r="A214" s="162" t="s">
        <v>92</v>
      </c>
      <c r="B214" s="163" t="s">
        <v>237</v>
      </c>
    </row>
    <row r="215" spans="1:2" ht="17.25" thickBot="1" x14ac:dyDescent="0.35">
      <c r="A215" s="162" t="s">
        <v>96</v>
      </c>
      <c r="B215" s="163" t="s">
        <v>238</v>
      </c>
    </row>
    <row r="216" spans="1:2" ht="17.25" thickBot="1" x14ac:dyDescent="0.35">
      <c r="A216" s="162" t="s">
        <v>99</v>
      </c>
      <c r="B216" s="163" t="s">
        <v>239</v>
      </c>
    </row>
    <row r="217" spans="1:2" ht="17.25" thickBot="1" x14ac:dyDescent="0.35">
      <c r="A217" s="162" t="s">
        <v>80</v>
      </c>
      <c r="B217" s="163" t="s">
        <v>240</v>
      </c>
    </row>
    <row r="218" spans="1:2" ht="17.25" thickBot="1" x14ac:dyDescent="0.35">
      <c r="A218" s="162" t="s">
        <v>85</v>
      </c>
      <c r="B218" s="163" t="s">
        <v>241</v>
      </c>
    </row>
    <row r="219" spans="1:2" ht="17.25" thickBot="1" x14ac:dyDescent="0.35">
      <c r="A219" s="162" t="s">
        <v>89</v>
      </c>
      <c r="B219" s="163" t="s">
        <v>242</v>
      </c>
    </row>
    <row r="220" spans="1:2" ht="17.25" thickBot="1" x14ac:dyDescent="0.35">
      <c r="A220" s="162" t="s">
        <v>92</v>
      </c>
      <c r="B220" s="163" t="s">
        <v>243</v>
      </c>
    </row>
    <row r="221" spans="1:2" ht="17.25" thickBot="1" x14ac:dyDescent="0.35">
      <c r="A221" s="162" t="s">
        <v>96</v>
      </c>
      <c r="B221" s="163" t="s">
        <v>244</v>
      </c>
    </row>
    <row r="222" spans="1:2" ht="17.25" thickBot="1" x14ac:dyDescent="0.35">
      <c r="A222" s="162" t="s">
        <v>99</v>
      </c>
      <c r="B222" s="163" t="s">
        <v>245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0"/>
  <sheetViews>
    <sheetView workbookViewId="0">
      <selection activeCell="J17" sqref="J17"/>
    </sheetView>
  </sheetViews>
  <sheetFormatPr defaultRowHeight="15" x14ac:dyDescent="0.25"/>
  <sheetData>
    <row r="2" spans="1:4" x14ac:dyDescent="0.25">
      <c r="A2">
        <v>4.9999999999999998E-8</v>
      </c>
      <c r="B2">
        <v>1</v>
      </c>
      <c r="C2">
        <v>4.9999999999999998E-8</v>
      </c>
      <c r="D2">
        <v>6.4161844800000001</v>
      </c>
    </row>
    <row r="3" spans="1:4" x14ac:dyDescent="0.25">
      <c r="A3">
        <v>1.8999999999999998E-7</v>
      </c>
      <c r="B3">
        <v>2</v>
      </c>
      <c r="C3">
        <v>1.8999999999999998E-7</v>
      </c>
      <c r="D3">
        <v>9.9532420500000001</v>
      </c>
    </row>
    <row r="4" spans="1:4" x14ac:dyDescent="0.25">
      <c r="A4">
        <v>7.5999999999999992E-7</v>
      </c>
      <c r="B4">
        <v>0</v>
      </c>
      <c r="C4">
        <v>7.5999999999999992E-7</v>
      </c>
      <c r="D4">
        <v>1.1392237000000001</v>
      </c>
    </row>
    <row r="5" spans="1:4" x14ac:dyDescent="0.25">
      <c r="A5">
        <v>4.0000000000000009E-7</v>
      </c>
      <c r="B5">
        <v>0</v>
      </c>
      <c r="C5">
        <v>4.0000000000000009E-7</v>
      </c>
      <c r="D5">
        <v>0.367048547</v>
      </c>
    </row>
    <row r="6" spans="1:4" x14ac:dyDescent="0.25">
      <c r="A6">
        <v>1.6000000000000004E-6</v>
      </c>
      <c r="B6">
        <v>0</v>
      </c>
      <c r="C6">
        <v>1.6000000000000004E-6</v>
      </c>
      <c r="D6">
        <v>0.44231699999999996</v>
      </c>
    </row>
    <row r="7" spans="1:4" x14ac:dyDescent="0.25">
      <c r="A7">
        <v>4.0000000000000009E-7</v>
      </c>
      <c r="B7">
        <v>0</v>
      </c>
      <c r="C7">
        <v>4.0000000000000009E-7</v>
      </c>
      <c r="D7">
        <v>0.34553602580000004</v>
      </c>
    </row>
    <row r="8" spans="1:4" x14ac:dyDescent="0.25">
      <c r="A8">
        <v>1.5200000000000003E-6</v>
      </c>
      <c r="B8">
        <v>0</v>
      </c>
      <c r="C8">
        <v>1.5200000000000003E-6</v>
      </c>
      <c r="D8">
        <v>0.34553602580000004</v>
      </c>
    </row>
    <row r="9" spans="1:4" x14ac:dyDescent="0.25">
      <c r="A9">
        <v>6.0800000000000011E-6</v>
      </c>
      <c r="B9">
        <v>0</v>
      </c>
      <c r="C9">
        <v>6.0800000000000011E-6</v>
      </c>
      <c r="D9">
        <v>1.2741908250000003E-2</v>
      </c>
    </row>
    <row r="10" spans="1:4" x14ac:dyDescent="0.25">
      <c r="A10">
        <v>2.5000000000000001E-5</v>
      </c>
      <c r="B10">
        <v>1</v>
      </c>
      <c r="C10">
        <v>2.5000000000000001E-5</v>
      </c>
      <c r="D10">
        <v>6.2653628440000002</v>
      </c>
    </row>
    <row r="11" spans="1:4" x14ac:dyDescent="0.25">
      <c r="A11">
        <v>4.9999999999999998E-8</v>
      </c>
      <c r="B11">
        <v>1</v>
      </c>
      <c r="C11">
        <v>4.9999999999999998E-8</v>
      </c>
      <c r="D11">
        <v>7.6786025799999997</v>
      </c>
    </row>
    <row r="12" spans="1:4" x14ac:dyDescent="0.25">
      <c r="A12">
        <v>1.8999999999999998E-7</v>
      </c>
      <c r="B12">
        <v>2</v>
      </c>
      <c r="C12">
        <v>1.8999999999999998E-7</v>
      </c>
      <c r="D12">
        <v>10.949456941999998</v>
      </c>
    </row>
    <row r="13" spans="1:4" x14ac:dyDescent="0.25">
      <c r="A13">
        <v>7.5999999999999992E-7</v>
      </c>
      <c r="B13">
        <v>0</v>
      </c>
      <c r="C13">
        <v>7.5999999999999992E-7</v>
      </c>
      <c r="D13">
        <v>1.274190825</v>
      </c>
    </row>
    <row r="14" spans="1:4" x14ac:dyDescent="0.25">
      <c r="A14">
        <v>4.0000000000000009E-7</v>
      </c>
      <c r="B14">
        <v>0</v>
      </c>
      <c r="C14">
        <v>4.0000000000000009E-7</v>
      </c>
      <c r="D14">
        <v>0.42234360575000002</v>
      </c>
    </row>
    <row r="15" spans="1:4" x14ac:dyDescent="0.25">
      <c r="A15">
        <v>1.6000000000000004E-6</v>
      </c>
      <c r="B15">
        <v>0</v>
      </c>
      <c r="C15">
        <v>1.6000000000000004E-6</v>
      </c>
      <c r="D15">
        <v>0.59169429249999994</v>
      </c>
    </row>
    <row r="16" spans="1:4" x14ac:dyDescent="0.25">
      <c r="A16">
        <v>4.0000000000000009E-7</v>
      </c>
      <c r="B16">
        <v>0</v>
      </c>
      <c r="C16">
        <v>4.0000000000000009E-7</v>
      </c>
      <c r="D16">
        <v>0.37394043305000002</v>
      </c>
    </row>
    <row r="17" spans="1:4" x14ac:dyDescent="0.25">
      <c r="A17">
        <v>1.5200000000000003E-6</v>
      </c>
      <c r="B17">
        <v>0</v>
      </c>
      <c r="C17">
        <v>1.5200000000000003E-6</v>
      </c>
      <c r="D17">
        <v>0.37394043305000002</v>
      </c>
    </row>
    <row r="18" spans="1:4" x14ac:dyDescent="0.25">
      <c r="A18">
        <v>6.0800000000000011E-6</v>
      </c>
      <c r="B18">
        <v>0</v>
      </c>
      <c r="C18">
        <v>6.0800000000000011E-6</v>
      </c>
      <c r="D18">
        <v>1.5778668562500001E-2</v>
      </c>
    </row>
    <row r="19" spans="1:4" x14ac:dyDescent="0.25">
      <c r="A19">
        <v>2.5000000000000001E-5</v>
      </c>
      <c r="B19">
        <v>1</v>
      </c>
      <c r="C19">
        <v>2.5000000000000001E-5</v>
      </c>
      <c r="D19">
        <v>7.2665363244999996</v>
      </c>
    </row>
    <row r="20" spans="1:4" x14ac:dyDescent="0.25">
      <c r="A20">
        <v>4.9999999999999998E-8</v>
      </c>
      <c r="B20">
        <v>1</v>
      </c>
      <c r="C20">
        <v>4.9999999999999998E-8</v>
      </c>
      <c r="D20">
        <v>9.9509551599999995</v>
      </c>
    </row>
    <row r="21" spans="1:4" x14ac:dyDescent="0.25">
      <c r="A21">
        <v>1.8999999999999998E-7</v>
      </c>
      <c r="B21">
        <v>3</v>
      </c>
      <c r="C21">
        <v>1.8999999999999998E-7</v>
      </c>
      <c r="D21">
        <v>16.487629783999999</v>
      </c>
    </row>
    <row r="22" spans="1:4" x14ac:dyDescent="0.25">
      <c r="A22">
        <v>7.5999999999999992E-7</v>
      </c>
      <c r="B22">
        <v>0</v>
      </c>
      <c r="C22">
        <v>7.5999999999999992E-7</v>
      </c>
      <c r="D22">
        <v>1.5171316500000001</v>
      </c>
    </row>
    <row r="23" spans="1:4" x14ac:dyDescent="0.25">
      <c r="A23">
        <v>4.0000000000000009E-7</v>
      </c>
      <c r="B23">
        <v>0</v>
      </c>
      <c r="C23">
        <v>4.0000000000000009E-7</v>
      </c>
      <c r="D23">
        <v>0.52187471149999998</v>
      </c>
    </row>
    <row r="24" spans="1:4" x14ac:dyDescent="0.25">
      <c r="A24">
        <v>1.6000000000000004E-6</v>
      </c>
      <c r="B24">
        <v>0</v>
      </c>
      <c r="C24">
        <v>1.6000000000000004E-6</v>
      </c>
      <c r="D24">
        <v>0.85990958500000003</v>
      </c>
    </row>
    <row r="25" spans="1:4" x14ac:dyDescent="0.25">
      <c r="A25">
        <v>4.0000000000000009E-7</v>
      </c>
      <c r="B25">
        <v>0</v>
      </c>
      <c r="C25">
        <v>4.0000000000000009E-7</v>
      </c>
      <c r="D25">
        <v>0.42506836609999998</v>
      </c>
    </row>
    <row r="26" spans="1:4" x14ac:dyDescent="0.25">
      <c r="A26">
        <v>1.5200000000000003E-6</v>
      </c>
      <c r="B26">
        <v>0</v>
      </c>
      <c r="C26">
        <v>1.5200000000000003E-6</v>
      </c>
      <c r="D26">
        <v>0.42506836609999998</v>
      </c>
    </row>
    <row r="27" spans="1:4" x14ac:dyDescent="0.25">
      <c r="A27">
        <v>6.0800000000000011E-6</v>
      </c>
      <c r="B27">
        <v>0</v>
      </c>
      <c r="C27">
        <v>6.0800000000000011E-6</v>
      </c>
      <c r="D27">
        <v>2.1244837124999999E-2</v>
      </c>
    </row>
    <row r="28" spans="1:4" x14ac:dyDescent="0.25">
      <c r="A28">
        <v>2.5000000000000001E-5</v>
      </c>
      <c r="B28">
        <v>1</v>
      </c>
      <c r="C28">
        <v>2.5000000000000001E-5</v>
      </c>
      <c r="D28">
        <v>9.1268226489999993</v>
      </c>
    </row>
    <row r="29" spans="1:4" x14ac:dyDescent="0.25">
      <c r="A29">
        <v>4.9999999999999998E-8</v>
      </c>
      <c r="B29">
        <v>1</v>
      </c>
      <c r="C29">
        <v>4.9999999999999998E-8</v>
      </c>
      <c r="D29">
        <v>9.9509551599999995</v>
      </c>
    </row>
    <row r="30" spans="1:4" x14ac:dyDescent="0.25">
      <c r="A30">
        <v>1.8999999999999998E-7</v>
      </c>
      <c r="B30">
        <v>2</v>
      </c>
      <c r="C30">
        <v>1.8999999999999998E-7</v>
      </c>
      <c r="D30">
        <v>12.737629783999999</v>
      </c>
    </row>
    <row r="31" spans="1:4" x14ac:dyDescent="0.25">
      <c r="A31">
        <v>7.5999999999999992E-7</v>
      </c>
      <c r="B31">
        <v>0</v>
      </c>
      <c r="C31">
        <v>7.5999999999999992E-7</v>
      </c>
      <c r="D31">
        <v>1.5171316500000001</v>
      </c>
    </row>
    <row r="32" spans="1:4" x14ac:dyDescent="0.25">
      <c r="A32">
        <v>4.0000000000000009E-7</v>
      </c>
      <c r="B32">
        <v>0</v>
      </c>
      <c r="C32">
        <v>4.0000000000000009E-7</v>
      </c>
      <c r="D32">
        <v>0.52187471149999998</v>
      </c>
    </row>
    <row r="33" spans="1:4" x14ac:dyDescent="0.25">
      <c r="A33">
        <v>1.6000000000000004E-6</v>
      </c>
      <c r="B33">
        <v>0</v>
      </c>
      <c r="C33">
        <v>1.6000000000000004E-6</v>
      </c>
      <c r="D33">
        <v>0.85990958500000003</v>
      </c>
    </row>
    <row r="34" spans="1:4" x14ac:dyDescent="0.25">
      <c r="A34">
        <v>4.0000000000000009E-7</v>
      </c>
      <c r="B34">
        <v>0</v>
      </c>
      <c r="C34">
        <v>4.0000000000000009E-7</v>
      </c>
      <c r="D34">
        <v>0.42506836609999998</v>
      </c>
    </row>
    <row r="35" spans="1:4" x14ac:dyDescent="0.25">
      <c r="A35">
        <v>1.5200000000000003E-6</v>
      </c>
      <c r="B35">
        <v>0</v>
      </c>
      <c r="C35">
        <v>1.5200000000000003E-6</v>
      </c>
      <c r="D35">
        <v>0.42506836609999998</v>
      </c>
    </row>
    <row r="36" spans="1:4" x14ac:dyDescent="0.25">
      <c r="A36">
        <v>6.0800000000000011E-6</v>
      </c>
      <c r="B36">
        <v>0</v>
      </c>
      <c r="C36">
        <v>6.0800000000000011E-6</v>
      </c>
      <c r="D36">
        <v>2.1244837124999999E-2</v>
      </c>
    </row>
    <row r="37" spans="1:4" x14ac:dyDescent="0.25">
      <c r="A37">
        <v>2.5000000000000001E-5</v>
      </c>
      <c r="B37">
        <v>1</v>
      </c>
      <c r="C37">
        <v>2.5000000000000001E-5</v>
      </c>
      <c r="D37">
        <v>9.1268226489999993</v>
      </c>
    </row>
    <row r="38" spans="1:4" x14ac:dyDescent="0.25">
      <c r="A38">
        <v>4.9999999999999998E-8</v>
      </c>
      <c r="B38">
        <v>1</v>
      </c>
      <c r="C38">
        <v>4.9999999999999998E-8</v>
      </c>
      <c r="D38">
        <v>9.9509551599999995</v>
      </c>
    </row>
    <row r="39" spans="1:4" x14ac:dyDescent="0.25">
      <c r="A39">
        <v>1.8999999999999998E-7</v>
      </c>
      <c r="B39">
        <v>2</v>
      </c>
      <c r="C39">
        <v>1.8999999999999998E-7</v>
      </c>
      <c r="D39">
        <v>12.737629783999999</v>
      </c>
    </row>
    <row r="40" spans="1:4" x14ac:dyDescent="0.25">
      <c r="A40">
        <v>7.5999999999999992E-7</v>
      </c>
      <c r="B40">
        <v>0</v>
      </c>
      <c r="C40">
        <v>7.5999999999999992E-7</v>
      </c>
      <c r="D40">
        <v>1.5171316500000001</v>
      </c>
    </row>
    <row r="41" spans="1:4" x14ac:dyDescent="0.25">
      <c r="A41">
        <v>4.0000000000000009E-7</v>
      </c>
      <c r="B41">
        <v>0</v>
      </c>
      <c r="C41">
        <v>4.0000000000000009E-7</v>
      </c>
      <c r="D41">
        <v>0.52187471149999998</v>
      </c>
    </row>
    <row r="42" spans="1:4" x14ac:dyDescent="0.25">
      <c r="A42">
        <v>1.6000000000000004E-6</v>
      </c>
      <c r="B42">
        <v>0</v>
      </c>
      <c r="C42">
        <v>1.6000000000000004E-6</v>
      </c>
      <c r="D42">
        <v>0.85990958500000003</v>
      </c>
    </row>
    <row r="43" spans="1:4" x14ac:dyDescent="0.25">
      <c r="A43">
        <v>4.0000000000000009E-7</v>
      </c>
      <c r="B43">
        <v>0</v>
      </c>
      <c r="C43">
        <v>4.0000000000000009E-7</v>
      </c>
      <c r="D43">
        <v>0.42506836609999998</v>
      </c>
    </row>
    <row r="44" spans="1:4" x14ac:dyDescent="0.25">
      <c r="A44">
        <v>1.5200000000000003E-6</v>
      </c>
      <c r="B44">
        <v>0</v>
      </c>
      <c r="C44">
        <v>1.5200000000000003E-6</v>
      </c>
      <c r="D44">
        <v>0.42506836609999998</v>
      </c>
    </row>
    <row r="45" spans="1:4" x14ac:dyDescent="0.25">
      <c r="A45">
        <v>6.0800000000000011E-6</v>
      </c>
      <c r="B45">
        <v>0</v>
      </c>
      <c r="C45">
        <v>6.0800000000000011E-6</v>
      </c>
      <c r="D45">
        <v>2.1244837124999999E-2</v>
      </c>
    </row>
    <row r="46" spans="1:4" x14ac:dyDescent="0.25">
      <c r="A46">
        <v>2.5000000000000001E-5</v>
      </c>
      <c r="B46">
        <v>1</v>
      </c>
      <c r="C46">
        <v>2.5000000000000001E-5</v>
      </c>
      <c r="D46">
        <v>9.1268226489999993</v>
      </c>
    </row>
    <row r="47" spans="1:4" x14ac:dyDescent="0.25">
      <c r="A47">
        <v>4.9999999999999998E-8</v>
      </c>
      <c r="B47">
        <v>1</v>
      </c>
      <c r="C47">
        <v>4.9999999999999998E-8</v>
      </c>
      <c r="D47">
        <v>5.4977237920000004</v>
      </c>
    </row>
    <row r="48" spans="1:4" x14ac:dyDescent="0.25">
      <c r="A48">
        <v>1.8999999999999998E-7</v>
      </c>
      <c r="B48">
        <v>1</v>
      </c>
      <c r="C48">
        <v>1.8999999999999998E-7</v>
      </c>
      <c r="D48">
        <v>5.4125468200000002</v>
      </c>
    </row>
    <row r="49" spans="1:4" x14ac:dyDescent="0.25">
      <c r="A49">
        <v>7.5999999999999992E-7</v>
      </c>
      <c r="B49">
        <v>0</v>
      </c>
      <c r="C49">
        <v>7.5999999999999992E-7</v>
      </c>
      <c r="D49">
        <v>1.0744394800000001</v>
      </c>
    </row>
    <row r="50" spans="1:4" x14ac:dyDescent="0.25">
      <c r="A50">
        <v>4.0000000000000009E-7</v>
      </c>
      <c r="B50">
        <v>0</v>
      </c>
      <c r="C50">
        <v>4.0000000000000009E-7</v>
      </c>
      <c r="D50">
        <v>0.3405069188</v>
      </c>
    </row>
    <row r="51" spans="1:4" x14ac:dyDescent="0.25">
      <c r="A51">
        <v>1.6000000000000004E-6</v>
      </c>
      <c r="B51">
        <v>0</v>
      </c>
      <c r="C51">
        <v>1.6000000000000004E-6</v>
      </c>
      <c r="D51">
        <v>0.37061430000000001</v>
      </c>
    </row>
    <row r="52" spans="1:4" x14ac:dyDescent="0.25">
      <c r="A52">
        <v>4.0000000000000009E-7</v>
      </c>
      <c r="B52">
        <v>0</v>
      </c>
      <c r="C52">
        <v>4.0000000000000009E-7</v>
      </c>
      <c r="D52">
        <v>0.33190191031999999</v>
      </c>
    </row>
    <row r="53" spans="1:4" x14ac:dyDescent="0.25">
      <c r="A53">
        <v>1.5200000000000003E-6</v>
      </c>
      <c r="B53">
        <v>0</v>
      </c>
      <c r="C53">
        <v>1.5200000000000003E-6</v>
      </c>
      <c r="D53">
        <v>0.33190191031999999</v>
      </c>
    </row>
    <row r="54" spans="1:4" x14ac:dyDescent="0.25">
      <c r="A54">
        <v>6.0800000000000011E-6</v>
      </c>
      <c r="B54">
        <v>0</v>
      </c>
      <c r="C54">
        <v>6.0800000000000011E-6</v>
      </c>
      <c r="D54">
        <v>1.1284263300000002E-2</v>
      </c>
    </row>
    <row r="55" spans="1:4" x14ac:dyDescent="0.25">
      <c r="A55">
        <v>2.5000000000000001E-5</v>
      </c>
      <c r="B55">
        <v>1</v>
      </c>
      <c r="C55">
        <v>2.5000000000000001E-5</v>
      </c>
      <c r="D55">
        <v>5.7498951376000003</v>
      </c>
    </row>
    <row r="56" spans="1:4" x14ac:dyDescent="0.25">
      <c r="A56">
        <v>4.9999999999999998E-8</v>
      </c>
      <c r="B56">
        <v>1</v>
      </c>
      <c r="C56">
        <v>4.9999999999999998E-8</v>
      </c>
      <c r="D56">
        <v>5.173506508</v>
      </c>
    </row>
    <row r="57" spans="1:4" x14ac:dyDescent="0.25">
      <c r="A57">
        <v>1.8999999999999998E-7</v>
      </c>
      <c r="B57">
        <v>1</v>
      </c>
      <c r="C57">
        <v>1.8999999999999998E-7</v>
      </c>
      <c r="D57">
        <v>5.1565919320000004</v>
      </c>
    </row>
    <row r="58" spans="1:4" x14ac:dyDescent="0.25">
      <c r="A58">
        <v>7.5999999999999992E-7</v>
      </c>
      <c r="B58">
        <v>1</v>
      </c>
      <c r="C58">
        <v>7.5999999999999992E-7</v>
      </c>
      <c r="D58">
        <v>5.1022768950000001</v>
      </c>
    </row>
    <row r="59" spans="1:4" x14ac:dyDescent="0.25">
      <c r="A59">
        <v>4.0000000000000009E-7</v>
      </c>
      <c r="B59">
        <v>0</v>
      </c>
      <c r="C59">
        <v>4.0000000000000009E-7</v>
      </c>
      <c r="D59">
        <v>0.32630590745000004</v>
      </c>
    </row>
    <row r="60" spans="1:4" x14ac:dyDescent="0.25">
      <c r="A60">
        <v>1.6000000000000004E-6</v>
      </c>
      <c r="B60">
        <v>0</v>
      </c>
      <c r="C60">
        <v>1.6000000000000004E-6</v>
      </c>
      <c r="D60">
        <v>0.33223701749999995</v>
      </c>
    </row>
    <row r="61" spans="1:4" x14ac:dyDescent="0.25">
      <c r="A61">
        <v>4.0000000000000009E-7</v>
      </c>
      <c r="B61">
        <v>0</v>
      </c>
      <c r="C61">
        <v>4.0000000000000009E-7</v>
      </c>
      <c r="D61">
        <v>0.32460702143000003</v>
      </c>
    </row>
    <row r="62" spans="1:4" x14ac:dyDescent="0.25">
      <c r="A62">
        <v>1.5200000000000003E-6</v>
      </c>
      <c r="B62">
        <v>0</v>
      </c>
      <c r="C62">
        <v>1.5200000000000003E-6</v>
      </c>
      <c r="D62">
        <v>0.32460702143000003</v>
      </c>
    </row>
    <row r="63" spans="1:4" x14ac:dyDescent="0.25">
      <c r="A63">
        <v>6.0800000000000011E-6</v>
      </c>
      <c r="B63">
        <v>0</v>
      </c>
      <c r="C63">
        <v>6.0800000000000011E-6</v>
      </c>
      <c r="D63">
        <v>1.0504355137500001E-2</v>
      </c>
    </row>
    <row r="64" spans="1:4" x14ac:dyDescent="0.25">
      <c r="A64">
        <v>2.5000000000000001E-5</v>
      </c>
      <c r="B64">
        <v>1</v>
      </c>
      <c r="C64">
        <v>2.5000000000000001E-5</v>
      </c>
      <c r="D64">
        <v>5.4809019306</v>
      </c>
    </row>
    <row r="65" spans="1:4" x14ac:dyDescent="0.25">
      <c r="A65">
        <v>1.0000000000000002E-6</v>
      </c>
      <c r="B65">
        <v>1</v>
      </c>
      <c r="C65">
        <v>1.0000000000000002E-6</v>
      </c>
      <c r="D65">
        <v>5.4472270680000001</v>
      </c>
    </row>
    <row r="66" spans="1:4" x14ac:dyDescent="0.25">
      <c r="A66">
        <v>9.5000000000000012E-7</v>
      </c>
      <c r="B66">
        <v>1</v>
      </c>
      <c r="C66">
        <v>9.5000000000000012E-7</v>
      </c>
      <c r="D66">
        <v>5.3720176139999998</v>
      </c>
    </row>
    <row r="67" spans="1:4" x14ac:dyDescent="0.25">
      <c r="A67">
        <v>1.8050000000000002E-5</v>
      </c>
      <c r="B67">
        <v>0</v>
      </c>
      <c r="C67">
        <v>1.8050000000000002E-5</v>
      </c>
      <c r="D67">
        <v>1.069040795</v>
      </c>
    </row>
    <row r="75" spans="1:4" x14ac:dyDescent="0.25">
      <c r="A75">
        <v>1.0000000000000002E-6</v>
      </c>
      <c r="B75">
        <v>1</v>
      </c>
      <c r="C75">
        <v>1.0000000000000002E-6</v>
      </c>
      <c r="D75">
        <v>6.1036844800000001</v>
      </c>
    </row>
    <row r="76" spans="1:4" x14ac:dyDescent="0.25">
      <c r="A76">
        <v>9.5000000000000012E-7</v>
      </c>
      <c r="B76">
        <v>1</v>
      </c>
      <c r="C76">
        <v>9.5000000000000012E-7</v>
      </c>
      <c r="D76">
        <v>5.8889297740000002</v>
      </c>
    </row>
    <row r="77" spans="1:4" x14ac:dyDescent="0.25">
      <c r="A77">
        <v>1.8050000000000002E-5</v>
      </c>
      <c r="B77">
        <v>0</v>
      </c>
      <c r="C77">
        <v>1.8050000000000002E-5</v>
      </c>
      <c r="D77">
        <v>1.1392237000000001</v>
      </c>
    </row>
    <row r="85" spans="1:4" x14ac:dyDescent="0.25">
      <c r="A85">
        <v>5.0000000000000008E-7</v>
      </c>
      <c r="B85">
        <v>1</v>
      </c>
      <c r="C85">
        <v>5.0000000000000008E-7</v>
      </c>
      <c r="D85">
        <v>5.5987172399999992</v>
      </c>
    </row>
    <row r="86" spans="1:4" x14ac:dyDescent="0.25">
      <c r="A86">
        <v>4.7500000000000006E-7</v>
      </c>
      <c r="B86">
        <v>1</v>
      </c>
      <c r="C86">
        <v>4.7500000000000006E-7</v>
      </c>
      <c r="D86">
        <v>5.491289546</v>
      </c>
    </row>
    <row r="87" spans="1:4" x14ac:dyDescent="0.25">
      <c r="A87">
        <v>9.0250000000000008E-6</v>
      </c>
      <c r="B87">
        <v>0</v>
      </c>
      <c r="C87">
        <v>9.0250000000000008E-6</v>
      </c>
      <c r="D87">
        <v>1.08523685</v>
      </c>
    </row>
    <row r="95" spans="1:4" x14ac:dyDescent="0.25">
      <c r="A95">
        <v>3.0000000000000005E-6</v>
      </c>
      <c r="B95">
        <v>1</v>
      </c>
      <c r="C95">
        <v>3.0000000000000005E-6</v>
      </c>
      <c r="D95">
        <v>5.1484941119999998</v>
      </c>
    </row>
    <row r="96" spans="1:4" x14ac:dyDescent="0.25">
      <c r="A96">
        <v>5.4000000000000017E-6</v>
      </c>
      <c r="B96">
        <v>1</v>
      </c>
      <c r="C96">
        <v>5.4000000000000017E-6</v>
      </c>
      <c r="D96">
        <v>5.1369156820000006</v>
      </c>
    </row>
    <row r="97" spans="1:4" x14ac:dyDescent="0.25">
      <c r="A97">
        <v>2.1600000000000007E-5</v>
      </c>
      <c r="B97">
        <v>0</v>
      </c>
      <c r="C97">
        <v>2.1600000000000007E-5</v>
      </c>
      <c r="D97">
        <v>1.0355578329999999</v>
      </c>
    </row>
    <row r="98" spans="1:4" x14ac:dyDescent="0.25">
      <c r="A98">
        <v>3.0000000000000005E-6</v>
      </c>
      <c r="B98">
        <v>0</v>
      </c>
      <c r="C98">
        <v>3.0000000000000005E-6</v>
      </c>
      <c r="D98">
        <v>0.73633661680000007</v>
      </c>
    </row>
    <row r="99" spans="1:4" x14ac:dyDescent="0.25">
      <c r="A99">
        <v>1.3500000000000004E-6</v>
      </c>
      <c r="B99">
        <v>0</v>
      </c>
      <c r="C99">
        <v>1.3500000000000004E-6</v>
      </c>
      <c r="D99">
        <v>0.43960341800000002</v>
      </c>
    </row>
    <row r="100" spans="1:4" x14ac:dyDescent="0.25">
      <c r="A100">
        <v>2.5650000000000003E-5</v>
      </c>
      <c r="B100">
        <v>0</v>
      </c>
      <c r="C100">
        <v>2.5650000000000003E-5</v>
      </c>
      <c r="D100">
        <v>0.10400291700000003</v>
      </c>
    </row>
    <row r="105" spans="1:4" x14ac:dyDescent="0.25">
      <c r="A105">
        <v>2.0000000000000003E-6</v>
      </c>
      <c r="B105">
        <v>1</v>
      </c>
      <c r="C105">
        <v>2.0000000000000003E-6</v>
      </c>
      <c r="D105">
        <v>5.253734948</v>
      </c>
    </row>
    <row r="106" spans="1:4" x14ac:dyDescent="0.25">
      <c r="A106">
        <v>3.6000000000000007E-6</v>
      </c>
      <c r="B106">
        <v>1</v>
      </c>
      <c r="C106">
        <v>3.6000000000000007E-6</v>
      </c>
      <c r="D106">
        <v>5.2200064779999993</v>
      </c>
    </row>
    <row r="107" spans="1:4" x14ac:dyDescent="0.25">
      <c r="A107">
        <v>1.4400000000000003E-5</v>
      </c>
      <c r="B107">
        <v>0</v>
      </c>
      <c r="C107">
        <v>1.4400000000000003E-5</v>
      </c>
      <c r="D107">
        <v>1.043840707</v>
      </c>
    </row>
    <row r="108" spans="1:4" x14ac:dyDescent="0.25">
      <c r="A108">
        <v>2.0000000000000003E-6</v>
      </c>
      <c r="B108">
        <v>0</v>
      </c>
      <c r="C108">
        <v>2.0000000000000003E-6</v>
      </c>
      <c r="D108">
        <v>0.75212274219999997</v>
      </c>
    </row>
    <row r="109" spans="1:4" x14ac:dyDescent="0.25">
      <c r="A109">
        <v>9.0000000000000017E-7</v>
      </c>
      <c r="B109">
        <v>0</v>
      </c>
      <c r="C109">
        <v>9.0000000000000017E-7</v>
      </c>
      <c r="D109">
        <v>0.4856998595</v>
      </c>
    </row>
    <row r="110" spans="1:4" x14ac:dyDescent="0.25">
      <c r="A110">
        <v>1.7100000000000002E-5</v>
      </c>
      <c r="B110">
        <v>0</v>
      </c>
      <c r="C110">
        <v>1.7100000000000002E-5</v>
      </c>
      <c r="D110">
        <v>0.10569063675000001</v>
      </c>
    </row>
    <row r="115" spans="1:4" x14ac:dyDescent="0.25">
      <c r="A115">
        <v>2.0000000000000003E-6</v>
      </c>
      <c r="B115">
        <v>1</v>
      </c>
      <c r="C115">
        <v>2.0000000000000003E-6</v>
      </c>
      <c r="D115">
        <v>5.1484941119999998</v>
      </c>
    </row>
    <row r="116" spans="1:4" x14ac:dyDescent="0.25">
      <c r="A116">
        <v>3.6000000000000007E-6</v>
      </c>
      <c r="B116">
        <v>1</v>
      </c>
      <c r="C116">
        <v>3.6000000000000007E-6</v>
      </c>
      <c r="D116">
        <v>5.1369156820000006</v>
      </c>
    </row>
    <row r="117" spans="1:4" x14ac:dyDescent="0.25">
      <c r="A117">
        <v>1.4400000000000003E-5</v>
      </c>
      <c r="B117">
        <v>0</v>
      </c>
      <c r="C117">
        <v>1.4400000000000003E-5</v>
      </c>
      <c r="D117">
        <v>1.0355578329999999</v>
      </c>
    </row>
    <row r="118" spans="1:4" x14ac:dyDescent="0.25">
      <c r="A118">
        <v>2.0000000000000003E-6</v>
      </c>
      <c r="B118">
        <v>0</v>
      </c>
      <c r="C118">
        <v>2.0000000000000003E-6</v>
      </c>
      <c r="D118">
        <v>0.73633661680000007</v>
      </c>
    </row>
    <row r="119" spans="1:4" x14ac:dyDescent="0.25">
      <c r="A119">
        <v>9.0000000000000017E-7</v>
      </c>
      <c r="B119">
        <v>0</v>
      </c>
      <c r="C119">
        <v>9.0000000000000017E-7</v>
      </c>
      <c r="D119">
        <v>0.43960341800000002</v>
      </c>
    </row>
    <row r="120" spans="1:4" x14ac:dyDescent="0.25">
      <c r="A120">
        <v>1.7100000000000002E-5</v>
      </c>
      <c r="B120">
        <v>0</v>
      </c>
      <c r="C120">
        <v>1.7100000000000002E-5</v>
      </c>
      <c r="D120">
        <v>0.10400291700000003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Масса исп.</vt:lpstr>
      <vt:lpstr>Масса ОВ</vt:lpstr>
      <vt:lpstr>Сценарии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Kuznetsov</dc:creator>
  <cp:lastModifiedBy>User</cp:lastModifiedBy>
  <cp:lastPrinted>2024-02-07T13:21:46Z</cp:lastPrinted>
  <dcterms:created xsi:type="dcterms:W3CDTF">2015-06-05T18:19:34Z</dcterms:created>
  <dcterms:modified xsi:type="dcterms:W3CDTF">2024-02-11T19:25:27Z</dcterms:modified>
</cp:coreProperties>
</file>