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ЭтаКнига"/>
  <mc:AlternateContent xmlns:mc="http://schemas.openxmlformats.org/markup-compatibility/2006">
    <mc:Choice Requires="x15">
      <x15ac:absPath xmlns:x15ac="http://schemas.microsoft.com/office/spreadsheetml/2010/11/ac" url="C:\python\risk_analysis\"/>
    </mc:Choice>
  </mc:AlternateContent>
  <xr:revisionPtr revIDLastSave="0" documentId="13_ncr:1_{3BC46FEF-BADA-437B-BEAB-D69DCD4443F8}" xr6:coauthVersionLast="47" xr6:coauthVersionMax="47" xr10:uidLastSave="{00000000-0000-0000-0000-000000000000}"/>
  <bookViews>
    <workbookView xWindow="-108" yWindow="-108" windowWidth="41496" windowHeight="16896" tabRatio="904" activeTab="2" xr2:uid="{00000000-000D-0000-FFFF-FFFF00000000}"/>
  </bookViews>
  <sheets>
    <sheet name="DB" sheetId="28" r:id="rId1"/>
    <sheet name="Масса ОВ" sheetId="24" r:id="rId2"/>
    <sheet name="Расчет" sheetId="40" r:id="rId3"/>
    <sheet name="FN_FG" sheetId="25" r:id="rId4"/>
    <sheet name="Масса исп." sheetId="1" r:id="rId5"/>
    <sheet name="Сценарии" sheetId="2" r:id="rId6"/>
    <sheet name="Частоты аварий" sheetId="38" r:id="rId7"/>
    <sheet name="дБR, ppm" sheetId="8" r:id="rId8"/>
    <sheet name="Погода 2023 (Казань)" sheetId="36" r:id="rId9"/>
    <sheet name="Статистика аварий" sheetId="35" r:id="rId10"/>
  </sheets>
  <externalReferences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83" i="40" l="1"/>
  <c r="J173" i="40"/>
  <c r="J286" i="40"/>
  <c r="AU286" i="40" s="1"/>
  <c r="AS287" i="40"/>
  <c r="AN287" i="40"/>
  <c r="AM287" i="40"/>
  <c r="AQ287" i="40" s="1"/>
  <c r="AL287" i="40"/>
  <c r="O287" i="40"/>
  <c r="M287" i="40"/>
  <c r="I287" i="40"/>
  <c r="F287" i="40"/>
  <c r="H287" i="40" s="1"/>
  <c r="E287" i="40"/>
  <c r="B287" i="40"/>
  <c r="N287" i="40" s="1"/>
  <c r="AS286" i="40"/>
  <c r="AN286" i="40"/>
  <c r="AM286" i="40"/>
  <c r="AQ286" i="40" s="1"/>
  <c r="AL286" i="40"/>
  <c r="O286" i="40"/>
  <c r="N286" i="40"/>
  <c r="M286" i="40"/>
  <c r="I286" i="40"/>
  <c r="F286" i="40"/>
  <c r="E286" i="40"/>
  <c r="H286" i="40" s="1"/>
  <c r="B286" i="40"/>
  <c r="AS285" i="40"/>
  <c r="AN285" i="40"/>
  <c r="AM285" i="40"/>
  <c r="AL285" i="40"/>
  <c r="O285" i="40"/>
  <c r="M285" i="40"/>
  <c r="I285" i="40"/>
  <c r="J285" i="40" s="1"/>
  <c r="AU285" i="40" s="1"/>
  <c r="F285" i="40"/>
  <c r="H285" i="40" s="1"/>
  <c r="B285" i="40"/>
  <c r="N285" i="40" s="1"/>
  <c r="AU284" i="40"/>
  <c r="AS284" i="40"/>
  <c r="AN284" i="40"/>
  <c r="AM284" i="40"/>
  <c r="AQ284" i="40" s="1"/>
  <c r="AL284" i="40"/>
  <c r="O284" i="40"/>
  <c r="M284" i="40"/>
  <c r="I284" i="40"/>
  <c r="F284" i="40"/>
  <c r="E284" i="40"/>
  <c r="H284" i="40" s="1"/>
  <c r="B284" i="40"/>
  <c r="N284" i="40" s="1"/>
  <c r="AU283" i="40"/>
  <c r="AS283" i="40"/>
  <c r="AQ283" i="40"/>
  <c r="AN283" i="40"/>
  <c r="AM283" i="40"/>
  <c r="AL283" i="40"/>
  <c r="O283" i="40"/>
  <c r="M283" i="40"/>
  <c r="I283" i="40"/>
  <c r="H283" i="40"/>
  <c r="AX283" i="40" s="1"/>
  <c r="BA283" i="40" s="1"/>
  <c r="F283" i="40"/>
  <c r="E283" i="40"/>
  <c r="B283" i="40"/>
  <c r="N283" i="40" s="1"/>
  <c r="AW282" i="40"/>
  <c r="AZ282" i="40" s="1"/>
  <c r="AS282" i="40"/>
  <c r="AQ282" i="40"/>
  <c r="AR282" i="40" s="1"/>
  <c r="O282" i="40"/>
  <c r="N282" i="40"/>
  <c r="M282" i="40"/>
  <c r="J282" i="40"/>
  <c r="AU282" i="40" s="1"/>
  <c r="H282" i="40"/>
  <c r="AX282" i="40" s="1"/>
  <c r="BA282" i="40" s="1"/>
  <c r="J256" i="2"/>
  <c r="AS257" i="2"/>
  <c r="AN257" i="2"/>
  <c r="AM257" i="2"/>
  <c r="AQ257" i="2" s="1"/>
  <c r="AL257" i="2"/>
  <c r="O257" i="2"/>
  <c r="N257" i="2"/>
  <c r="M257" i="2"/>
  <c r="I257" i="2"/>
  <c r="F257" i="2"/>
  <c r="E257" i="2"/>
  <c r="H257" i="2" s="1"/>
  <c r="B257" i="2"/>
  <c r="AU256" i="2"/>
  <c r="AS256" i="2"/>
  <c r="AN256" i="2"/>
  <c r="AM256" i="2"/>
  <c r="AL256" i="2"/>
  <c r="O256" i="2"/>
  <c r="M256" i="2"/>
  <c r="AU257" i="2"/>
  <c r="I256" i="2"/>
  <c r="AQ256" i="2" s="1"/>
  <c r="F256" i="2"/>
  <c r="E256" i="2"/>
  <c r="H256" i="2" s="1"/>
  <c r="B256" i="2"/>
  <c r="N256" i="2" s="1"/>
  <c r="AS255" i="2"/>
  <c r="AN255" i="2"/>
  <c r="AM255" i="2"/>
  <c r="AL255" i="2"/>
  <c r="O255" i="2"/>
  <c r="N255" i="2"/>
  <c r="M255" i="2"/>
  <c r="J255" i="2"/>
  <c r="AU255" i="2" s="1"/>
  <c r="I255" i="2"/>
  <c r="AQ255" i="2" s="1"/>
  <c r="H255" i="2"/>
  <c r="AW255" i="2" s="1"/>
  <c r="AZ255" i="2" s="1"/>
  <c r="F255" i="2"/>
  <c r="B255" i="2"/>
  <c r="AU254" i="2"/>
  <c r="AS254" i="2"/>
  <c r="AQ254" i="2"/>
  <c r="AN254" i="2"/>
  <c r="AM254" i="2"/>
  <c r="AL254" i="2"/>
  <c r="O254" i="2"/>
  <c r="M254" i="2"/>
  <c r="I254" i="2"/>
  <c r="H254" i="2"/>
  <c r="F254" i="2"/>
  <c r="E254" i="2"/>
  <c r="B254" i="2"/>
  <c r="N254" i="2" s="1"/>
  <c r="AU253" i="2"/>
  <c r="AS253" i="2"/>
  <c r="AN253" i="2"/>
  <c r="AM253" i="2"/>
  <c r="AQ253" i="2" s="1"/>
  <c r="AL253" i="2"/>
  <c r="O253" i="2"/>
  <c r="N253" i="2"/>
  <c r="M253" i="2"/>
  <c r="I253" i="2"/>
  <c r="F253" i="2"/>
  <c r="E253" i="2"/>
  <c r="H253" i="2" s="1"/>
  <c r="B253" i="2"/>
  <c r="AZ252" i="2"/>
  <c r="AW252" i="2"/>
  <c r="AS252" i="2"/>
  <c r="AQ252" i="2"/>
  <c r="O252" i="2"/>
  <c r="N252" i="2"/>
  <c r="M252" i="2"/>
  <c r="J252" i="2"/>
  <c r="AU252" i="2" s="1"/>
  <c r="H252" i="2"/>
  <c r="AX252" i="2" s="1"/>
  <c r="BA252" i="2" s="1"/>
  <c r="Y10" i="24"/>
  <c r="J273" i="40"/>
  <c r="AS279" i="40"/>
  <c r="AQ279" i="40"/>
  <c r="AR279" i="40" s="1"/>
  <c r="AT279" i="40" s="1"/>
  <c r="AN279" i="40"/>
  <c r="AM279" i="40"/>
  <c r="AL279" i="40"/>
  <c r="O279" i="40"/>
  <c r="M279" i="40"/>
  <c r="I279" i="40"/>
  <c r="F279" i="40"/>
  <c r="H279" i="40" s="1"/>
  <c r="E279" i="40"/>
  <c r="B279" i="40"/>
  <c r="N279" i="40" s="1"/>
  <c r="AS278" i="40"/>
  <c r="AN278" i="40"/>
  <c r="AM278" i="40"/>
  <c r="AQ278" i="40" s="1"/>
  <c r="AL278" i="40"/>
  <c r="O278" i="40"/>
  <c r="M278" i="40"/>
  <c r="J278" i="40"/>
  <c r="AU278" i="40" s="1"/>
  <c r="I278" i="40"/>
  <c r="F278" i="40"/>
  <c r="E278" i="40"/>
  <c r="H278" i="40" s="1"/>
  <c r="B278" i="40"/>
  <c r="N278" i="40" s="1"/>
  <c r="AS277" i="40"/>
  <c r="AM277" i="40"/>
  <c r="AL277" i="40"/>
  <c r="O277" i="40"/>
  <c r="M277" i="40"/>
  <c r="I277" i="40"/>
  <c r="J277" i="40" s="1"/>
  <c r="AU277" i="40" s="1"/>
  <c r="E277" i="40"/>
  <c r="B277" i="40"/>
  <c r="N277" i="40" s="1"/>
  <c r="AS276" i="40"/>
  <c r="AQ276" i="40"/>
  <c r="AR276" i="40" s="1"/>
  <c r="AT276" i="40" s="1"/>
  <c r="AN276" i="40"/>
  <c r="AN277" i="40" s="1"/>
  <c r="AM276" i="40"/>
  <c r="AL276" i="40"/>
  <c r="O276" i="40"/>
  <c r="M276" i="40"/>
  <c r="I276" i="40"/>
  <c r="J276" i="40" s="1"/>
  <c r="AU276" i="40" s="1"/>
  <c r="AV276" i="40" s="1"/>
  <c r="H276" i="40"/>
  <c r="AW276" i="40" s="1"/>
  <c r="AZ276" i="40" s="1"/>
  <c r="F276" i="40"/>
  <c r="B276" i="40"/>
  <c r="N276" i="40" s="1"/>
  <c r="AS275" i="40"/>
  <c r="AN275" i="40"/>
  <c r="AM275" i="40"/>
  <c r="AQ275" i="40" s="1"/>
  <c r="AL275" i="40"/>
  <c r="O275" i="40"/>
  <c r="M275" i="40"/>
  <c r="I275" i="40"/>
  <c r="F275" i="40"/>
  <c r="E275" i="40"/>
  <c r="B275" i="40"/>
  <c r="N275" i="40" s="1"/>
  <c r="AU274" i="40"/>
  <c r="AS274" i="40"/>
  <c r="AN274" i="40"/>
  <c r="AM274" i="40"/>
  <c r="AL274" i="40"/>
  <c r="O274" i="40"/>
  <c r="M274" i="40"/>
  <c r="J274" i="40"/>
  <c r="I274" i="40"/>
  <c r="AQ274" i="40" s="1"/>
  <c r="F274" i="40"/>
  <c r="H274" i="40" s="1"/>
  <c r="AW274" i="40" s="1"/>
  <c r="AZ274" i="40" s="1"/>
  <c r="E274" i="40"/>
  <c r="B274" i="40"/>
  <c r="N274" i="40" s="1"/>
  <c r="AU273" i="40"/>
  <c r="AS273" i="40"/>
  <c r="AN273" i="40"/>
  <c r="AM273" i="40"/>
  <c r="AQ273" i="40" s="1"/>
  <c r="AL273" i="40"/>
  <c r="O273" i="40"/>
  <c r="N273" i="40"/>
  <c r="M273" i="40"/>
  <c r="AU275" i="40"/>
  <c r="I273" i="40"/>
  <c r="F273" i="40"/>
  <c r="H273" i="40" s="1"/>
  <c r="E273" i="40"/>
  <c r="B273" i="40"/>
  <c r="AS272" i="40"/>
  <c r="AR272" i="40"/>
  <c r="AT272" i="40" s="1"/>
  <c r="AQ272" i="40"/>
  <c r="O272" i="40"/>
  <c r="N272" i="40"/>
  <c r="M272" i="40"/>
  <c r="J272" i="40"/>
  <c r="AU272" i="40" s="1"/>
  <c r="H272" i="40"/>
  <c r="AW272" i="40" s="1"/>
  <c r="AZ272" i="40" s="1"/>
  <c r="AS269" i="40"/>
  <c r="AQ269" i="40"/>
  <c r="AR269" i="40" s="1"/>
  <c r="AT269" i="40" s="1"/>
  <c r="AN269" i="40"/>
  <c r="AM269" i="40"/>
  <c r="AL269" i="40"/>
  <c r="O269" i="40"/>
  <c r="M269" i="40"/>
  <c r="I269" i="40"/>
  <c r="F269" i="40"/>
  <c r="H269" i="40" s="1"/>
  <c r="E269" i="40"/>
  <c r="B269" i="40"/>
  <c r="N269" i="40" s="1"/>
  <c r="AS268" i="40"/>
  <c r="AN268" i="40"/>
  <c r="AM268" i="40"/>
  <c r="AQ268" i="40" s="1"/>
  <c r="AL268" i="40"/>
  <c r="O268" i="40"/>
  <c r="M268" i="40"/>
  <c r="J268" i="40"/>
  <c r="AU268" i="40" s="1"/>
  <c r="I268" i="40"/>
  <c r="F268" i="40"/>
  <c r="E268" i="40"/>
  <c r="B268" i="40"/>
  <c r="N268" i="40" s="1"/>
  <c r="AS267" i="40"/>
  <c r="AM267" i="40"/>
  <c r="AL267" i="40"/>
  <c r="O267" i="40"/>
  <c r="M267" i="40"/>
  <c r="I267" i="40"/>
  <c r="AQ267" i="40" s="1"/>
  <c r="E267" i="40"/>
  <c r="B267" i="40"/>
  <c r="N267" i="40" s="1"/>
  <c r="AS266" i="40"/>
  <c r="AN266" i="40"/>
  <c r="AN267" i="40" s="1"/>
  <c r="AM266" i="40"/>
  <c r="AL266" i="40"/>
  <c r="O266" i="40"/>
  <c r="M266" i="40"/>
  <c r="I266" i="40"/>
  <c r="J266" i="40" s="1"/>
  <c r="AU266" i="40" s="1"/>
  <c r="F266" i="40"/>
  <c r="H266" i="40" s="1"/>
  <c r="AW266" i="40" s="1"/>
  <c r="AZ266" i="40" s="1"/>
  <c r="B266" i="40"/>
  <c r="N266" i="40" s="1"/>
  <c r="AS265" i="40"/>
  <c r="AN265" i="40"/>
  <c r="AM265" i="40"/>
  <c r="AQ265" i="40" s="1"/>
  <c r="AL265" i="40"/>
  <c r="O265" i="40"/>
  <c r="M265" i="40"/>
  <c r="I265" i="40"/>
  <c r="F265" i="40"/>
  <c r="E265" i="40"/>
  <c r="B265" i="40"/>
  <c r="N265" i="40" s="1"/>
  <c r="AU264" i="40"/>
  <c r="AS264" i="40"/>
  <c r="AN264" i="40"/>
  <c r="AM264" i="40"/>
  <c r="AL264" i="40"/>
  <c r="O264" i="40"/>
  <c r="N264" i="40"/>
  <c r="M264" i="40"/>
  <c r="J264" i="40"/>
  <c r="I264" i="40"/>
  <c r="AQ264" i="40" s="1"/>
  <c r="F264" i="40"/>
  <c r="H264" i="40" s="1"/>
  <c r="AW264" i="40" s="1"/>
  <c r="AZ264" i="40" s="1"/>
  <c r="E264" i="40"/>
  <c r="B264" i="40"/>
  <c r="AU263" i="40"/>
  <c r="AS263" i="40"/>
  <c r="AN263" i="40"/>
  <c r="AM263" i="40"/>
  <c r="AQ263" i="40" s="1"/>
  <c r="AL263" i="40"/>
  <c r="O263" i="40"/>
  <c r="M263" i="40"/>
  <c r="J263" i="40"/>
  <c r="AU265" i="40" s="1"/>
  <c r="I263" i="40"/>
  <c r="F263" i="40"/>
  <c r="F267" i="40" s="1"/>
  <c r="E263" i="40"/>
  <c r="B263" i="40"/>
  <c r="N263" i="40" s="1"/>
  <c r="AS262" i="40"/>
  <c r="AR262" i="40"/>
  <c r="AT262" i="40" s="1"/>
  <c r="AQ262" i="40"/>
  <c r="O262" i="40"/>
  <c r="N262" i="40"/>
  <c r="M262" i="40"/>
  <c r="J262" i="40"/>
  <c r="AU262" i="40" s="1"/>
  <c r="H262" i="40"/>
  <c r="AW262" i="40" s="1"/>
  <c r="AZ262" i="40" s="1"/>
  <c r="AS259" i="40"/>
  <c r="AN259" i="40"/>
  <c r="AM259" i="40"/>
  <c r="AL259" i="40"/>
  <c r="O259" i="40"/>
  <c r="M259" i="40"/>
  <c r="I259" i="40"/>
  <c r="F259" i="40"/>
  <c r="H259" i="40" s="1"/>
  <c r="E259" i="40"/>
  <c r="B259" i="40"/>
  <c r="N259" i="40" s="1"/>
  <c r="AS258" i="40"/>
  <c r="AN258" i="40"/>
  <c r="AM258" i="40"/>
  <c r="AL258" i="40"/>
  <c r="O258" i="40"/>
  <c r="M258" i="40"/>
  <c r="I258" i="40"/>
  <c r="F258" i="40"/>
  <c r="E258" i="40"/>
  <c r="H258" i="40" s="1"/>
  <c r="B258" i="40"/>
  <c r="N258" i="40" s="1"/>
  <c r="AU257" i="40"/>
  <c r="AS257" i="40"/>
  <c r="AM257" i="40"/>
  <c r="AL257" i="40"/>
  <c r="O257" i="40"/>
  <c r="M257" i="40"/>
  <c r="H257" i="40"/>
  <c r="AX257" i="40" s="1"/>
  <c r="BA257" i="40" s="1"/>
  <c r="E257" i="40"/>
  <c r="B257" i="40"/>
  <c r="N257" i="40" s="1"/>
  <c r="AS256" i="40"/>
  <c r="AN256" i="40"/>
  <c r="AN257" i="40" s="1"/>
  <c r="AM256" i="40"/>
  <c r="AL256" i="40"/>
  <c r="O256" i="40"/>
  <c r="M256" i="40"/>
  <c r="I256" i="40"/>
  <c r="I257" i="40" s="1"/>
  <c r="AQ257" i="40" s="1"/>
  <c r="H256" i="40"/>
  <c r="F256" i="40"/>
  <c r="B256" i="40"/>
  <c r="N256" i="40" s="1"/>
  <c r="AS255" i="40"/>
  <c r="AN255" i="40"/>
  <c r="AM255" i="40"/>
  <c r="AL255" i="40"/>
  <c r="O255" i="40"/>
  <c r="M255" i="40"/>
  <c r="I255" i="40"/>
  <c r="F255" i="40"/>
  <c r="E255" i="40"/>
  <c r="H255" i="40" s="1"/>
  <c r="B255" i="40"/>
  <c r="N255" i="40" s="1"/>
  <c r="AS254" i="40"/>
  <c r="AN254" i="40"/>
  <c r="AM254" i="40"/>
  <c r="AQ254" i="40" s="1"/>
  <c r="AL254" i="40"/>
  <c r="O254" i="40"/>
  <c r="M254" i="40"/>
  <c r="J254" i="40"/>
  <c r="J258" i="40" s="1"/>
  <c r="I254" i="40"/>
  <c r="F254" i="40"/>
  <c r="E254" i="40"/>
  <c r="H254" i="40" s="1"/>
  <c r="B254" i="40"/>
  <c r="N254" i="40" s="1"/>
  <c r="AU253" i="40"/>
  <c r="AS253" i="40"/>
  <c r="AN253" i="40"/>
  <c r="AM253" i="40"/>
  <c r="AL253" i="40"/>
  <c r="O253" i="40"/>
  <c r="M253" i="40"/>
  <c r="J253" i="40"/>
  <c r="AU255" i="40" s="1"/>
  <c r="I253" i="40"/>
  <c r="AQ253" i="40" s="1"/>
  <c r="F253" i="40"/>
  <c r="H253" i="40" s="1"/>
  <c r="E253" i="40"/>
  <c r="B253" i="40"/>
  <c r="N253" i="40" s="1"/>
  <c r="AS252" i="40"/>
  <c r="AR252" i="40"/>
  <c r="AT252" i="40" s="1"/>
  <c r="AQ252" i="40"/>
  <c r="O252" i="40"/>
  <c r="N252" i="40"/>
  <c r="M252" i="40"/>
  <c r="J252" i="40"/>
  <c r="AU254" i="40" s="1"/>
  <c r="H252" i="40"/>
  <c r="AW252" i="40" s="1"/>
  <c r="AZ252" i="40" s="1"/>
  <c r="AS249" i="40"/>
  <c r="AN249" i="40"/>
  <c r="AM249" i="40"/>
  <c r="AL249" i="40"/>
  <c r="O249" i="40"/>
  <c r="M249" i="40"/>
  <c r="I249" i="40"/>
  <c r="AQ249" i="40" s="1"/>
  <c r="AR249" i="40" s="1"/>
  <c r="AT249" i="40" s="1"/>
  <c r="F249" i="40"/>
  <c r="H249" i="40" s="1"/>
  <c r="E249" i="40"/>
  <c r="B249" i="40"/>
  <c r="N249" i="40" s="1"/>
  <c r="AS248" i="40"/>
  <c r="AN248" i="40"/>
  <c r="AM248" i="40"/>
  <c r="AL248" i="40"/>
  <c r="O248" i="40"/>
  <c r="M248" i="40"/>
  <c r="I248" i="40"/>
  <c r="E248" i="40"/>
  <c r="B248" i="40"/>
  <c r="N248" i="40" s="1"/>
  <c r="AS247" i="40"/>
  <c r="AM247" i="40"/>
  <c r="AL247" i="40"/>
  <c r="O247" i="40"/>
  <c r="M247" i="40"/>
  <c r="E247" i="40"/>
  <c r="B247" i="40"/>
  <c r="N247" i="40" s="1"/>
  <c r="AS246" i="40"/>
  <c r="AN246" i="40"/>
  <c r="AN247" i="40" s="1"/>
  <c r="AM246" i="40"/>
  <c r="AL246" i="40"/>
  <c r="O246" i="40"/>
  <c r="M246" i="40"/>
  <c r="I246" i="40"/>
  <c r="AQ246" i="40" s="1"/>
  <c r="B246" i="40"/>
  <c r="N246" i="40" s="1"/>
  <c r="AS245" i="40"/>
  <c r="AN245" i="40"/>
  <c r="AM245" i="40"/>
  <c r="AL245" i="40"/>
  <c r="O245" i="40"/>
  <c r="M245" i="40"/>
  <c r="I245" i="40"/>
  <c r="E245" i="40"/>
  <c r="B245" i="40"/>
  <c r="N245" i="40" s="1"/>
  <c r="AU244" i="40"/>
  <c r="AS244" i="40"/>
  <c r="AN244" i="40"/>
  <c r="AM244" i="40"/>
  <c r="AL244" i="40"/>
  <c r="O244" i="40"/>
  <c r="N244" i="40"/>
  <c r="M244" i="40"/>
  <c r="J244" i="40"/>
  <c r="J248" i="40" s="1"/>
  <c r="AU248" i="40" s="1"/>
  <c r="I244" i="40"/>
  <c r="AQ244" i="40" s="1"/>
  <c r="E244" i="40"/>
  <c r="B244" i="40"/>
  <c r="AS243" i="40"/>
  <c r="AN243" i="40"/>
  <c r="AM243" i="40"/>
  <c r="AL243" i="40"/>
  <c r="O243" i="40"/>
  <c r="N243" i="40"/>
  <c r="M243" i="40"/>
  <c r="J243" i="40"/>
  <c r="AU245" i="40" s="1"/>
  <c r="I243" i="40"/>
  <c r="F243" i="40"/>
  <c r="H243" i="40" s="1"/>
  <c r="E243" i="40"/>
  <c r="B243" i="40"/>
  <c r="AS242" i="40"/>
  <c r="AQ242" i="40"/>
  <c r="AR242" i="40" s="1"/>
  <c r="AT242" i="40" s="1"/>
  <c r="O242" i="40"/>
  <c r="N242" i="40"/>
  <c r="M242" i="40"/>
  <c r="J242" i="40"/>
  <c r="AU242" i="40" s="1"/>
  <c r="F246" i="40"/>
  <c r="H246" i="40" s="1"/>
  <c r="AS239" i="40"/>
  <c r="AN239" i="40"/>
  <c r="AM239" i="40"/>
  <c r="AL239" i="40"/>
  <c r="O239" i="40"/>
  <c r="M239" i="40"/>
  <c r="I239" i="40"/>
  <c r="F239" i="40"/>
  <c r="H239" i="40" s="1"/>
  <c r="E239" i="40"/>
  <c r="B239" i="40"/>
  <c r="N239" i="40" s="1"/>
  <c r="AS238" i="40"/>
  <c r="AN238" i="40"/>
  <c r="AM238" i="40"/>
  <c r="AL238" i="40"/>
  <c r="O238" i="40"/>
  <c r="M238" i="40"/>
  <c r="I238" i="40"/>
  <c r="E238" i="40"/>
  <c r="B238" i="40"/>
  <c r="N238" i="40" s="1"/>
  <c r="AS237" i="40"/>
  <c r="AM237" i="40"/>
  <c r="AL237" i="40"/>
  <c r="O237" i="40"/>
  <c r="M237" i="40"/>
  <c r="I237" i="40"/>
  <c r="J237" i="40" s="1"/>
  <c r="AU237" i="40" s="1"/>
  <c r="E237" i="40"/>
  <c r="B237" i="40"/>
  <c r="N237" i="40" s="1"/>
  <c r="AS236" i="40"/>
  <c r="AN236" i="40"/>
  <c r="AN237" i="40" s="1"/>
  <c r="AM236" i="40"/>
  <c r="AQ236" i="40" s="1"/>
  <c r="AL236" i="40"/>
  <c r="O236" i="40"/>
  <c r="M236" i="40"/>
  <c r="J236" i="40"/>
  <c r="AU236" i="40" s="1"/>
  <c r="I236" i="40"/>
  <c r="B236" i="40"/>
  <c r="N236" i="40" s="1"/>
  <c r="AS235" i="40"/>
  <c r="AN235" i="40"/>
  <c r="AM235" i="40"/>
  <c r="AL235" i="40"/>
  <c r="O235" i="40"/>
  <c r="M235" i="40"/>
  <c r="I235" i="40"/>
  <c r="AQ235" i="40" s="1"/>
  <c r="F235" i="40"/>
  <c r="H235" i="40" s="1"/>
  <c r="E235" i="40"/>
  <c r="B235" i="40"/>
  <c r="N235" i="40" s="1"/>
  <c r="AS234" i="40"/>
  <c r="AN234" i="40"/>
  <c r="AM234" i="40"/>
  <c r="AQ234" i="40" s="1"/>
  <c r="AL234" i="40"/>
  <c r="O234" i="40"/>
  <c r="N234" i="40"/>
  <c r="M234" i="40"/>
  <c r="J234" i="40"/>
  <c r="J238" i="40" s="1"/>
  <c r="AU238" i="40" s="1"/>
  <c r="I234" i="40"/>
  <c r="E234" i="40"/>
  <c r="B234" i="40"/>
  <c r="AS233" i="40"/>
  <c r="AN233" i="40"/>
  <c r="AM233" i="40"/>
  <c r="AL233" i="40"/>
  <c r="O233" i="40"/>
  <c r="M233" i="40"/>
  <c r="J233" i="40"/>
  <c r="AU235" i="40" s="1"/>
  <c r="I233" i="40"/>
  <c r="F233" i="40"/>
  <c r="F237" i="40" s="1"/>
  <c r="H237" i="40" s="1"/>
  <c r="E233" i="40"/>
  <c r="B233" i="40"/>
  <c r="N233" i="40" s="1"/>
  <c r="AS232" i="40"/>
  <c r="AR232" i="40"/>
  <c r="AT232" i="40" s="1"/>
  <c r="AQ232" i="40"/>
  <c r="O232" i="40"/>
  <c r="N232" i="40"/>
  <c r="M232" i="40"/>
  <c r="J232" i="40"/>
  <c r="AU232" i="40" s="1"/>
  <c r="AV232" i="40" s="1"/>
  <c r="H232" i="40"/>
  <c r="F236" i="40"/>
  <c r="H236" i="40" s="1"/>
  <c r="AS229" i="40"/>
  <c r="AN229" i="40"/>
  <c r="AM229" i="40"/>
  <c r="AL229" i="40"/>
  <c r="O229" i="40"/>
  <c r="M229" i="40"/>
  <c r="I229" i="40"/>
  <c r="AQ229" i="40" s="1"/>
  <c r="F229" i="40"/>
  <c r="H229" i="40" s="1"/>
  <c r="E229" i="40"/>
  <c r="B229" i="40"/>
  <c r="N229" i="40" s="1"/>
  <c r="AS228" i="40"/>
  <c r="AN228" i="40"/>
  <c r="AM228" i="40"/>
  <c r="AL228" i="40"/>
  <c r="O228" i="40"/>
  <c r="M228" i="40"/>
  <c r="I228" i="40"/>
  <c r="E228" i="40"/>
  <c r="B228" i="40"/>
  <c r="N228" i="40" s="1"/>
  <c r="AS227" i="40"/>
  <c r="AM227" i="40"/>
  <c r="AL227" i="40"/>
  <c r="O227" i="40"/>
  <c r="M227" i="40"/>
  <c r="E227" i="40"/>
  <c r="B227" i="40"/>
  <c r="N227" i="40" s="1"/>
  <c r="AS226" i="40"/>
  <c r="AN226" i="40"/>
  <c r="AN227" i="40" s="1"/>
  <c r="AM226" i="40"/>
  <c r="AL226" i="40"/>
  <c r="O226" i="40"/>
  <c r="M226" i="40"/>
  <c r="I226" i="40"/>
  <c r="AQ226" i="40" s="1"/>
  <c r="B226" i="40"/>
  <c r="N226" i="40" s="1"/>
  <c r="AS225" i="40"/>
  <c r="AN225" i="40"/>
  <c r="AM225" i="40"/>
  <c r="AL225" i="40"/>
  <c r="O225" i="40"/>
  <c r="M225" i="40"/>
  <c r="I225" i="40"/>
  <c r="F225" i="40"/>
  <c r="E225" i="40"/>
  <c r="B225" i="40"/>
  <c r="N225" i="40" s="1"/>
  <c r="AS224" i="40"/>
  <c r="AN224" i="40"/>
  <c r="AM224" i="40"/>
  <c r="AL224" i="40"/>
  <c r="O224" i="40"/>
  <c r="N224" i="40"/>
  <c r="M224" i="40"/>
  <c r="J224" i="40"/>
  <c r="J228" i="40" s="1"/>
  <c r="AU228" i="40" s="1"/>
  <c r="I224" i="40"/>
  <c r="AQ224" i="40" s="1"/>
  <c r="E224" i="40"/>
  <c r="B224" i="40"/>
  <c r="AS223" i="40"/>
  <c r="AN223" i="40"/>
  <c r="AM223" i="40"/>
  <c r="AL223" i="40"/>
  <c r="O223" i="40"/>
  <c r="M223" i="40"/>
  <c r="J223" i="40"/>
  <c r="AU225" i="40" s="1"/>
  <c r="I223" i="40"/>
  <c r="F223" i="40"/>
  <c r="F227" i="40" s="1"/>
  <c r="E223" i="40"/>
  <c r="B223" i="40"/>
  <c r="N223" i="40" s="1"/>
  <c r="AS222" i="40"/>
  <c r="AR222" i="40"/>
  <c r="AT222" i="40" s="1"/>
  <c r="AQ222" i="40"/>
  <c r="O222" i="40"/>
  <c r="N222" i="40"/>
  <c r="M222" i="40"/>
  <c r="J222" i="40"/>
  <c r="AU222" i="40" s="1"/>
  <c r="H222" i="40"/>
  <c r="F226" i="40"/>
  <c r="H226" i="40" s="1"/>
  <c r="AS219" i="40"/>
  <c r="AN219" i="40"/>
  <c r="AM219" i="40"/>
  <c r="AQ219" i="40" s="1"/>
  <c r="AL219" i="40"/>
  <c r="O219" i="40"/>
  <c r="M219" i="40"/>
  <c r="I219" i="40"/>
  <c r="F219" i="40"/>
  <c r="E219" i="40"/>
  <c r="B219" i="40"/>
  <c r="N219" i="40" s="1"/>
  <c r="AS218" i="40"/>
  <c r="AN218" i="40"/>
  <c r="AM218" i="40"/>
  <c r="AL218" i="40"/>
  <c r="O218" i="40"/>
  <c r="M218" i="40"/>
  <c r="J218" i="40"/>
  <c r="AU218" i="40" s="1"/>
  <c r="I218" i="40"/>
  <c r="AQ218" i="40" s="1"/>
  <c r="E218" i="40"/>
  <c r="B218" i="40"/>
  <c r="N218" i="40" s="1"/>
  <c r="AS217" i="40"/>
  <c r="AM217" i="40"/>
  <c r="AL217" i="40"/>
  <c r="O217" i="40"/>
  <c r="M217" i="40"/>
  <c r="I217" i="40"/>
  <c r="AQ217" i="40" s="1"/>
  <c r="E217" i="40"/>
  <c r="B217" i="40"/>
  <c r="N217" i="40" s="1"/>
  <c r="AS216" i="40"/>
  <c r="AN216" i="40"/>
  <c r="AN217" i="40" s="1"/>
  <c r="AM216" i="40"/>
  <c r="AQ216" i="40" s="1"/>
  <c r="AL216" i="40"/>
  <c r="O216" i="40"/>
  <c r="M216" i="40"/>
  <c r="J216" i="40"/>
  <c r="AU216" i="40" s="1"/>
  <c r="I216" i="40"/>
  <c r="B216" i="40"/>
  <c r="N216" i="40" s="1"/>
  <c r="AS215" i="40"/>
  <c r="AN215" i="40"/>
  <c r="AM215" i="40"/>
  <c r="AL215" i="40"/>
  <c r="O215" i="40"/>
  <c r="M215" i="40"/>
  <c r="I215" i="40"/>
  <c r="AQ215" i="40" s="1"/>
  <c r="F215" i="40"/>
  <c r="F218" i="40" s="1"/>
  <c r="E215" i="40"/>
  <c r="B215" i="40"/>
  <c r="N215" i="40" s="1"/>
  <c r="AS214" i="40"/>
  <c r="AN214" i="40"/>
  <c r="AM214" i="40"/>
  <c r="AQ214" i="40" s="1"/>
  <c r="AL214" i="40"/>
  <c r="O214" i="40"/>
  <c r="N214" i="40"/>
  <c r="M214" i="40"/>
  <c r="J214" i="40"/>
  <c r="I214" i="40"/>
  <c r="F214" i="40"/>
  <c r="F217" i="40" s="1"/>
  <c r="H217" i="40" s="1"/>
  <c r="E214" i="40"/>
  <c r="B214" i="40"/>
  <c r="AS213" i="40"/>
  <c r="AN213" i="40"/>
  <c r="AM213" i="40"/>
  <c r="AQ213" i="40" s="1"/>
  <c r="AL213" i="40"/>
  <c r="O213" i="40"/>
  <c r="M213" i="40"/>
  <c r="J213" i="40"/>
  <c r="AU215" i="40" s="1"/>
  <c r="I213" i="40"/>
  <c r="F213" i="40"/>
  <c r="F216" i="40" s="1"/>
  <c r="H216" i="40" s="1"/>
  <c r="E213" i="40"/>
  <c r="B213" i="40"/>
  <c r="N213" i="40" s="1"/>
  <c r="AS212" i="40"/>
  <c r="AR212" i="40"/>
  <c r="AQ212" i="40"/>
  <c r="AT212" i="40" s="1"/>
  <c r="O212" i="40"/>
  <c r="N212" i="40"/>
  <c r="M212" i="40"/>
  <c r="J212" i="40"/>
  <c r="AU212" i="40" s="1"/>
  <c r="AV212" i="40" s="1"/>
  <c r="H212" i="40"/>
  <c r="AX212" i="40" s="1"/>
  <c r="BA212" i="40" s="1"/>
  <c r="F197" i="40"/>
  <c r="F198" i="40"/>
  <c r="AS209" i="40"/>
  <c r="AN209" i="40"/>
  <c r="AM209" i="40"/>
  <c r="AL209" i="40"/>
  <c r="O209" i="40"/>
  <c r="M209" i="40"/>
  <c r="I209" i="40"/>
  <c r="AQ209" i="40" s="1"/>
  <c r="AR209" i="40" s="1"/>
  <c r="AT209" i="40" s="1"/>
  <c r="E209" i="40"/>
  <c r="B209" i="40"/>
  <c r="N209" i="40" s="1"/>
  <c r="AS208" i="40"/>
  <c r="AN208" i="40"/>
  <c r="AM208" i="40"/>
  <c r="AL208" i="40"/>
  <c r="O208" i="40"/>
  <c r="M208" i="40"/>
  <c r="I208" i="40"/>
  <c r="E208" i="40"/>
  <c r="B208" i="40"/>
  <c r="N208" i="40" s="1"/>
  <c r="AU207" i="40"/>
  <c r="AS207" i="40"/>
  <c r="AM207" i="40"/>
  <c r="AL207" i="40"/>
  <c r="O207" i="40"/>
  <c r="M207" i="40"/>
  <c r="E207" i="40"/>
  <c r="B207" i="40"/>
  <c r="N207" i="40" s="1"/>
  <c r="AS206" i="40"/>
  <c r="AN206" i="40"/>
  <c r="AN207" i="40" s="1"/>
  <c r="AM206" i="40"/>
  <c r="AL206" i="40"/>
  <c r="O206" i="40"/>
  <c r="M206" i="40"/>
  <c r="I206" i="40"/>
  <c r="I207" i="40" s="1"/>
  <c r="AQ207" i="40" s="1"/>
  <c r="B206" i="40"/>
  <c r="N206" i="40" s="1"/>
  <c r="AS205" i="40"/>
  <c r="AQ205" i="40"/>
  <c r="AR205" i="40" s="1"/>
  <c r="AT205" i="40" s="1"/>
  <c r="AN205" i="40"/>
  <c r="AM205" i="40"/>
  <c r="AL205" i="40"/>
  <c r="O205" i="40"/>
  <c r="M205" i="40"/>
  <c r="I205" i="40"/>
  <c r="E205" i="40"/>
  <c r="B205" i="40"/>
  <c r="N205" i="40" s="1"/>
  <c r="AS204" i="40"/>
  <c r="AN204" i="40"/>
  <c r="AM204" i="40"/>
  <c r="AQ204" i="40" s="1"/>
  <c r="AL204" i="40"/>
  <c r="O204" i="40"/>
  <c r="M204" i="40"/>
  <c r="J204" i="40"/>
  <c r="J208" i="40" s="1"/>
  <c r="I204" i="40"/>
  <c r="F204" i="40"/>
  <c r="F206" i="40" s="1"/>
  <c r="E204" i="40"/>
  <c r="B204" i="40"/>
  <c r="N204" i="40" s="1"/>
  <c r="AS203" i="40"/>
  <c r="AN203" i="40"/>
  <c r="AM203" i="40"/>
  <c r="AL203" i="40"/>
  <c r="O203" i="40"/>
  <c r="M203" i="40"/>
  <c r="J203" i="40"/>
  <c r="AU205" i="40" s="1"/>
  <c r="AV205" i="40" s="1"/>
  <c r="I203" i="40"/>
  <c r="AQ203" i="40" s="1"/>
  <c r="F203" i="40"/>
  <c r="F205" i="40" s="1"/>
  <c r="E203" i="40"/>
  <c r="H203" i="40" s="1"/>
  <c r="B203" i="40"/>
  <c r="N203" i="40" s="1"/>
  <c r="AS202" i="40"/>
  <c r="AQ202" i="40"/>
  <c r="AR202" i="40" s="1"/>
  <c r="AT202" i="40" s="1"/>
  <c r="O202" i="40"/>
  <c r="N202" i="40"/>
  <c r="M202" i="40"/>
  <c r="J202" i="40"/>
  <c r="AU204" i="40" s="1"/>
  <c r="H202" i="40"/>
  <c r="AW202" i="40" s="1"/>
  <c r="AZ202" i="40" s="1"/>
  <c r="AS199" i="40"/>
  <c r="AN199" i="40"/>
  <c r="AM199" i="40"/>
  <c r="AL199" i="40"/>
  <c r="O199" i="40"/>
  <c r="M199" i="40"/>
  <c r="I199" i="40"/>
  <c r="AQ199" i="40" s="1"/>
  <c r="F199" i="40"/>
  <c r="H199" i="40" s="1"/>
  <c r="E199" i="40"/>
  <c r="B199" i="40"/>
  <c r="N199" i="40" s="1"/>
  <c r="AS198" i="40"/>
  <c r="AN198" i="40"/>
  <c r="AM198" i="40"/>
  <c r="AQ198" i="40" s="1"/>
  <c r="AL198" i="40"/>
  <c r="O198" i="40"/>
  <c r="M198" i="40"/>
  <c r="I198" i="40"/>
  <c r="E198" i="40"/>
  <c r="B198" i="40"/>
  <c r="N198" i="40" s="1"/>
  <c r="AU197" i="40"/>
  <c r="AS197" i="40"/>
  <c r="AM197" i="40"/>
  <c r="AL197" i="40"/>
  <c r="O197" i="40"/>
  <c r="M197" i="40"/>
  <c r="H197" i="40"/>
  <c r="AX197" i="40" s="1"/>
  <c r="BA197" i="40" s="1"/>
  <c r="E197" i="40"/>
  <c r="B197" i="40"/>
  <c r="N197" i="40" s="1"/>
  <c r="AS196" i="40"/>
  <c r="AN196" i="40"/>
  <c r="AN197" i="40" s="1"/>
  <c r="AM196" i="40"/>
  <c r="AQ196" i="40" s="1"/>
  <c r="AL196" i="40"/>
  <c r="O196" i="40"/>
  <c r="M196" i="40"/>
  <c r="J196" i="40"/>
  <c r="AU196" i="40" s="1"/>
  <c r="I196" i="40"/>
  <c r="I197" i="40" s="1"/>
  <c r="AQ197" i="40" s="1"/>
  <c r="H196" i="40"/>
  <c r="F196" i="40"/>
  <c r="B196" i="40"/>
  <c r="N196" i="40" s="1"/>
  <c r="AS195" i="40"/>
  <c r="AN195" i="40"/>
  <c r="AM195" i="40"/>
  <c r="AL195" i="40"/>
  <c r="O195" i="40"/>
  <c r="M195" i="40"/>
  <c r="I195" i="40"/>
  <c r="AQ195" i="40" s="1"/>
  <c r="F195" i="40"/>
  <c r="H195" i="40" s="1"/>
  <c r="E195" i="40"/>
  <c r="B195" i="40"/>
  <c r="N195" i="40" s="1"/>
  <c r="AS194" i="40"/>
  <c r="AN194" i="40"/>
  <c r="AM194" i="40"/>
  <c r="AQ194" i="40" s="1"/>
  <c r="AL194" i="40"/>
  <c r="O194" i="40"/>
  <c r="N194" i="40"/>
  <c r="M194" i="40"/>
  <c r="J194" i="40"/>
  <c r="J198" i="40" s="1"/>
  <c r="I194" i="40"/>
  <c r="F194" i="40"/>
  <c r="E194" i="40"/>
  <c r="H194" i="40" s="1"/>
  <c r="B194" i="40"/>
  <c r="AU193" i="40"/>
  <c r="AS193" i="40"/>
  <c r="AN193" i="40"/>
  <c r="AM193" i="40"/>
  <c r="AL193" i="40"/>
  <c r="O193" i="40"/>
  <c r="M193" i="40"/>
  <c r="J193" i="40"/>
  <c r="AU195" i="40" s="1"/>
  <c r="I193" i="40"/>
  <c r="AQ193" i="40" s="1"/>
  <c r="F193" i="40"/>
  <c r="E193" i="40"/>
  <c r="H193" i="40" s="1"/>
  <c r="B193" i="40"/>
  <c r="N193" i="40" s="1"/>
  <c r="AT192" i="40"/>
  <c r="AS192" i="40"/>
  <c r="AR192" i="40"/>
  <c r="AQ192" i="40"/>
  <c r="O192" i="40"/>
  <c r="N192" i="40"/>
  <c r="M192" i="40"/>
  <c r="J192" i="40"/>
  <c r="AU194" i="40" s="1"/>
  <c r="H192" i="40"/>
  <c r="AW192" i="40" s="1"/>
  <c r="AZ192" i="40" s="1"/>
  <c r="AS187" i="40"/>
  <c r="AN187" i="40"/>
  <c r="AM187" i="40"/>
  <c r="AL187" i="40"/>
  <c r="O187" i="40"/>
  <c r="M187" i="40"/>
  <c r="I187" i="40"/>
  <c r="F187" i="40"/>
  <c r="H187" i="40" s="1"/>
  <c r="E187" i="40"/>
  <c r="B187" i="40"/>
  <c r="N187" i="40" s="1"/>
  <c r="AS186" i="40"/>
  <c r="AN186" i="40"/>
  <c r="AM186" i="40"/>
  <c r="AL186" i="40"/>
  <c r="O186" i="40"/>
  <c r="M186" i="40"/>
  <c r="I186" i="40"/>
  <c r="F186" i="40"/>
  <c r="E186" i="40"/>
  <c r="H186" i="40" s="1"/>
  <c r="B186" i="40"/>
  <c r="N186" i="40" s="1"/>
  <c r="AS185" i="40"/>
  <c r="AN185" i="40"/>
  <c r="AM185" i="40"/>
  <c r="AL185" i="40"/>
  <c r="O185" i="40"/>
  <c r="M185" i="40"/>
  <c r="I185" i="40"/>
  <c r="J185" i="40" s="1"/>
  <c r="AU185" i="40" s="1"/>
  <c r="F185" i="40"/>
  <c r="H185" i="40" s="1"/>
  <c r="B185" i="40"/>
  <c r="N185" i="40" s="1"/>
  <c r="AS184" i="40"/>
  <c r="AN184" i="40"/>
  <c r="AM184" i="40"/>
  <c r="AL184" i="40"/>
  <c r="O184" i="40"/>
  <c r="M184" i="40"/>
  <c r="I184" i="40"/>
  <c r="F184" i="40"/>
  <c r="E184" i="40"/>
  <c r="H184" i="40" s="1"/>
  <c r="B184" i="40"/>
  <c r="N184" i="40" s="1"/>
  <c r="AS183" i="40"/>
  <c r="AN183" i="40"/>
  <c r="AM183" i="40"/>
  <c r="AL183" i="40"/>
  <c r="O183" i="40"/>
  <c r="M183" i="40"/>
  <c r="I183" i="40"/>
  <c r="AQ183" i="40" s="1"/>
  <c r="F183" i="40"/>
  <c r="H183" i="40" s="1"/>
  <c r="E183" i="40"/>
  <c r="B183" i="40"/>
  <c r="N183" i="40" s="1"/>
  <c r="AX182" i="40"/>
  <c r="BA182" i="40" s="1"/>
  <c r="AS182" i="40"/>
  <c r="AQ182" i="40"/>
  <c r="AR182" i="40" s="1"/>
  <c r="AT182" i="40" s="1"/>
  <c r="O182" i="40"/>
  <c r="N182" i="40"/>
  <c r="M182" i="40"/>
  <c r="L182" i="40"/>
  <c r="J183" i="40" s="1"/>
  <c r="J182" i="40"/>
  <c r="AU182" i="40" s="1"/>
  <c r="H182" i="40"/>
  <c r="AW182" i="40" s="1"/>
  <c r="AZ182" i="40" s="1"/>
  <c r="AS177" i="40"/>
  <c r="AN177" i="40"/>
  <c r="AM177" i="40"/>
  <c r="AL177" i="40"/>
  <c r="O177" i="40"/>
  <c r="M177" i="40"/>
  <c r="I177" i="40"/>
  <c r="AQ177" i="40" s="1"/>
  <c r="F177" i="40"/>
  <c r="H177" i="40" s="1"/>
  <c r="E177" i="40"/>
  <c r="B177" i="40"/>
  <c r="N177" i="40" s="1"/>
  <c r="AS176" i="40"/>
  <c r="AN176" i="40"/>
  <c r="AM176" i="40"/>
  <c r="AL176" i="40"/>
  <c r="O176" i="40"/>
  <c r="M176" i="40"/>
  <c r="I176" i="40"/>
  <c r="F176" i="40"/>
  <c r="E176" i="40"/>
  <c r="B176" i="40"/>
  <c r="N176" i="40" s="1"/>
  <c r="AS175" i="40"/>
  <c r="AN175" i="40"/>
  <c r="AM175" i="40"/>
  <c r="AL175" i="40"/>
  <c r="O175" i="40"/>
  <c r="M175" i="40"/>
  <c r="I175" i="40"/>
  <c r="J175" i="40" s="1"/>
  <c r="AU175" i="40" s="1"/>
  <c r="F175" i="40"/>
  <c r="H175" i="40" s="1"/>
  <c r="B175" i="40"/>
  <c r="N175" i="40" s="1"/>
  <c r="AS174" i="40"/>
  <c r="AN174" i="40"/>
  <c r="AM174" i="40"/>
  <c r="AL174" i="40"/>
  <c r="O174" i="40"/>
  <c r="M174" i="40"/>
  <c r="I174" i="40"/>
  <c r="F174" i="40"/>
  <c r="E174" i="40"/>
  <c r="H174" i="40" s="1"/>
  <c r="B174" i="40"/>
  <c r="N174" i="40" s="1"/>
  <c r="AS173" i="40"/>
  <c r="AN173" i="40"/>
  <c r="AM173" i="40"/>
  <c r="AL173" i="40"/>
  <c r="O173" i="40"/>
  <c r="M173" i="40"/>
  <c r="I173" i="40"/>
  <c r="AQ173" i="40" s="1"/>
  <c r="F173" i="40"/>
  <c r="H173" i="40" s="1"/>
  <c r="E173" i="40"/>
  <c r="B173" i="40"/>
  <c r="N173" i="40" s="1"/>
  <c r="AS172" i="40"/>
  <c r="AR172" i="40"/>
  <c r="AQ172" i="40"/>
  <c r="AT172" i="40" s="1"/>
  <c r="O172" i="40"/>
  <c r="N172" i="40"/>
  <c r="M172" i="40"/>
  <c r="L172" i="40"/>
  <c r="J172" i="40"/>
  <c r="AU172" i="40" s="1"/>
  <c r="H172" i="40"/>
  <c r="AW172" i="40" s="1"/>
  <c r="AZ172" i="40" s="1"/>
  <c r="AS167" i="40"/>
  <c r="AN167" i="40"/>
  <c r="AM167" i="40"/>
  <c r="AL167" i="40"/>
  <c r="O167" i="40"/>
  <c r="M167" i="40"/>
  <c r="I167" i="40"/>
  <c r="AQ167" i="40" s="1"/>
  <c r="F167" i="40"/>
  <c r="E167" i="40"/>
  <c r="B167" i="40"/>
  <c r="N167" i="40" s="1"/>
  <c r="AS166" i="40"/>
  <c r="AN166" i="40"/>
  <c r="AM166" i="40"/>
  <c r="AL166" i="40"/>
  <c r="O166" i="40"/>
  <c r="M166" i="40"/>
  <c r="I166" i="40"/>
  <c r="AQ166" i="40" s="1"/>
  <c r="F166" i="40"/>
  <c r="E166" i="40"/>
  <c r="B166" i="40"/>
  <c r="N166" i="40" s="1"/>
  <c r="AS165" i="40"/>
  <c r="AN165" i="40"/>
  <c r="AM165" i="40"/>
  <c r="AL165" i="40"/>
  <c r="O165" i="40"/>
  <c r="M165" i="40"/>
  <c r="I165" i="40"/>
  <c r="J165" i="40" s="1"/>
  <c r="AU165" i="40" s="1"/>
  <c r="H165" i="40"/>
  <c r="AX165" i="40" s="1"/>
  <c r="BA165" i="40" s="1"/>
  <c r="F165" i="40"/>
  <c r="B165" i="40"/>
  <c r="N165" i="40" s="1"/>
  <c r="AS164" i="40"/>
  <c r="AN164" i="40"/>
  <c r="AM164" i="40"/>
  <c r="AL164" i="40"/>
  <c r="O164" i="40"/>
  <c r="M164" i="40"/>
  <c r="I164" i="40"/>
  <c r="F164" i="40"/>
  <c r="E164" i="40"/>
  <c r="B164" i="40"/>
  <c r="N164" i="40" s="1"/>
  <c r="AS163" i="40"/>
  <c r="AN163" i="40"/>
  <c r="AM163" i="40"/>
  <c r="AL163" i="40"/>
  <c r="O163" i="40"/>
  <c r="M163" i="40"/>
  <c r="I163" i="40"/>
  <c r="AQ163" i="40" s="1"/>
  <c r="H163" i="40"/>
  <c r="AX163" i="40" s="1"/>
  <c r="BA163" i="40" s="1"/>
  <c r="F163" i="40"/>
  <c r="E163" i="40"/>
  <c r="B163" i="40"/>
  <c r="N163" i="40" s="1"/>
  <c r="AX162" i="40"/>
  <c r="BA162" i="40" s="1"/>
  <c r="AS162" i="40"/>
  <c r="AQ162" i="40"/>
  <c r="O162" i="40"/>
  <c r="N162" i="40"/>
  <c r="M162" i="40"/>
  <c r="L162" i="40"/>
  <c r="J163" i="40" s="1"/>
  <c r="J162" i="40"/>
  <c r="AU162" i="40" s="1"/>
  <c r="H162" i="40"/>
  <c r="AW162" i="40" s="1"/>
  <c r="AZ162" i="40" s="1"/>
  <c r="AS157" i="40"/>
  <c r="AN157" i="40"/>
  <c r="AM157" i="40"/>
  <c r="AL157" i="40"/>
  <c r="O157" i="40"/>
  <c r="M157" i="40"/>
  <c r="I157" i="40"/>
  <c r="AQ157" i="40" s="1"/>
  <c r="AR157" i="40" s="1"/>
  <c r="AT157" i="40" s="1"/>
  <c r="F157" i="40"/>
  <c r="H157" i="40" s="1"/>
  <c r="E157" i="40"/>
  <c r="B157" i="40"/>
  <c r="N157" i="40" s="1"/>
  <c r="AS156" i="40"/>
  <c r="AN156" i="40"/>
  <c r="AM156" i="40"/>
  <c r="AL156" i="40"/>
  <c r="O156" i="40"/>
  <c r="M156" i="40"/>
  <c r="I156" i="40"/>
  <c r="F156" i="40"/>
  <c r="E156" i="40"/>
  <c r="H156" i="40" s="1"/>
  <c r="B156" i="40"/>
  <c r="N156" i="40" s="1"/>
  <c r="AS155" i="40"/>
  <c r="AN155" i="40"/>
  <c r="AM155" i="40"/>
  <c r="AL155" i="40"/>
  <c r="O155" i="40"/>
  <c r="M155" i="40"/>
  <c r="I155" i="40"/>
  <c r="AQ155" i="40" s="1"/>
  <c r="F155" i="40"/>
  <c r="H155" i="40" s="1"/>
  <c r="B155" i="40"/>
  <c r="N155" i="40" s="1"/>
  <c r="AS154" i="40"/>
  <c r="AN154" i="40"/>
  <c r="AM154" i="40"/>
  <c r="AL154" i="40"/>
  <c r="O154" i="40"/>
  <c r="M154" i="40"/>
  <c r="I154" i="40"/>
  <c r="F154" i="40"/>
  <c r="E154" i="40"/>
  <c r="B154" i="40"/>
  <c r="N154" i="40" s="1"/>
  <c r="AS153" i="40"/>
  <c r="AN153" i="40"/>
  <c r="AM153" i="40"/>
  <c r="AL153" i="40"/>
  <c r="O153" i="40"/>
  <c r="M153" i="40"/>
  <c r="I153" i="40"/>
  <c r="AQ153" i="40" s="1"/>
  <c r="F153" i="40"/>
  <c r="E153" i="40"/>
  <c r="B153" i="40"/>
  <c r="N153" i="40" s="1"/>
  <c r="AS152" i="40"/>
  <c r="AQ152" i="40"/>
  <c r="AR152" i="40" s="1"/>
  <c r="AT152" i="40" s="1"/>
  <c r="O152" i="40"/>
  <c r="N152" i="40"/>
  <c r="M152" i="40"/>
  <c r="L152" i="40"/>
  <c r="J153" i="40" s="1"/>
  <c r="J152" i="40"/>
  <c r="AU152" i="40" s="1"/>
  <c r="H152" i="40"/>
  <c r="AW152" i="40" s="1"/>
  <c r="AZ152" i="40" s="1"/>
  <c r="AS147" i="40"/>
  <c r="AN147" i="40"/>
  <c r="AM147" i="40"/>
  <c r="AL147" i="40"/>
  <c r="O147" i="40"/>
  <c r="M147" i="40"/>
  <c r="I147" i="40"/>
  <c r="F147" i="40"/>
  <c r="H147" i="40" s="1"/>
  <c r="E147" i="40"/>
  <c r="B147" i="40"/>
  <c r="N147" i="40" s="1"/>
  <c r="AS146" i="40"/>
  <c r="AN146" i="40"/>
  <c r="AM146" i="40"/>
  <c r="AL146" i="40"/>
  <c r="O146" i="40"/>
  <c r="M146" i="40"/>
  <c r="I146" i="40"/>
  <c r="F146" i="40"/>
  <c r="E146" i="40"/>
  <c r="H146" i="40" s="1"/>
  <c r="B146" i="40"/>
  <c r="N146" i="40" s="1"/>
  <c r="AS145" i="40"/>
  <c r="AN145" i="40"/>
  <c r="AM145" i="40"/>
  <c r="AL145" i="40"/>
  <c r="O145" i="40"/>
  <c r="M145" i="40"/>
  <c r="I145" i="40"/>
  <c r="J145" i="40" s="1"/>
  <c r="AU145" i="40" s="1"/>
  <c r="F145" i="40"/>
  <c r="H145" i="40" s="1"/>
  <c r="B145" i="40"/>
  <c r="N145" i="40" s="1"/>
  <c r="AS144" i="40"/>
  <c r="AN144" i="40"/>
  <c r="AM144" i="40"/>
  <c r="AL144" i="40"/>
  <c r="O144" i="40"/>
  <c r="M144" i="40"/>
  <c r="I144" i="40"/>
  <c r="F144" i="40"/>
  <c r="E144" i="40"/>
  <c r="B144" i="40"/>
  <c r="N144" i="40" s="1"/>
  <c r="AS143" i="40"/>
  <c r="AN143" i="40"/>
  <c r="AM143" i="40"/>
  <c r="AL143" i="40"/>
  <c r="O143" i="40"/>
  <c r="M143" i="40"/>
  <c r="I143" i="40"/>
  <c r="AQ143" i="40" s="1"/>
  <c r="F143" i="40"/>
  <c r="H143" i="40" s="1"/>
  <c r="E143" i="40"/>
  <c r="B143" i="40"/>
  <c r="N143" i="40" s="1"/>
  <c r="AT142" i="40"/>
  <c r="AS142" i="40"/>
  <c r="AR142" i="40"/>
  <c r="AQ142" i="40"/>
  <c r="O142" i="40"/>
  <c r="N142" i="40"/>
  <c r="M142" i="40"/>
  <c r="L142" i="40"/>
  <c r="J143" i="40" s="1"/>
  <c r="J142" i="40"/>
  <c r="AU142" i="40" s="1"/>
  <c r="AV142" i="40" s="1"/>
  <c r="H142" i="40"/>
  <c r="AW142" i="40" s="1"/>
  <c r="AZ142" i="40" s="1"/>
  <c r="J136" i="40"/>
  <c r="J126" i="40"/>
  <c r="AS137" i="40"/>
  <c r="AN137" i="40"/>
  <c r="AM137" i="40"/>
  <c r="AL137" i="40"/>
  <c r="O137" i="40"/>
  <c r="M137" i="40"/>
  <c r="I137" i="40"/>
  <c r="F137" i="40"/>
  <c r="E137" i="40"/>
  <c r="B137" i="40"/>
  <c r="N137" i="40" s="1"/>
  <c r="AS136" i="40"/>
  <c r="AN136" i="40"/>
  <c r="AM136" i="40"/>
  <c r="AL136" i="40"/>
  <c r="O136" i="40"/>
  <c r="M136" i="40"/>
  <c r="I136" i="40"/>
  <c r="F136" i="40"/>
  <c r="E136" i="40"/>
  <c r="B136" i="40"/>
  <c r="N136" i="40" s="1"/>
  <c r="AS135" i="40"/>
  <c r="AN135" i="40"/>
  <c r="AM135" i="40"/>
  <c r="AL135" i="40"/>
  <c r="O135" i="40"/>
  <c r="M135" i="40"/>
  <c r="I135" i="40"/>
  <c r="J135" i="40" s="1"/>
  <c r="AU135" i="40" s="1"/>
  <c r="F135" i="40"/>
  <c r="H135" i="40" s="1"/>
  <c r="AX135" i="40" s="1"/>
  <c r="BA135" i="40" s="1"/>
  <c r="B135" i="40"/>
  <c r="N135" i="40" s="1"/>
  <c r="AS134" i="40"/>
  <c r="AN134" i="40"/>
  <c r="AM134" i="40"/>
  <c r="AL134" i="40"/>
  <c r="O134" i="40"/>
  <c r="M134" i="40"/>
  <c r="I134" i="40"/>
  <c r="F134" i="40"/>
  <c r="E134" i="40"/>
  <c r="H134" i="40" s="1"/>
  <c r="B134" i="40"/>
  <c r="N134" i="40" s="1"/>
  <c r="AS133" i="40"/>
  <c r="AN133" i="40"/>
  <c r="AM133" i="40"/>
  <c r="AL133" i="40"/>
  <c r="O133" i="40"/>
  <c r="M133" i="40"/>
  <c r="I133" i="40"/>
  <c r="AQ133" i="40" s="1"/>
  <c r="F133" i="40"/>
  <c r="H133" i="40" s="1"/>
  <c r="E133" i="40"/>
  <c r="B133" i="40"/>
  <c r="N133" i="40" s="1"/>
  <c r="AX132" i="40"/>
  <c r="BA132" i="40" s="1"/>
  <c r="AS132" i="40"/>
  <c r="AQ132" i="40"/>
  <c r="AR132" i="40" s="1"/>
  <c r="AT132" i="40" s="1"/>
  <c r="O132" i="40"/>
  <c r="N132" i="40"/>
  <c r="M132" i="40"/>
  <c r="L132" i="40"/>
  <c r="J133" i="40" s="1"/>
  <c r="J132" i="40"/>
  <c r="AU132" i="40" s="1"/>
  <c r="H132" i="40"/>
  <c r="AW132" i="40" s="1"/>
  <c r="AZ132" i="40" s="1"/>
  <c r="AS127" i="40"/>
  <c r="AN127" i="40"/>
  <c r="AM127" i="40"/>
  <c r="AL127" i="40"/>
  <c r="O127" i="40"/>
  <c r="M127" i="40"/>
  <c r="I127" i="40"/>
  <c r="F127" i="40"/>
  <c r="H127" i="40" s="1"/>
  <c r="E127" i="40"/>
  <c r="B127" i="40"/>
  <c r="N127" i="40" s="1"/>
  <c r="AS126" i="40"/>
  <c r="AN126" i="40"/>
  <c r="AM126" i="40"/>
  <c r="AL126" i="40"/>
  <c r="O126" i="40"/>
  <c r="M126" i="40"/>
  <c r="I126" i="40"/>
  <c r="F126" i="40"/>
  <c r="E126" i="40"/>
  <c r="H126" i="40" s="1"/>
  <c r="B126" i="40"/>
  <c r="N126" i="40" s="1"/>
  <c r="AS125" i="40"/>
  <c r="AN125" i="40"/>
  <c r="AM125" i="40"/>
  <c r="AL125" i="40"/>
  <c r="O125" i="40"/>
  <c r="M125" i="40"/>
  <c r="I125" i="40"/>
  <c r="J125" i="40" s="1"/>
  <c r="AU125" i="40" s="1"/>
  <c r="F125" i="40"/>
  <c r="H125" i="40" s="1"/>
  <c r="B125" i="40"/>
  <c r="N125" i="40" s="1"/>
  <c r="AS124" i="40"/>
  <c r="AN124" i="40"/>
  <c r="AM124" i="40"/>
  <c r="AL124" i="40"/>
  <c r="O124" i="40"/>
  <c r="M124" i="40"/>
  <c r="I124" i="40"/>
  <c r="F124" i="40"/>
  <c r="E124" i="40"/>
  <c r="H124" i="40" s="1"/>
  <c r="B124" i="40"/>
  <c r="N124" i="40" s="1"/>
  <c r="AS123" i="40"/>
  <c r="AN123" i="40"/>
  <c r="AM123" i="40"/>
  <c r="AL123" i="40"/>
  <c r="O123" i="40"/>
  <c r="M123" i="40"/>
  <c r="I123" i="40"/>
  <c r="AQ123" i="40" s="1"/>
  <c r="F123" i="40"/>
  <c r="H123" i="40" s="1"/>
  <c r="E123" i="40"/>
  <c r="B123" i="40"/>
  <c r="N123" i="40" s="1"/>
  <c r="AX122" i="40"/>
  <c r="BA122" i="40" s="1"/>
  <c r="AT122" i="40"/>
  <c r="AS122" i="40"/>
  <c r="AR122" i="40"/>
  <c r="AQ122" i="40"/>
  <c r="O122" i="40"/>
  <c r="N122" i="40"/>
  <c r="M122" i="40"/>
  <c r="L122" i="40"/>
  <c r="J123" i="40" s="1"/>
  <c r="J122" i="40"/>
  <c r="AU122" i="40" s="1"/>
  <c r="AV122" i="40" s="1"/>
  <c r="H122" i="40"/>
  <c r="AW122" i="40" s="1"/>
  <c r="AZ122" i="40" s="1"/>
  <c r="AU117" i="40"/>
  <c r="AS117" i="40"/>
  <c r="AN117" i="40"/>
  <c r="AM117" i="40"/>
  <c r="AL117" i="40"/>
  <c r="O117" i="40"/>
  <c r="M117" i="40"/>
  <c r="I117" i="40"/>
  <c r="AQ117" i="40" s="1"/>
  <c r="AR117" i="40" s="1"/>
  <c r="AT117" i="40" s="1"/>
  <c r="F117" i="40"/>
  <c r="B117" i="40"/>
  <c r="N117" i="40" s="1"/>
  <c r="AU116" i="40"/>
  <c r="AS116" i="40"/>
  <c r="AN116" i="40"/>
  <c r="AM116" i="40"/>
  <c r="AL116" i="40"/>
  <c r="O116" i="40"/>
  <c r="M116" i="40"/>
  <c r="I116" i="40"/>
  <c r="F116" i="40"/>
  <c r="B116" i="40"/>
  <c r="N116" i="40" s="1"/>
  <c r="AS115" i="40"/>
  <c r="AN115" i="40"/>
  <c r="AM115" i="40"/>
  <c r="AL115" i="40"/>
  <c r="O115" i="40"/>
  <c r="M115" i="40"/>
  <c r="I115" i="40"/>
  <c r="J115" i="40" s="1"/>
  <c r="AU115" i="40" s="1"/>
  <c r="F115" i="40"/>
  <c r="B115" i="40"/>
  <c r="N115" i="40" s="1"/>
  <c r="AS114" i="40"/>
  <c r="AN114" i="40"/>
  <c r="AM114" i="40"/>
  <c r="AQ114" i="40" s="1"/>
  <c r="AL114" i="40"/>
  <c r="O114" i="40"/>
  <c r="N114" i="40"/>
  <c r="M114" i="40"/>
  <c r="I114" i="40"/>
  <c r="F114" i="40"/>
  <c r="E114" i="40"/>
  <c r="H114" i="40" s="1"/>
  <c r="B114" i="40"/>
  <c r="AU113" i="40"/>
  <c r="AS113" i="40"/>
  <c r="AN113" i="40"/>
  <c r="AM113" i="40"/>
  <c r="AL113" i="40"/>
  <c r="O113" i="40"/>
  <c r="M113" i="40"/>
  <c r="J113" i="40"/>
  <c r="AU114" i="40" s="1"/>
  <c r="I113" i="40"/>
  <c r="AQ113" i="40" s="1"/>
  <c r="F113" i="40"/>
  <c r="E113" i="40"/>
  <c r="H113" i="40" s="1"/>
  <c r="B113" i="40"/>
  <c r="N113" i="40" s="1"/>
  <c r="AS112" i="40"/>
  <c r="AQ112" i="40"/>
  <c r="AR112" i="40" s="1"/>
  <c r="AT112" i="40" s="1"/>
  <c r="O112" i="40"/>
  <c r="N112" i="40"/>
  <c r="M112" i="40"/>
  <c r="J112" i="40"/>
  <c r="AU112" i="40" s="1"/>
  <c r="AV112" i="40" s="1"/>
  <c r="H112" i="40"/>
  <c r="AW112" i="40" s="1"/>
  <c r="AZ112" i="40" s="1"/>
  <c r="AU107" i="40"/>
  <c r="AS107" i="40"/>
  <c r="AN107" i="40"/>
  <c r="AM107" i="40"/>
  <c r="AL107" i="40"/>
  <c r="O107" i="40"/>
  <c r="N107" i="40"/>
  <c r="M107" i="40"/>
  <c r="I107" i="40"/>
  <c r="AQ107" i="40" s="1"/>
  <c r="F107" i="40"/>
  <c r="B107" i="40"/>
  <c r="AU106" i="40"/>
  <c r="AS106" i="40"/>
  <c r="AN106" i="40"/>
  <c r="AM106" i="40"/>
  <c r="AQ106" i="40" s="1"/>
  <c r="AL106" i="40"/>
  <c r="O106" i="40"/>
  <c r="M106" i="40"/>
  <c r="I106" i="40"/>
  <c r="F106" i="40"/>
  <c r="B106" i="40"/>
  <c r="N106" i="40" s="1"/>
  <c r="AS105" i="40"/>
  <c r="AN105" i="40"/>
  <c r="AM105" i="40"/>
  <c r="AL105" i="40"/>
  <c r="O105" i="40"/>
  <c r="N105" i="40"/>
  <c r="M105" i="40"/>
  <c r="J105" i="40"/>
  <c r="AU105" i="40" s="1"/>
  <c r="I105" i="40"/>
  <c r="AQ105" i="40" s="1"/>
  <c r="H105" i="40"/>
  <c r="AW105" i="40" s="1"/>
  <c r="AZ105" i="40" s="1"/>
  <c r="F105" i="40"/>
  <c r="E105" i="40"/>
  <c r="E107" i="40" s="1"/>
  <c r="H107" i="40" s="1"/>
  <c r="B105" i="40"/>
  <c r="AS104" i="40"/>
  <c r="AN104" i="40"/>
  <c r="AM104" i="40"/>
  <c r="AQ104" i="40" s="1"/>
  <c r="AL104" i="40"/>
  <c r="O104" i="40"/>
  <c r="N104" i="40"/>
  <c r="M104" i="40"/>
  <c r="I104" i="40"/>
  <c r="F104" i="40"/>
  <c r="E104" i="40"/>
  <c r="H104" i="40" s="1"/>
  <c r="B104" i="40"/>
  <c r="AS103" i="40"/>
  <c r="AN103" i="40"/>
  <c r="AM103" i="40"/>
  <c r="AL103" i="40"/>
  <c r="O103" i="40"/>
  <c r="M103" i="40"/>
  <c r="I103" i="40"/>
  <c r="AQ103" i="40" s="1"/>
  <c r="F103" i="40"/>
  <c r="E103" i="40"/>
  <c r="H103" i="40" s="1"/>
  <c r="B103" i="40"/>
  <c r="N103" i="40" s="1"/>
  <c r="AX102" i="40"/>
  <c r="BA102" i="40" s="1"/>
  <c r="AT102" i="40"/>
  <c r="AS102" i="40"/>
  <c r="AR102" i="40"/>
  <c r="AQ102" i="40"/>
  <c r="O102" i="40"/>
  <c r="N102" i="40"/>
  <c r="M102" i="40"/>
  <c r="J102" i="40"/>
  <c r="AU102" i="40" s="1"/>
  <c r="AV102" i="40" s="1"/>
  <c r="AY102" i="40" s="1"/>
  <c r="H102" i="40"/>
  <c r="AW102" i="40" s="1"/>
  <c r="AZ102" i="40" s="1"/>
  <c r="J93" i="40"/>
  <c r="AS94" i="40"/>
  <c r="AN94" i="40"/>
  <c r="AM94" i="40"/>
  <c r="AL94" i="40"/>
  <c r="O94" i="40"/>
  <c r="N94" i="40"/>
  <c r="M94" i="40"/>
  <c r="I94" i="40"/>
  <c r="AQ94" i="40" s="1"/>
  <c r="F94" i="40"/>
  <c r="H94" i="40" s="1"/>
  <c r="E94" i="40"/>
  <c r="B94" i="40"/>
  <c r="AU93" i="40"/>
  <c r="AS93" i="40"/>
  <c r="AN93" i="40"/>
  <c r="AM93" i="40"/>
  <c r="AL93" i="40"/>
  <c r="O93" i="40"/>
  <c r="M93" i="40"/>
  <c r="I93" i="40"/>
  <c r="AQ93" i="40" s="1"/>
  <c r="H93" i="40"/>
  <c r="F93" i="40"/>
  <c r="E93" i="40"/>
  <c r="B93" i="40"/>
  <c r="N93" i="40" s="1"/>
  <c r="AS92" i="40"/>
  <c r="AQ92" i="40"/>
  <c r="AR92" i="40" s="1"/>
  <c r="AT92" i="40" s="1"/>
  <c r="O92" i="40"/>
  <c r="N92" i="40"/>
  <c r="M92" i="40"/>
  <c r="J92" i="40"/>
  <c r="AU94" i="40" s="1"/>
  <c r="H92" i="40"/>
  <c r="AW92" i="40" s="1"/>
  <c r="AZ92" i="40" s="1"/>
  <c r="AX90" i="40"/>
  <c r="BA90" i="40" s="1"/>
  <c r="AS90" i="40"/>
  <c r="AM90" i="40"/>
  <c r="AL90" i="40"/>
  <c r="M90" i="40"/>
  <c r="I90" i="40"/>
  <c r="H90" i="40"/>
  <c r="AW90" i="40" s="1"/>
  <c r="AZ90" i="40" s="1"/>
  <c r="B90" i="40"/>
  <c r="AS89" i="40"/>
  <c r="AN89" i="40"/>
  <c r="AM89" i="40"/>
  <c r="AL89" i="40"/>
  <c r="O89" i="40"/>
  <c r="M89" i="40"/>
  <c r="I89" i="40"/>
  <c r="B89" i="40"/>
  <c r="N89" i="40" s="1"/>
  <c r="AS88" i="40"/>
  <c r="AN88" i="40"/>
  <c r="AM88" i="40"/>
  <c r="AL88" i="40"/>
  <c r="O88" i="40"/>
  <c r="N88" i="40"/>
  <c r="M88" i="40"/>
  <c r="B88" i="40"/>
  <c r="AS87" i="40"/>
  <c r="AN87" i="40"/>
  <c r="AM87" i="40"/>
  <c r="AQ87" i="40" s="1"/>
  <c r="AL87" i="40"/>
  <c r="O87" i="40"/>
  <c r="N87" i="40"/>
  <c r="M87" i="40"/>
  <c r="B87" i="40"/>
  <c r="AS86" i="40"/>
  <c r="AN86" i="40"/>
  <c r="AM86" i="40"/>
  <c r="AL86" i="40"/>
  <c r="O86" i="40"/>
  <c r="M86" i="40"/>
  <c r="I86" i="40"/>
  <c r="E86" i="40"/>
  <c r="E87" i="40" s="1"/>
  <c r="B86" i="40"/>
  <c r="N86" i="40" s="1"/>
  <c r="AS85" i="40"/>
  <c r="AN85" i="40"/>
  <c r="AL85" i="40"/>
  <c r="O85" i="40"/>
  <c r="N85" i="40"/>
  <c r="M85" i="40"/>
  <c r="I85" i="40"/>
  <c r="I87" i="40" s="1"/>
  <c r="J87" i="40" s="1"/>
  <c r="B85" i="40"/>
  <c r="AU84" i="40"/>
  <c r="AS84" i="40"/>
  <c r="AN84" i="40"/>
  <c r="AM84" i="40"/>
  <c r="AL84" i="40"/>
  <c r="O84" i="40"/>
  <c r="M84" i="40"/>
  <c r="I84" i="40"/>
  <c r="E84" i="40"/>
  <c r="H84" i="40" s="1"/>
  <c r="B84" i="40"/>
  <c r="N84" i="40" s="1"/>
  <c r="AS83" i="40"/>
  <c r="AN83" i="40"/>
  <c r="AM83" i="40"/>
  <c r="AM85" i="40" s="1"/>
  <c r="AL83" i="40"/>
  <c r="O83" i="40"/>
  <c r="N83" i="40"/>
  <c r="M83" i="40"/>
  <c r="J83" i="40"/>
  <c r="AU86" i="40" s="1"/>
  <c r="I83" i="40"/>
  <c r="AQ83" i="40" s="1"/>
  <c r="H83" i="40"/>
  <c r="AW83" i="40" s="1"/>
  <c r="AZ83" i="40" s="1"/>
  <c r="F83" i="40"/>
  <c r="F84" i="40" s="1"/>
  <c r="F85" i="40" s="1"/>
  <c r="E83" i="40"/>
  <c r="B83" i="40"/>
  <c r="AS82" i="40"/>
  <c r="AQ82" i="40"/>
  <c r="AR82" i="40" s="1"/>
  <c r="O82" i="40"/>
  <c r="N82" i="40"/>
  <c r="M82" i="40"/>
  <c r="J82" i="40"/>
  <c r="AU82" i="40" s="1"/>
  <c r="H82" i="40"/>
  <c r="AX80" i="40"/>
  <c r="BA80" i="40" s="1"/>
  <c r="AS80" i="40"/>
  <c r="AM80" i="40"/>
  <c r="AL80" i="40"/>
  <c r="M80" i="40"/>
  <c r="I80" i="40"/>
  <c r="H80" i="40"/>
  <c r="AW80" i="40" s="1"/>
  <c r="AZ80" i="40" s="1"/>
  <c r="B80" i="40"/>
  <c r="AS79" i="40"/>
  <c r="AN79" i="40"/>
  <c r="AM79" i="40"/>
  <c r="AL79" i="40"/>
  <c r="O79" i="40"/>
  <c r="M79" i="40"/>
  <c r="I79" i="40"/>
  <c r="B79" i="40"/>
  <c r="N79" i="40" s="1"/>
  <c r="AS78" i="40"/>
  <c r="AN78" i="40"/>
  <c r="AM78" i="40"/>
  <c r="AL78" i="40"/>
  <c r="O78" i="40"/>
  <c r="M78" i="40"/>
  <c r="B78" i="40"/>
  <c r="N78" i="40" s="1"/>
  <c r="AS77" i="40"/>
  <c r="AN77" i="40"/>
  <c r="AM77" i="40"/>
  <c r="AL77" i="40"/>
  <c r="O77" i="40"/>
  <c r="M77" i="40"/>
  <c r="B77" i="40"/>
  <c r="N77" i="40" s="1"/>
  <c r="AS76" i="40"/>
  <c r="AN76" i="40"/>
  <c r="AM76" i="40"/>
  <c r="AL76" i="40"/>
  <c r="O76" i="40"/>
  <c r="M76" i="40"/>
  <c r="I76" i="40"/>
  <c r="E76" i="40"/>
  <c r="E77" i="40" s="1"/>
  <c r="B76" i="40"/>
  <c r="N76" i="40" s="1"/>
  <c r="AS75" i="40"/>
  <c r="AN75" i="40"/>
  <c r="AL75" i="40"/>
  <c r="O75" i="40"/>
  <c r="N75" i="40"/>
  <c r="M75" i="40"/>
  <c r="I75" i="40"/>
  <c r="I77" i="40" s="1"/>
  <c r="J77" i="40" s="1"/>
  <c r="B75" i="40"/>
  <c r="AS74" i="40"/>
  <c r="AN74" i="40"/>
  <c r="AM74" i="40"/>
  <c r="AL74" i="40"/>
  <c r="O74" i="40"/>
  <c r="M74" i="40"/>
  <c r="I74" i="40"/>
  <c r="E74" i="40"/>
  <c r="B74" i="40"/>
  <c r="N74" i="40" s="1"/>
  <c r="AS73" i="40"/>
  <c r="AN73" i="40"/>
  <c r="AM73" i="40"/>
  <c r="AM75" i="40" s="1"/>
  <c r="AL73" i="40"/>
  <c r="O73" i="40"/>
  <c r="N73" i="40"/>
  <c r="M73" i="40"/>
  <c r="J73" i="40"/>
  <c r="AU76" i="40" s="1"/>
  <c r="I73" i="40"/>
  <c r="AQ73" i="40" s="1"/>
  <c r="AR73" i="40" s="1"/>
  <c r="H73" i="40"/>
  <c r="F73" i="40"/>
  <c r="F74" i="40" s="1"/>
  <c r="F75" i="40" s="1"/>
  <c r="F76" i="40" s="1"/>
  <c r="F77" i="40" s="1"/>
  <c r="F78" i="40" s="1"/>
  <c r="F79" i="40" s="1"/>
  <c r="E73" i="40"/>
  <c r="B73" i="40"/>
  <c r="AS72" i="40"/>
  <c r="AT72" i="40" s="1"/>
  <c r="AQ72" i="40"/>
  <c r="AR72" i="40" s="1"/>
  <c r="O72" i="40"/>
  <c r="N72" i="40"/>
  <c r="M72" i="40"/>
  <c r="J72" i="40"/>
  <c r="AU74" i="40" s="1"/>
  <c r="H72" i="40"/>
  <c r="AX70" i="40"/>
  <c r="BA70" i="40" s="1"/>
  <c r="AS70" i="40"/>
  <c r="AM70" i="40"/>
  <c r="AQ70" i="40" s="1"/>
  <c r="AL70" i="40"/>
  <c r="M70" i="40"/>
  <c r="I70" i="40"/>
  <c r="H70" i="40"/>
  <c r="AW70" i="40" s="1"/>
  <c r="AZ70" i="40" s="1"/>
  <c r="B70" i="40"/>
  <c r="AS69" i="40"/>
  <c r="AN69" i="40"/>
  <c r="AM69" i="40"/>
  <c r="AL69" i="40"/>
  <c r="O69" i="40"/>
  <c r="M69" i="40"/>
  <c r="B69" i="40"/>
  <c r="N69" i="40" s="1"/>
  <c r="AS68" i="40"/>
  <c r="AN68" i="40"/>
  <c r="AM68" i="40"/>
  <c r="AL68" i="40"/>
  <c r="O68" i="40"/>
  <c r="M68" i="40"/>
  <c r="E68" i="40"/>
  <c r="B68" i="40"/>
  <c r="N68" i="40" s="1"/>
  <c r="AS67" i="40"/>
  <c r="AM67" i="40"/>
  <c r="AL67" i="40"/>
  <c r="O67" i="40"/>
  <c r="M67" i="40"/>
  <c r="B67" i="40"/>
  <c r="N67" i="40" s="1"/>
  <c r="AS66" i="40"/>
  <c r="AN66" i="40"/>
  <c r="AN67" i="40" s="1"/>
  <c r="AM66" i="40"/>
  <c r="AL66" i="40"/>
  <c r="O66" i="40"/>
  <c r="M66" i="40"/>
  <c r="I66" i="40"/>
  <c r="E66" i="40"/>
  <c r="E67" i="40" s="1"/>
  <c r="B66" i="40"/>
  <c r="N66" i="40" s="1"/>
  <c r="AS65" i="40"/>
  <c r="AN65" i="40"/>
  <c r="AL65" i="40"/>
  <c r="O65" i="40"/>
  <c r="M65" i="40"/>
  <c r="I65" i="40"/>
  <c r="I68" i="40" s="1"/>
  <c r="B65" i="40"/>
  <c r="N65" i="40" s="1"/>
  <c r="AS64" i="40"/>
  <c r="AN64" i="40"/>
  <c r="AM64" i="40"/>
  <c r="AL64" i="40"/>
  <c r="O64" i="40"/>
  <c r="M64" i="40"/>
  <c r="I64" i="40"/>
  <c r="F64" i="40"/>
  <c r="F65" i="40" s="1"/>
  <c r="E64" i="40"/>
  <c r="B64" i="40"/>
  <c r="N64" i="40" s="1"/>
  <c r="AS63" i="40"/>
  <c r="AN63" i="40"/>
  <c r="AM63" i="40"/>
  <c r="AM65" i="40" s="1"/>
  <c r="AL63" i="40"/>
  <c r="O63" i="40"/>
  <c r="N63" i="40"/>
  <c r="M63" i="40"/>
  <c r="J63" i="40"/>
  <c r="AU66" i="40" s="1"/>
  <c r="I63" i="40"/>
  <c r="AQ63" i="40" s="1"/>
  <c r="H63" i="40"/>
  <c r="AW63" i="40" s="1"/>
  <c r="AZ63" i="40" s="1"/>
  <c r="F63" i="40"/>
  <c r="E63" i="40"/>
  <c r="B63" i="40"/>
  <c r="AW62" i="40"/>
  <c r="AZ62" i="40" s="1"/>
  <c r="AS62" i="40"/>
  <c r="AQ62" i="40"/>
  <c r="AR62" i="40" s="1"/>
  <c r="O62" i="40"/>
  <c r="N62" i="40"/>
  <c r="M62" i="40"/>
  <c r="J62" i="40"/>
  <c r="AU64" i="40" s="1"/>
  <c r="H62" i="40"/>
  <c r="AX62" i="40" s="1"/>
  <c r="BA62" i="40" s="1"/>
  <c r="J60" i="40"/>
  <c r="AX60" i="40"/>
  <c r="BA60" i="40" s="1"/>
  <c r="AS60" i="40"/>
  <c r="AM60" i="40"/>
  <c r="AQ60" i="40" s="1"/>
  <c r="AL60" i="40"/>
  <c r="M60" i="40"/>
  <c r="I60" i="40"/>
  <c r="H60" i="40"/>
  <c r="AW60" i="40" s="1"/>
  <c r="AZ60" i="40" s="1"/>
  <c r="B60" i="40"/>
  <c r="AS59" i="40"/>
  <c r="AN59" i="40"/>
  <c r="AM59" i="40"/>
  <c r="AL59" i="40"/>
  <c r="O59" i="40"/>
  <c r="M59" i="40"/>
  <c r="B59" i="40"/>
  <c r="N59" i="40" s="1"/>
  <c r="AS58" i="40"/>
  <c r="AN58" i="40"/>
  <c r="AM58" i="40"/>
  <c r="AL58" i="40"/>
  <c r="O58" i="40"/>
  <c r="M58" i="40"/>
  <c r="E58" i="40"/>
  <c r="B58" i="40"/>
  <c r="N58" i="40" s="1"/>
  <c r="AS57" i="40"/>
  <c r="AM57" i="40"/>
  <c r="AL57" i="40"/>
  <c r="O57" i="40"/>
  <c r="M57" i="40"/>
  <c r="B57" i="40"/>
  <c r="N57" i="40" s="1"/>
  <c r="AS56" i="40"/>
  <c r="AN56" i="40"/>
  <c r="AN57" i="40" s="1"/>
  <c r="AM56" i="40"/>
  <c r="AL56" i="40"/>
  <c r="O56" i="40"/>
  <c r="M56" i="40"/>
  <c r="I56" i="40"/>
  <c r="E56" i="40"/>
  <c r="E57" i="40" s="1"/>
  <c r="B56" i="40"/>
  <c r="N56" i="40" s="1"/>
  <c r="AS55" i="40"/>
  <c r="AN55" i="40"/>
  <c r="AL55" i="40"/>
  <c r="O55" i="40"/>
  <c r="M55" i="40"/>
  <c r="I55" i="40"/>
  <c r="I58" i="40" s="1"/>
  <c r="B55" i="40"/>
  <c r="N55" i="40" s="1"/>
  <c r="AS54" i="40"/>
  <c r="AN54" i="40"/>
  <c r="AM54" i="40"/>
  <c r="AL54" i="40"/>
  <c r="O54" i="40"/>
  <c r="M54" i="40"/>
  <c r="I54" i="40"/>
  <c r="E54" i="40"/>
  <c r="B54" i="40"/>
  <c r="N54" i="40" s="1"/>
  <c r="AS53" i="40"/>
  <c r="AN53" i="40"/>
  <c r="AM53" i="40"/>
  <c r="AM55" i="40" s="1"/>
  <c r="AL53" i="40"/>
  <c r="O53" i="40"/>
  <c r="N53" i="40"/>
  <c r="M53" i="40"/>
  <c r="J53" i="40"/>
  <c r="AU56" i="40" s="1"/>
  <c r="I53" i="40"/>
  <c r="AQ53" i="40" s="1"/>
  <c r="F53" i="40"/>
  <c r="F54" i="40" s="1"/>
  <c r="F55" i="40" s="1"/>
  <c r="E53" i="40"/>
  <c r="B53" i="40"/>
  <c r="AS52" i="40"/>
  <c r="AQ52" i="40"/>
  <c r="AR52" i="40" s="1"/>
  <c r="O52" i="40"/>
  <c r="N52" i="40"/>
  <c r="M52" i="40"/>
  <c r="J52" i="40"/>
  <c r="AU54" i="40" s="1"/>
  <c r="H52" i="40"/>
  <c r="AX52" i="40" s="1"/>
  <c r="BA52" i="40" s="1"/>
  <c r="AX50" i="40"/>
  <c r="BA50" i="40" s="1"/>
  <c r="AS50" i="40"/>
  <c r="AM50" i="40"/>
  <c r="AQ50" i="40" s="1"/>
  <c r="AL50" i="40"/>
  <c r="M50" i="40"/>
  <c r="I50" i="40"/>
  <c r="H50" i="40"/>
  <c r="AW50" i="40" s="1"/>
  <c r="AZ50" i="40" s="1"/>
  <c r="B50" i="40"/>
  <c r="AS49" i="40"/>
  <c r="AN49" i="40"/>
  <c r="AM49" i="40"/>
  <c r="AL49" i="40"/>
  <c r="O49" i="40"/>
  <c r="M49" i="40"/>
  <c r="B49" i="40"/>
  <c r="N49" i="40" s="1"/>
  <c r="AS48" i="40"/>
  <c r="AN48" i="40"/>
  <c r="AM48" i="40"/>
  <c r="AL48" i="40"/>
  <c r="O48" i="40"/>
  <c r="M48" i="40"/>
  <c r="E48" i="40"/>
  <c r="B48" i="40"/>
  <c r="N48" i="40" s="1"/>
  <c r="AS47" i="40"/>
  <c r="AM47" i="40"/>
  <c r="AL47" i="40"/>
  <c r="O47" i="40"/>
  <c r="M47" i="40"/>
  <c r="B47" i="40"/>
  <c r="N47" i="40" s="1"/>
  <c r="AS46" i="40"/>
  <c r="AN46" i="40"/>
  <c r="AN47" i="40" s="1"/>
  <c r="AM46" i="40"/>
  <c r="AL46" i="40"/>
  <c r="O46" i="40"/>
  <c r="M46" i="40"/>
  <c r="I46" i="40"/>
  <c r="E46" i="40"/>
  <c r="E47" i="40" s="1"/>
  <c r="B46" i="40"/>
  <c r="N46" i="40" s="1"/>
  <c r="AS45" i="40"/>
  <c r="AN45" i="40"/>
  <c r="AL45" i="40"/>
  <c r="O45" i="40"/>
  <c r="M45" i="40"/>
  <c r="I45" i="40"/>
  <c r="I48" i="40" s="1"/>
  <c r="B45" i="40"/>
  <c r="N45" i="40" s="1"/>
  <c r="AS44" i="40"/>
  <c r="AN44" i="40"/>
  <c r="AM44" i="40"/>
  <c r="AL44" i="40"/>
  <c r="O44" i="40"/>
  <c r="M44" i="40"/>
  <c r="I44" i="40"/>
  <c r="E44" i="40"/>
  <c r="B44" i="40"/>
  <c r="N44" i="40" s="1"/>
  <c r="AS43" i="40"/>
  <c r="AN43" i="40"/>
  <c r="AM43" i="40"/>
  <c r="AM45" i="40" s="1"/>
  <c r="AL43" i="40"/>
  <c r="O43" i="40"/>
  <c r="M43" i="40"/>
  <c r="J43" i="40"/>
  <c r="AU46" i="40" s="1"/>
  <c r="I43" i="40"/>
  <c r="AQ43" i="40" s="1"/>
  <c r="F43" i="40"/>
  <c r="H43" i="40" s="1"/>
  <c r="AW43" i="40" s="1"/>
  <c r="AZ43" i="40" s="1"/>
  <c r="E43" i="40"/>
  <c r="B43" i="40"/>
  <c r="N43" i="40" s="1"/>
  <c r="AS42" i="40"/>
  <c r="AQ42" i="40"/>
  <c r="AR42" i="40" s="1"/>
  <c r="O42" i="40"/>
  <c r="N42" i="40"/>
  <c r="M42" i="40"/>
  <c r="J42" i="40"/>
  <c r="AU44" i="40" s="1"/>
  <c r="H42" i="40"/>
  <c r="AX42" i="40" s="1"/>
  <c r="BA42" i="40" s="1"/>
  <c r="AS40" i="40"/>
  <c r="AM40" i="40"/>
  <c r="AQ40" i="40" s="1"/>
  <c r="AL40" i="40"/>
  <c r="M40" i="40"/>
  <c r="I40" i="40"/>
  <c r="H40" i="40"/>
  <c r="AW40" i="40" s="1"/>
  <c r="AZ40" i="40" s="1"/>
  <c r="B40" i="40"/>
  <c r="AS39" i="40"/>
  <c r="AN39" i="40"/>
  <c r="AM39" i="40"/>
  <c r="AL39" i="40"/>
  <c r="O39" i="40"/>
  <c r="M39" i="40"/>
  <c r="I39" i="40"/>
  <c r="B39" i="40"/>
  <c r="N39" i="40" s="1"/>
  <c r="AS38" i="40"/>
  <c r="AN38" i="40"/>
  <c r="AM38" i="40"/>
  <c r="AL38" i="40"/>
  <c r="O38" i="40"/>
  <c r="M38" i="40"/>
  <c r="B38" i="40"/>
  <c r="N38" i="40" s="1"/>
  <c r="AS37" i="40"/>
  <c r="AM37" i="40"/>
  <c r="AL37" i="40"/>
  <c r="O37" i="40"/>
  <c r="M37" i="40"/>
  <c r="B37" i="40"/>
  <c r="N37" i="40" s="1"/>
  <c r="AS36" i="40"/>
  <c r="AN36" i="40"/>
  <c r="AN37" i="40" s="1"/>
  <c r="AM36" i="40"/>
  <c r="AL36" i="40"/>
  <c r="O36" i="40"/>
  <c r="M36" i="40"/>
  <c r="I36" i="40"/>
  <c r="E36" i="40"/>
  <c r="E37" i="40" s="1"/>
  <c r="B36" i="40"/>
  <c r="N36" i="40" s="1"/>
  <c r="AS35" i="40"/>
  <c r="AN35" i="40"/>
  <c r="AL35" i="40"/>
  <c r="O35" i="40"/>
  <c r="M35" i="40"/>
  <c r="J35" i="40"/>
  <c r="AU35" i="40" s="1"/>
  <c r="I35" i="40"/>
  <c r="I37" i="40" s="1"/>
  <c r="J37" i="40" s="1"/>
  <c r="B35" i="40"/>
  <c r="N35" i="40" s="1"/>
  <c r="AS34" i="40"/>
  <c r="AN34" i="40"/>
  <c r="AM34" i="40"/>
  <c r="AL34" i="40"/>
  <c r="O34" i="40"/>
  <c r="M34" i="40"/>
  <c r="I34" i="40"/>
  <c r="E34" i="40"/>
  <c r="B34" i="40"/>
  <c r="N34" i="40" s="1"/>
  <c r="AS33" i="40"/>
  <c r="AN33" i="40"/>
  <c r="AM33" i="40"/>
  <c r="AM35" i="40" s="1"/>
  <c r="AQ35" i="40" s="1"/>
  <c r="AL33" i="40"/>
  <c r="O33" i="40"/>
  <c r="N33" i="40"/>
  <c r="M33" i="40"/>
  <c r="J33" i="40"/>
  <c r="AU36" i="40" s="1"/>
  <c r="I33" i="40"/>
  <c r="AQ33" i="40" s="1"/>
  <c r="F33" i="40"/>
  <c r="F34" i="40" s="1"/>
  <c r="F35" i="40" s="1"/>
  <c r="E33" i="40"/>
  <c r="B33" i="40"/>
  <c r="AS32" i="40"/>
  <c r="AQ32" i="40"/>
  <c r="AR32" i="40" s="1"/>
  <c r="O32" i="40"/>
  <c r="N32" i="40"/>
  <c r="M32" i="40"/>
  <c r="J32" i="40"/>
  <c r="AU34" i="40" s="1"/>
  <c r="H32" i="40"/>
  <c r="AX32" i="40" s="1"/>
  <c r="BA32" i="40" s="1"/>
  <c r="AX30" i="40"/>
  <c r="BA30" i="40" s="1"/>
  <c r="AS30" i="40"/>
  <c r="AM30" i="40"/>
  <c r="AL30" i="40"/>
  <c r="M30" i="40"/>
  <c r="I30" i="40"/>
  <c r="H30" i="40"/>
  <c r="AW30" i="40" s="1"/>
  <c r="AZ30" i="40" s="1"/>
  <c r="B30" i="40"/>
  <c r="AS29" i="40"/>
  <c r="AN29" i="40"/>
  <c r="AM29" i="40"/>
  <c r="AL29" i="40"/>
  <c r="O29" i="40"/>
  <c r="M29" i="40"/>
  <c r="B29" i="40"/>
  <c r="N29" i="40" s="1"/>
  <c r="AS28" i="40"/>
  <c r="AN28" i="40"/>
  <c r="AM28" i="40"/>
  <c r="AL28" i="40"/>
  <c r="O28" i="40"/>
  <c r="M28" i="40"/>
  <c r="B28" i="40"/>
  <c r="N28" i="40" s="1"/>
  <c r="AS27" i="40"/>
  <c r="AN27" i="40"/>
  <c r="AM27" i="40"/>
  <c r="AL27" i="40"/>
  <c r="O27" i="40"/>
  <c r="M27" i="40"/>
  <c r="B27" i="40"/>
  <c r="N27" i="40" s="1"/>
  <c r="AU26" i="40"/>
  <c r="AS26" i="40"/>
  <c r="AN26" i="40"/>
  <c r="AM26" i="40"/>
  <c r="AL26" i="40"/>
  <c r="O26" i="40"/>
  <c r="M26" i="40"/>
  <c r="I26" i="40"/>
  <c r="E26" i="40"/>
  <c r="E27" i="40" s="1"/>
  <c r="B26" i="40"/>
  <c r="N26" i="40" s="1"/>
  <c r="AS25" i="40"/>
  <c r="AN25" i="40"/>
  <c r="AL25" i="40"/>
  <c r="O25" i="40"/>
  <c r="N25" i="40"/>
  <c r="M25" i="40"/>
  <c r="I25" i="40"/>
  <c r="I27" i="40" s="1"/>
  <c r="J27" i="40" s="1"/>
  <c r="B25" i="40"/>
  <c r="AU24" i="40"/>
  <c r="AS24" i="40"/>
  <c r="AN24" i="40"/>
  <c r="AM24" i="40"/>
  <c r="AL24" i="40"/>
  <c r="O24" i="40"/>
  <c r="M24" i="40"/>
  <c r="I24" i="40"/>
  <c r="E24" i="40"/>
  <c r="H24" i="40" s="1"/>
  <c r="B24" i="40"/>
  <c r="N24" i="40" s="1"/>
  <c r="AU23" i="40"/>
  <c r="AS23" i="40"/>
  <c r="AN23" i="40"/>
  <c r="AM23" i="40"/>
  <c r="AM25" i="40" s="1"/>
  <c r="AL23" i="40"/>
  <c r="O23" i="40"/>
  <c r="N23" i="40"/>
  <c r="M23" i="40"/>
  <c r="J23" i="40"/>
  <c r="I23" i="40"/>
  <c r="AQ23" i="40" s="1"/>
  <c r="H23" i="40"/>
  <c r="AW23" i="40" s="1"/>
  <c r="AZ23" i="40" s="1"/>
  <c r="F23" i="40"/>
  <c r="F24" i="40" s="1"/>
  <c r="F25" i="40" s="1"/>
  <c r="E23" i="40"/>
  <c r="B23" i="40"/>
  <c r="AW22" i="40"/>
  <c r="AZ22" i="40" s="1"/>
  <c r="AS22" i="40"/>
  <c r="AR22" i="40"/>
  <c r="AQ22" i="40"/>
  <c r="O22" i="40"/>
  <c r="N22" i="40"/>
  <c r="M22" i="40"/>
  <c r="J22" i="40"/>
  <c r="AU22" i="40" s="1"/>
  <c r="H22" i="40"/>
  <c r="AX285" i="40" l="1"/>
  <c r="BA285" i="40" s="1"/>
  <c r="AW285" i="40"/>
  <c r="AZ285" i="40" s="1"/>
  <c r="AX284" i="40"/>
  <c r="BA284" i="40" s="1"/>
  <c r="AW284" i="40"/>
  <c r="AZ284" i="40" s="1"/>
  <c r="AR287" i="40"/>
  <c r="AT287" i="40" s="1"/>
  <c r="AX286" i="40"/>
  <c r="BA286" i="40" s="1"/>
  <c r="AW286" i="40"/>
  <c r="AZ286" i="40" s="1"/>
  <c r="AT286" i="40"/>
  <c r="AV286" i="40" s="1"/>
  <c r="AY286" i="40" s="1"/>
  <c r="AR286" i="40"/>
  <c r="AV282" i="40"/>
  <c r="AY282" i="40" s="1"/>
  <c r="AR284" i="40"/>
  <c r="AT284" i="40" s="1"/>
  <c r="AV284" i="40" s="1"/>
  <c r="AY284" i="40" s="1"/>
  <c r="AW287" i="40"/>
  <c r="AZ287" i="40" s="1"/>
  <c r="AX287" i="40"/>
  <c r="BA287" i="40" s="1"/>
  <c r="AQ285" i="40"/>
  <c r="AT282" i="40"/>
  <c r="AR283" i="40"/>
  <c r="AT283" i="40" s="1"/>
  <c r="AV283" i="40" s="1"/>
  <c r="AY283" i="40" s="1"/>
  <c r="AU287" i="40"/>
  <c r="AW283" i="40"/>
  <c r="AZ283" i="40" s="1"/>
  <c r="AR255" i="2"/>
  <c r="AT255" i="2"/>
  <c r="AV255" i="2" s="1"/>
  <c r="AY255" i="2" s="1"/>
  <c r="AX256" i="2"/>
  <c r="BA256" i="2" s="1"/>
  <c r="AW256" i="2"/>
  <c r="AZ256" i="2" s="1"/>
  <c r="AW257" i="2"/>
  <c r="AZ257" i="2" s="1"/>
  <c r="AX257" i="2"/>
  <c r="BA257" i="2" s="1"/>
  <c r="AR253" i="2"/>
  <c r="AT253" i="2"/>
  <c r="AV253" i="2" s="1"/>
  <c r="AY253" i="2" s="1"/>
  <c r="AR256" i="2"/>
  <c r="AT256" i="2" s="1"/>
  <c r="AV256" i="2" s="1"/>
  <c r="AY256" i="2" s="1"/>
  <c r="AX253" i="2"/>
  <c r="BA253" i="2" s="1"/>
  <c r="AW253" i="2"/>
  <c r="AZ253" i="2" s="1"/>
  <c r="AR257" i="2"/>
  <c r="AT257" i="2"/>
  <c r="AV257" i="2" s="1"/>
  <c r="AY257" i="2" s="1"/>
  <c r="AW254" i="2"/>
  <c r="AZ254" i="2" s="1"/>
  <c r="AR252" i="2"/>
  <c r="AT252" i="2" s="1"/>
  <c r="AV252" i="2" s="1"/>
  <c r="AY252" i="2" s="1"/>
  <c r="AR254" i="2"/>
  <c r="AT254" i="2" s="1"/>
  <c r="AV254" i="2" s="1"/>
  <c r="AY254" i="2" s="1"/>
  <c r="AX255" i="2"/>
  <c r="BA255" i="2" s="1"/>
  <c r="AX254" i="2"/>
  <c r="BA254" i="2" s="1"/>
  <c r="H275" i="40"/>
  <c r="H265" i="40"/>
  <c r="H268" i="40"/>
  <c r="AX273" i="40"/>
  <c r="BA273" i="40" s="1"/>
  <c r="AW273" i="40"/>
  <c r="AZ273" i="40" s="1"/>
  <c r="AR275" i="40"/>
  <c r="AT275" i="40"/>
  <c r="H277" i="40"/>
  <c r="AW278" i="40"/>
  <c r="AZ278" i="40" s="1"/>
  <c r="AX278" i="40"/>
  <c r="BA278" i="40" s="1"/>
  <c r="AR278" i="40"/>
  <c r="AT278" i="40" s="1"/>
  <c r="AV278" i="40" s="1"/>
  <c r="AY278" i="40" s="1"/>
  <c r="AR273" i="40"/>
  <c r="AT273" i="40"/>
  <c r="AV273" i="40" s="1"/>
  <c r="AY273" i="40" s="1"/>
  <c r="AR274" i="40"/>
  <c r="AT274" i="40" s="1"/>
  <c r="AV274" i="40" s="1"/>
  <c r="AY274" i="40" s="1"/>
  <c r="AV272" i="40"/>
  <c r="AY272" i="40" s="1"/>
  <c r="AW279" i="40"/>
  <c r="AZ279" i="40" s="1"/>
  <c r="AX279" i="40"/>
  <c r="BA279" i="40" s="1"/>
  <c r="AV275" i="40"/>
  <c r="AY275" i="40" s="1"/>
  <c r="AW275" i="40"/>
  <c r="AZ275" i="40" s="1"/>
  <c r="AX275" i="40"/>
  <c r="BA275" i="40" s="1"/>
  <c r="AX274" i="40"/>
  <c r="BA274" i="40" s="1"/>
  <c r="AX272" i="40"/>
  <c r="BA272" i="40" s="1"/>
  <c r="F277" i="40"/>
  <c r="AX276" i="40"/>
  <c r="BA276" i="40" s="1"/>
  <c r="AQ277" i="40"/>
  <c r="AY276" i="40"/>
  <c r="AU279" i="40"/>
  <c r="AV279" i="40" s="1"/>
  <c r="AY279" i="40" s="1"/>
  <c r="AR263" i="40"/>
  <c r="AT263" i="40"/>
  <c r="AR264" i="40"/>
  <c r="AT264" i="40" s="1"/>
  <c r="AV264" i="40" s="1"/>
  <c r="AY264" i="40" s="1"/>
  <c r="H267" i="40"/>
  <c r="AX268" i="40"/>
  <c r="BA268" i="40" s="1"/>
  <c r="AW268" i="40"/>
  <c r="AZ268" i="40" s="1"/>
  <c r="AR268" i="40"/>
  <c r="AT268" i="40"/>
  <c r="AV268" i="40"/>
  <c r="AY268" i="40" s="1"/>
  <c r="AY262" i="40"/>
  <c r="AR265" i="40"/>
  <c r="AT265" i="40"/>
  <c r="AV265" i="40" s="1"/>
  <c r="AY265" i="40" s="1"/>
  <c r="AT267" i="40"/>
  <c r="AR267" i="40"/>
  <c r="AW269" i="40"/>
  <c r="AZ269" i="40" s="1"/>
  <c r="AX269" i="40"/>
  <c r="BA269" i="40" s="1"/>
  <c r="AY269" i="40"/>
  <c r="AV263" i="40"/>
  <c r="AX265" i="40"/>
  <c r="BA265" i="40" s="1"/>
  <c r="AW265" i="40"/>
  <c r="AZ265" i="40" s="1"/>
  <c r="AV262" i="40"/>
  <c r="H263" i="40"/>
  <c r="AQ266" i="40"/>
  <c r="J267" i="40"/>
  <c r="AU267" i="40" s="1"/>
  <c r="AV267" i="40" s="1"/>
  <c r="AU269" i="40"/>
  <c r="AV269" i="40" s="1"/>
  <c r="AX262" i="40"/>
  <c r="BA262" i="40" s="1"/>
  <c r="AX264" i="40"/>
  <c r="BA264" i="40" s="1"/>
  <c r="AX266" i="40"/>
  <c r="BA266" i="40" s="1"/>
  <c r="AQ259" i="40"/>
  <c r="J256" i="40"/>
  <c r="AU256" i="40" s="1"/>
  <c r="AQ256" i="40"/>
  <c r="AT256" i="40" s="1"/>
  <c r="AV256" i="40" s="1"/>
  <c r="AY256" i="40" s="1"/>
  <c r="AQ258" i="40"/>
  <c r="AR258" i="40" s="1"/>
  <c r="AT258" i="40" s="1"/>
  <c r="AQ255" i="40"/>
  <c r="AX253" i="40"/>
  <c r="BA253" i="40" s="1"/>
  <c r="AW253" i="40"/>
  <c r="AZ253" i="40" s="1"/>
  <c r="AT257" i="40"/>
  <c r="AV257" i="40" s="1"/>
  <c r="AY257" i="40" s="1"/>
  <c r="AR257" i="40"/>
  <c r="AR259" i="40"/>
  <c r="AT259" i="40"/>
  <c r="AX254" i="40"/>
  <c r="BA254" i="40" s="1"/>
  <c r="AW254" i="40"/>
  <c r="AZ254" i="40" s="1"/>
  <c r="AW255" i="40"/>
  <c r="AZ255" i="40" s="1"/>
  <c r="AX255" i="40"/>
  <c r="BA255" i="40" s="1"/>
  <c r="AT253" i="40"/>
  <c r="AV253" i="40" s="1"/>
  <c r="AY253" i="40" s="1"/>
  <c r="AR253" i="40"/>
  <c r="AR256" i="40"/>
  <c r="AR254" i="40"/>
  <c r="AT254" i="40" s="1"/>
  <c r="AV254" i="40" s="1"/>
  <c r="AY254" i="40" s="1"/>
  <c r="AU258" i="40"/>
  <c r="AU259" i="40"/>
  <c r="AR255" i="40"/>
  <c r="AT255" i="40" s="1"/>
  <c r="AV255" i="40" s="1"/>
  <c r="AY255" i="40" s="1"/>
  <c r="AX258" i="40"/>
  <c r="BA258" i="40" s="1"/>
  <c r="AW258" i="40"/>
  <c r="AZ258" i="40" s="1"/>
  <c r="AW259" i="40"/>
  <c r="AZ259" i="40" s="1"/>
  <c r="AX259" i="40"/>
  <c r="BA259" i="40" s="1"/>
  <c r="AX252" i="40"/>
  <c r="BA252" i="40" s="1"/>
  <c r="AU252" i="40"/>
  <c r="AV252" i="40" s="1"/>
  <c r="AY252" i="40" s="1"/>
  <c r="AW256" i="40"/>
  <c r="AZ256" i="40" s="1"/>
  <c r="AX256" i="40"/>
  <c r="BA256" i="40" s="1"/>
  <c r="AW257" i="40"/>
  <c r="AZ257" i="40" s="1"/>
  <c r="H225" i="40"/>
  <c r="AQ245" i="40"/>
  <c r="AQ243" i="40"/>
  <c r="AT243" i="40" s="1"/>
  <c r="AV243" i="40" s="1"/>
  <c r="AY243" i="40" s="1"/>
  <c r="AQ248" i="40"/>
  <c r="AR248" i="40" s="1"/>
  <c r="AU243" i="40"/>
  <c r="I247" i="40"/>
  <c r="J247" i="40" s="1"/>
  <c r="AU247" i="40" s="1"/>
  <c r="AX243" i="40"/>
  <c r="BA243" i="40" s="1"/>
  <c r="AW243" i="40"/>
  <c r="AZ243" i="40" s="1"/>
  <c r="H245" i="40"/>
  <c r="AR245" i="40"/>
  <c r="AT245" i="40"/>
  <c r="AV245" i="40" s="1"/>
  <c r="AR246" i="40"/>
  <c r="AT246" i="40" s="1"/>
  <c r="AW246" i="40"/>
  <c r="AZ246" i="40" s="1"/>
  <c r="AX246" i="40"/>
  <c r="BA246" i="40" s="1"/>
  <c r="AW249" i="40"/>
  <c r="AZ249" i="40" s="1"/>
  <c r="AX249" i="40"/>
  <c r="BA249" i="40" s="1"/>
  <c r="AR244" i="40"/>
  <c r="AT244" i="40" s="1"/>
  <c r="AV244" i="40" s="1"/>
  <c r="AV242" i="40"/>
  <c r="AR243" i="40"/>
  <c r="H242" i="40"/>
  <c r="F245" i="40"/>
  <c r="J246" i="40"/>
  <c r="AU246" i="40" s="1"/>
  <c r="F247" i="40"/>
  <c r="H247" i="40" s="1"/>
  <c r="AQ247" i="40"/>
  <c r="F248" i="40"/>
  <c r="H248" i="40" s="1"/>
  <c r="AU249" i="40"/>
  <c r="AV249" i="40" s="1"/>
  <c r="AY249" i="40" s="1"/>
  <c r="F244" i="40"/>
  <c r="H244" i="40" s="1"/>
  <c r="AU233" i="40"/>
  <c r="AV233" i="40" s="1"/>
  <c r="AQ239" i="40"/>
  <c r="AQ233" i="40"/>
  <c r="AQ238" i="40"/>
  <c r="AR238" i="40" s="1"/>
  <c r="AT238" i="40" s="1"/>
  <c r="AV238" i="40" s="1"/>
  <c r="AX237" i="40"/>
  <c r="BA237" i="40" s="1"/>
  <c r="AW237" i="40"/>
  <c r="AZ237" i="40" s="1"/>
  <c r="AR235" i="40"/>
  <c r="AT235" i="40"/>
  <c r="AV235" i="40" s="1"/>
  <c r="AY235" i="40" s="1"/>
  <c r="AR239" i="40"/>
  <c r="AT239" i="40" s="1"/>
  <c r="AX235" i="40"/>
  <c r="BA235" i="40" s="1"/>
  <c r="AW235" i="40"/>
  <c r="AZ235" i="40" s="1"/>
  <c r="AW236" i="40"/>
  <c r="AZ236" i="40" s="1"/>
  <c r="AX236" i="40"/>
  <c r="BA236" i="40" s="1"/>
  <c r="AY232" i="40"/>
  <c r="AR233" i="40"/>
  <c r="AT233" i="40"/>
  <c r="AT234" i="40"/>
  <c r="AR234" i="40"/>
  <c r="AR236" i="40"/>
  <c r="AT236" i="40"/>
  <c r="AV236" i="40" s="1"/>
  <c r="AY236" i="40" s="1"/>
  <c r="AW239" i="40"/>
  <c r="AZ239" i="40" s="1"/>
  <c r="AX239" i="40"/>
  <c r="BA239" i="40" s="1"/>
  <c r="AQ237" i="40"/>
  <c r="AW232" i="40"/>
  <c r="AZ232" i="40" s="1"/>
  <c r="H233" i="40"/>
  <c r="AU234" i="40"/>
  <c r="F238" i="40"/>
  <c r="H238" i="40" s="1"/>
  <c r="AU239" i="40"/>
  <c r="AX232" i="40"/>
  <c r="BA232" i="40" s="1"/>
  <c r="F234" i="40"/>
  <c r="H234" i="40" s="1"/>
  <c r="AQ225" i="40"/>
  <c r="AU223" i="40"/>
  <c r="J226" i="40"/>
  <c r="AU226" i="40" s="1"/>
  <c r="AQ223" i="40"/>
  <c r="AR223" i="40" s="1"/>
  <c r="AT223" i="40" s="1"/>
  <c r="AV223" i="40" s="1"/>
  <c r="I227" i="40"/>
  <c r="AQ227" i="40" s="1"/>
  <c r="AV222" i="40"/>
  <c r="AQ228" i="40"/>
  <c r="AR228" i="40" s="1"/>
  <c r="AT228" i="40" s="1"/>
  <c r="AV228" i="40" s="1"/>
  <c r="AR224" i="40"/>
  <c r="AT224" i="40" s="1"/>
  <c r="AR225" i="40"/>
  <c r="AT225" i="40"/>
  <c r="AV225" i="40" s="1"/>
  <c r="AY225" i="40" s="1"/>
  <c r="AR226" i="40"/>
  <c r="AT226" i="40" s="1"/>
  <c r="AR229" i="40"/>
  <c r="AT229" i="40" s="1"/>
  <c r="AW226" i="40"/>
  <c r="AZ226" i="40" s="1"/>
  <c r="AX226" i="40"/>
  <c r="BA226" i="40" s="1"/>
  <c r="AR227" i="40"/>
  <c r="AT227" i="40" s="1"/>
  <c r="AY222" i="40"/>
  <c r="AX225" i="40"/>
  <c r="BA225" i="40" s="1"/>
  <c r="AW225" i="40"/>
  <c r="AZ225" i="40" s="1"/>
  <c r="H227" i="40"/>
  <c r="AW229" i="40"/>
  <c r="AZ229" i="40" s="1"/>
  <c r="AX229" i="40"/>
  <c r="BA229" i="40" s="1"/>
  <c r="AW222" i="40"/>
  <c r="AZ222" i="40" s="1"/>
  <c r="H223" i="40"/>
  <c r="AU224" i="40"/>
  <c r="J227" i="40"/>
  <c r="AU227" i="40" s="1"/>
  <c r="F228" i="40"/>
  <c r="H228" i="40" s="1"/>
  <c r="AU229" i="40"/>
  <c r="AX222" i="40"/>
  <c r="BA222" i="40" s="1"/>
  <c r="F224" i="40"/>
  <c r="H224" i="40" s="1"/>
  <c r="AY212" i="40"/>
  <c r="H214" i="40"/>
  <c r="AW214" i="40" s="1"/>
  <c r="AZ214" i="40" s="1"/>
  <c r="H213" i="40"/>
  <c r="H215" i="40"/>
  <c r="H219" i="40"/>
  <c r="AX219" i="40" s="1"/>
  <c r="BA219" i="40" s="1"/>
  <c r="AW216" i="40"/>
  <c r="AZ216" i="40" s="1"/>
  <c r="AX216" i="40"/>
  <c r="BA216" i="40" s="1"/>
  <c r="AR216" i="40"/>
  <c r="AT216" i="40" s="1"/>
  <c r="AV216" i="40" s="1"/>
  <c r="AY216" i="40" s="1"/>
  <c r="H218" i="40"/>
  <c r="AT217" i="40"/>
  <c r="AR217" i="40"/>
  <c r="AR218" i="40"/>
  <c r="AT218" i="40" s="1"/>
  <c r="AV218" i="40" s="1"/>
  <c r="AR219" i="40"/>
  <c r="AT219" i="40" s="1"/>
  <c r="AR213" i="40"/>
  <c r="AT213" i="40"/>
  <c r="AT215" i="40"/>
  <c r="AV215" i="40" s="1"/>
  <c r="AY215" i="40" s="1"/>
  <c r="AR215" i="40"/>
  <c r="AW219" i="40"/>
  <c r="AZ219" i="40" s="1"/>
  <c r="AX213" i="40"/>
  <c r="BA213" i="40" s="1"/>
  <c r="AW213" i="40"/>
  <c r="AZ213" i="40" s="1"/>
  <c r="AX217" i="40"/>
  <c r="BA217" i="40" s="1"/>
  <c r="AW217" i="40"/>
  <c r="AZ217" i="40" s="1"/>
  <c r="AR214" i="40"/>
  <c r="AT214" i="40"/>
  <c r="AX214" i="40"/>
  <c r="BA214" i="40" s="1"/>
  <c r="AW212" i="40"/>
  <c r="AZ212" i="40" s="1"/>
  <c r="AU214" i="40"/>
  <c r="AV214" i="40" s="1"/>
  <c r="AY214" i="40" s="1"/>
  <c r="AW215" i="40"/>
  <c r="AZ215" i="40" s="1"/>
  <c r="J217" i="40"/>
  <c r="AU217" i="40" s="1"/>
  <c r="AU219" i="40"/>
  <c r="AU213" i="40"/>
  <c r="AX215" i="40"/>
  <c r="BA215" i="40" s="1"/>
  <c r="H206" i="40"/>
  <c r="F208" i="40"/>
  <c r="F207" i="40"/>
  <c r="H205" i="40"/>
  <c r="AW205" i="40" s="1"/>
  <c r="AZ205" i="40" s="1"/>
  <c r="H204" i="40"/>
  <c r="H198" i="40"/>
  <c r="H208" i="40"/>
  <c r="AW208" i="40" s="1"/>
  <c r="AZ208" i="40" s="1"/>
  <c r="J206" i="40"/>
  <c r="AU206" i="40" s="1"/>
  <c r="AQ206" i="40"/>
  <c r="AQ208" i="40"/>
  <c r="AU203" i="40"/>
  <c r="AU208" i="40"/>
  <c r="AU209" i="40"/>
  <c r="AV209" i="40" s="1"/>
  <c r="AX205" i="40"/>
  <c r="BA205" i="40" s="1"/>
  <c r="AX203" i="40"/>
  <c r="BA203" i="40" s="1"/>
  <c r="AW203" i="40"/>
  <c r="AZ203" i="40" s="1"/>
  <c r="AW204" i="40"/>
  <c r="AZ204" i="40" s="1"/>
  <c r="AX204" i="40"/>
  <c r="BA204" i="40" s="1"/>
  <c r="AR204" i="40"/>
  <c r="AT204" i="40" s="1"/>
  <c r="AV204" i="40" s="1"/>
  <c r="AY204" i="40" s="1"/>
  <c r="AW206" i="40"/>
  <c r="AZ206" i="40" s="1"/>
  <c r="AX206" i="40"/>
  <c r="BA206" i="40" s="1"/>
  <c r="AR208" i="40"/>
  <c r="AT208" i="40" s="1"/>
  <c r="AT203" i="40"/>
  <c r="AV203" i="40" s="1"/>
  <c r="AY203" i="40" s="1"/>
  <c r="AR203" i="40"/>
  <c r="AR206" i="40"/>
  <c r="AT206" i="40" s="1"/>
  <c r="AV206" i="40" s="1"/>
  <c r="AY206" i="40" s="1"/>
  <c r="AX202" i="40"/>
  <c r="BA202" i="40" s="1"/>
  <c r="AU202" i="40"/>
  <c r="AV202" i="40" s="1"/>
  <c r="AY202" i="40" s="1"/>
  <c r="AR207" i="40"/>
  <c r="AT207" i="40" s="1"/>
  <c r="AV207" i="40" s="1"/>
  <c r="AR199" i="40"/>
  <c r="AT199" i="40"/>
  <c r="AW195" i="40"/>
  <c r="AZ195" i="40" s="1"/>
  <c r="AX195" i="40"/>
  <c r="BA195" i="40" s="1"/>
  <c r="AR197" i="40"/>
  <c r="AT197" i="40" s="1"/>
  <c r="AV197" i="40" s="1"/>
  <c r="AY197" i="40" s="1"/>
  <c r="AR193" i="40"/>
  <c r="AT193" i="40" s="1"/>
  <c r="AV193" i="40" s="1"/>
  <c r="AY193" i="40" s="1"/>
  <c r="AT195" i="40"/>
  <c r="AV195" i="40" s="1"/>
  <c r="AY195" i="40" s="1"/>
  <c r="AR195" i="40"/>
  <c r="AR196" i="40"/>
  <c r="AT196" i="40"/>
  <c r="AV196" i="40" s="1"/>
  <c r="AY196" i="40" s="1"/>
  <c r="AR198" i="40"/>
  <c r="AT198" i="40"/>
  <c r="AX193" i="40"/>
  <c r="BA193" i="40" s="1"/>
  <c r="AW193" i="40"/>
  <c r="AZ193" i="40" s="1"/>
  <c r="AX194" i="40"/>
  <c r="BA194" i="40" s="1"/>
  <c r="AW194" i="40"/>
  <c r="AZ194" i="40" s="1"/>
  <c r="AR194" i="40"/>
  <c r="AT194" i="40" s="1"/>
  <c r="AV194" i="40" s="1"/>
  <c r="AY194" i="40" s="1"/>
  <c r="AU198" i="40"/>
  <c r="AV198" i="40" s="1"/>
  <c r="AU199" i="40"/>
  <c r="AV199" i="40" s="1"/>
  <c r="AY199" i="40" s="1"/>
  <c r="AY198" i="40"/>
  <c r="AX198" i="40"/>
  <c r="BA198" i="40" s="1"/>
  <c r="AW198" i="40"/>
  <c r="AZ198" i="40" s="1"/>
  <c r="AW199" i="40"/>
  <c r="AZ199" i="40" s="1"/>
  <c r="AX199" i="40"/>
  <c r="BA199" i="40" s="1"/>
  <c r="AU192" i="40"/>
  <c r="AV192" i="40" s="1"/>
  <c r="AY192" i="40"/>
  <c r="AW196" i="40"/>
  <c r="AZ196" i="40" s="1"/>
  <c r="AX196" i="40"/>
  <c r="BA196" i="40" s="1"/>
  <c r="AW197" i="40"/>
  <c r="AZ197" i="40" s="1"/>
  <c r="AX192" i="40"/>
  <c r="BA192" i="40" s="1"/>
  <c r="AQ184" i="40"/>
  <c r="AV182" i="40"/>
  <c r="AQ187" i="40"/>
  <c r="AR187" i="40" s="1"/>
  <c r="AQ186" i="40"/>
  <c r="AR184" i="40"/>
  <c r="AT184" i="40"/>
  <c r="AX185" i="40"/>
  <c r="BA185" i="40" s="1"/>
  <c r="AW185" i="40"/>
  <c r="AZ185" i="40" s="1"/>
  <c r="AX183" i="40"/>
  <c r="BA183" i="40" s="1"/>
  <c r="AW183" i="40"/>
  <c r="AZ183" i="40" s="1"/>
  <c r="AR186" i="40"/>
  <c r="AT186" i="40" s="1"/>
  <c r="AU184" i="40"/>
  <c r="AV184" i="40" s="1"/>
  <c r="J186" i="40"/>
  <c r="AU183" i="40"/>
  <c r="AR183" i="40"/>
  <c r="AT183" i="40" s="1"/>
  <c r="AY184" i="40"/>
  <c r="AX184" i="40"/>
  <c r="BA184" i="40" s="1"/>
  <c r="AW184" i="40"/>
  <c r="AZ184" i="40" s="1"/>
  <c r="AX186" i="40"/>
  <c r="BA186" i="40" s="1"/>
  <c r="AW186" i="40"/>
  <c r="AZ186" i="40" s="1"/>
  <c r="AW187" i="40"/>
  <c r="AZ187" i="40" s="1"/>
  <c r="AX187" i="40"/>
  <c r="BA187" i="40" s="1"/>
  <c r="AQ185" i="40"/>
  <c r="AY182" i="40"/>
  <c r="AQ174" i="40"/>
  <c r="AV172" i="40"/>
  <c r="AQ176" i="40"/>
  <c r="AR176" i="40" s="1"/>
  <c r="AT176" i="40" s="1"/>
  <c r="H176" i="40"/>
  <c r="AX172" i="40"/>
  <c r="BA172" i="40" s="1"/>
  <c r="AR174" i="40"/>
  <c r="AT174" i="40" s="1"/>
  <c r="AX175" i="40"/>
  <c r="BA175" i="40" s="1"/>
  <c r="AW175" i="40"/>
  <c r="AZ175" i="40" s="1"/>
  <c r="AX173" i="40"/>
  <c r="BA173" i="40" s="1"/>
  <c r="AW173" i="40"/>
  <c r="AZ173" i="40" s="1"/>
  <c r="AR177" i="40"/>
  <c r="AT177" i="40" s="1"/>
  <c r="AU174" i="40"/>
  <c r="J176" i="40"/>
  <c r="AU173" i="40"/>
  <c r="AT173" i="40"/>
  <c r="AR173" i="40"/>
  <c r="AX174" i="40"/>
  <c r="BA174" i="40" s="1"/>
  <c r="AW174" i="40"/>
  <c r="AZ174" i="40" s="1"/>
  <c r="AX176" i="40"/>
  <c r="BA176" i="40" s="1"/>
  <c r="AW176" i="40"/>
  <c r="AZ176" i="40" s="1"/>
  <c r="AW177" i="40"/>
  <c r="AZ177" i="40" s="1"/>
  <c r="AX177" i="40"/>
  <c r="BA177" i="40" s="1"/>
  <c r="AQ175" i="40"/>
  <c r="AY172" i="40"/>
  <c r="AR162" i="40"/>
  <c r="AT162" i="40" s="1"/>
  <c r="AV162" i="40" s="1"/>
  <c r="AY162" i="40" s="1"/>
  <c r="AQ164" i="40"/>
  <c r="H164" i="40"/>
  <c r="H166" i="40"/>
  <c r="AX166" i="40" s="1"/>
  <c r="BA166" i="40" s="1"/>
  <c r="H167" i="40"/>
  <c r="AW167" i="40" s="1"/>
  <c r="AZ167" i="40" s="1"/>
  <c r="AR167" i="40"/>
  <c r="AT167" i="40"/>
  <c r="AU164" i="40"/>
  <c r="J166" i="40"/>
  <c r="AU163" i="40"/>
  <c r="AR166" i="40"/>
  <c r="AT166" i="40" s="1"/>
  <c r="AW166" i="40"/>
  <c r="AZ166" i="40" s="1"/>
  <c r="AR163" i="40"/>
  <c r="AT163" i="40" s="1"/>
  <c r="AX164" i="40"/>
  <c r="BA164" i="40" s="1"/>
  <c r="AW164" i="40"/>
  <c r="AZ164" i="40" s="1"/>
  <c r="AQ165" i="40"/>
  <c r="AW163" i="40"/>
  <c r="AZ163" i="40" s="1"/>
  <c r="AW165" i="40"/>
  <c r="AZ165" i="40" s="1"/>
  <c r="AQ156" i="40"/>
  <c r="AQ154" i="40"/>
  <c r="AX152" i="40"/>
  <c r="BA152" i="40" s="1"/>
  <c r="H154" i="40"/>
  <c r="H153" i="40"/>
  <c r="AX142" i="40"/>
  <c r="BA142" i="40" s="1"/>
  <c r="H144" i="40"/>
  <c r="AR154" i="40"/>
  <c r="AT154" i="40" s="1"/>
  <c r="AX155" i="40"/>
  <c r="BA155" i="40" s="1"/>
  <c r="AW155" i="40"/>
  <c r="AZ155" i="40" s="1"/>
  <c r="AR156" i="40"/>
  <c r="AT156" i="40" s="1"/>
  <c r="AT153" i="40"/>
  <c r="AR153" i="40"/>
  <c r="AX154" i="40"/>
  <c r="BA154" i="40" s="1"/>
  <c r="AW154" i="40"/>
  <c r="AZ154" i="40" s="1"/>
  <c r="AR155" i="40"/>
  <c r="AT155" i="40" s="1"/>
  <c r="AW156" i="40"/>
  <c r="AZ156" i="40" s="1"/>
  <c r="AX156" i="40"/>
  <c r="BA156" i="40" s="1"/>
  <c r="AW157" i="40"/>
  <c r="AZ157" i="40" s="1"/>
  <c r="AX157" i="40"/>
  <c r="BA157" i="40" s="1"/>
  <c r="AU154" i="40"/>
  <c r="J156" i="40"/>
  <c r="AU153" i="40"/>
  <c r="AX153" i="40"/>
  <c r="BA153" i="40" s="1"/>
  <c r="AW153" i="40"/>
  <c r="AZ153" i="40" s="1"/>
  <c r="AV152" i="40"/>
  <c r="AY152" i="40" s="1"/>
  <c r="J155" i="40"/>
  <c r="AU155" i="40" s="1"/>
  <c r="AQ144" i="40"/>
  <c r="AQ147" i="40"/>
  <c r="AQ146" i="40"/>
  <c r="AR144" i="40"/>
  <c r="AT144" i="40" s="1"/>
  <c r="AX145" i="40"/>
  <c r="BA145" i="40" s="1"/>
  <c r="AW145" i="40"/>
  <c r="AZ145" i="40" s="1"/>
  <c r="AR147" i="40"/>
  <c r="AT147" i="40" s="1"/>
  <c r="AX143" i="40"/>
  <c r="BA143" i="40" s="1"/>
  <c r="AW143" i="40"/>
  <c r="AZ143" i="40" s="1"/>
  <c r="AT146" i="40"/>
  <c r="AR146" i="40"/>
  <c r="AU144" i="40"/>
  <c r="J146" i="40"/>
  <c r="AU143" i="40"/>
  <c r="AR143" i="40"/>
  <c r="AT143" i="40" s="1"/>
  <c r="AX144" i="40"/>
  <c r="BA144" i="40" s="1"/>
  <c r="AW144" i="40"/>
  <c r="AZ144" i="40" s="1"/>
  <c r="AX146" i="40"/>
  <c r="BA146" i="40" s="1"/>
  <c r="AW146" i="40"/>
  <c r="AZ146" i="40" s="1"/>
  <c r="AW147" i="40"/>
  <c r="AZ147" i="40" s="1"/>
  <c r="AX147" i="40"/>
  <c r="BA147" i="40" s="1"/>
  <c r="AQ145" i="40"/>
  <c r="AY142" i="40"/>
  <c r="AQ137" i="40"/>
  <c r="AV132" i="40"/>
  <c r="AQ134" i="40"/>
  <c r="AR134" i="40" s="1"/>
  <c r="AT134" i="40" s="1"/>
  <c r="AQ136" i="40"/>
  <c r="H136" i="40"/>
  <c r="H137" i="40"/>
  <c r="AW137" i="40" s="1"/>
  <c r="AZ137" i="40" s="1"/>
  <c r="AX133" i="40"/>
  <c r="BA133" i="40" s="1"/>
  <c r="AW133" i="40"/>
  <c r="AZ133" i="40" s="1"/>
  <c r="AR137" i="40"/>
  <c r="AT137" i="40" s="1"/>
  <c r="AU133" i="40"/>
  <c r="AU134" i="40"/>
  <c r="AR133" i="40"/>
  <c r="AT133" i="40" s="1"/>
  <c r="AX134" i="40"/>
  <c r="BA134" i="40" s="1"/>
  <c r="AW134" i="40"/>
  <c r="AZ134" i="40" s="1"/>
  <c r="AR136" i="40"/>
  <c r="AX137" i="40"/>
  <c r="BA137" i="40" s="1"/>
  <c r="AX136" i="40"/>
  <c r="BA136" i="40" s="1"/>
  <c r="AW136" i="40"/>
  <c r="AZ136" i="40" s="1"/>
  <c r="AQ135" i="40"/>
  <c r="AY132" i="40"/>
  <c r="AW135" i="40"/>
  <c r="AZ135" i="40" s="1"/>
  <c r="AQ127" i="40"/>
  <c r="AQ124" i="40"/>
  <c r="AQ126" i="40"/>
  <c r="AR124" i="40"/>
  <c r="AT124" i="40" s="1"/>
  <c r="AX125" i="40"/>
  <c r="BA125" i="40" s="1"/>
  <c r="AW125" i="40"/>
  <c r="AZ125" i="40" s="1"/>
  <c r="AR127" i="40"/>
  <c r="AT127" i="40"/>
  <c r="AX123" i="40"/>
  <c r="BA123" i="40" s="1"/>
  <c r="AW123" i="40"/>
  <c r="AZ123" i="40" s="1"/>
  <c r="AR126" i="40"/>
  <c r="AT126" i="40" s="1"/>
  <c r="AU124" i="40"/>
  <c r="AU123" i="40"/>
  <c r="AR123" i="40"/>
  <c r="AT123" i="40" s="1"/>
  <c r="AX124" i="40"/>
  <c r="BA124" i="40" s="1"/>
  <c r="AW124" i="40"/>
  <c r="AZ124" i="40" s="1"/>
  <c r="AX126" i="40"/>
  <c r="BA126" i="40" s="1"/>
  <c r="AW126" i="40"/>
  <c r="AZ126" i="40" s="1"/>
  <c r="AW127" i="40"/>
  <c r="AZ127" i="40" s="1"/>
  <c r="AX127" i="40"/>
  <c r="BA127" i="40" s="1"/>
  <c r="AQ125" i="40"/>
  <c r="AY122" i="40"/>
  <c r="AQ116" i="40"/>
  <c r="AR114" i="40"/>
  <c r="AT114" i="40"/>
  <c r="AV114" i="40" s="1"/>
  <c r="AY114" i="40" s="1"/>
  <c r="AX113" i="40"/>
  <c r="BA113" i="40" s="1"/>
  <c r="AW113" i="40"/>
  <c r="AZ113" i="40" s="1"/>
  <c r="AW114" i="40"/>
  <c r="AZ114" i="40" s="1"/>
  <c r="AX114" i="40"/>
  <c r="BA114" i="40" s="1"/>
  <c r="AR113" i="40"/>
  <c r="AT113" i="40" s="1"/>
  <c r="AV113" i="40" s="1"/>
  <c r="AY113" i="40" s="1"/>
  <c r="AR116" i="40"/>
  <c r="AT116" i="40"/>
  <c r="AV116" i="40" s="1"/>
  <c r="AV117" i="40"/>
  <c r="AX112" i="40"/>
  <c r="BA112" i="40" s="1"/>
  <c r="AY112" i="40"/>
  <c r="AQ115" i="40"/>
  <c r="E116" i="40"/>
  <c r="H116" i="40" s="1"/>
  <c r="E115" i="40"/>
  <c r="AR106" i="40"/>
  <c r="AT106" i="40"/>
  <c r="AV106" i="40" s="1"/>
  <c r="AR103" i="40"/>
  <c r="AT103" i="40" s="1"/>
  <c r="AW104" i="40"/>
  <c r="AZ104" i="40" s="1"/>
  <c r="AX104" i="40"/>
  <c r="BA104" i="40" s="1"/>
  <c r="AX103" i="40"/>
  <c r="BA103" i="40" s="1"/>
  <c r="AW103" i="40"/>
  <c r="AZ103" i="40" s="1"/>
  <c r="AR105" i="40"/>
  <c r="AT105" i="40" s="1"/>
  <c r="AV105" i="40" s="1"/>
  <c r="AY105" i="40" s="1"/>
  <c r="AR104" i="40"/>
  <c r="AT104" i="40" s="1"/>
  <c r="AW107" i="40"/>
  <c r="AZ107" i="40" s="1"/>
  <c r="AX107" i="40"/>
  <c r="BA107" i="40" s="1"/>
  <c r="AY107" i="40"/>
  <c r="AR107" i="40"/>
  <c r="AT107" i="40"/>
  <c r="AV107" i="40" s="1"/>
  <c r="L102" i="40"/>
  <c r="J103" i="40" s="1"/>
  <c r="E106" i="40"/>
  <c r="H106" i="40" s="1"/>
  <c r="AX105" i="40"/>
  <c r="BA105" i="40" s="1"/>
  <c r="AR94" i="40"/>
  <c r="AT94" i="40"/>
  <c r="AV94" i="40" s="1"/>
  <c r="AY94" i="40" s="1"/>
  <c r="AR93" i="40"/>
  <c r="AT93" i="40" s="1"/>
  <c r="AV93" i="40" s="1"/>
  <c r="AY93" i="40" s="1"/>
  <c r="AW94" i="40"/>
  <c r="AZ94" i="40" s="1"/>
  <c r="AX94" i="40"/>
  <c r="BA94" i="40" s="1"/>
  <c r="AX92" i="40"/>
  <c r="BA92" i="40" s="1"/>
  <c r="AU92" i="40"/>
  <c r="AV92" i="40" s="1"/>
  <c r="AY92" i="40" s="1"/>
  <c r="AW93" i="40"/>
  <c r="AZ93" i="40" s="1"/>
  <c r="AX93" i="40"/>
  <c r="BA93" i="40" s="1"/>
  <c r="AU83" i="40"/>
  <c r="AQ84" i="40"/>
  <c r="AQ90" i="40"/>
  <c r="AR90" i="40" s="1"/>
  <c r="AT90" i="40" s="1"/>
  <c r="AV90" i="40" s="1"/>
  <c r="AY90" i="40" s="1"/>
  <c r="AV82" i="40"/>
  <c r="AY82" i="40" s="1"/>
  <c r="J90" i="40"/>
  <c r="AU90" i="40" s="1"/>
  <c r="AT82" i="40"/>
  <c r="AQ89" i="40"/>
  <c r="AT89" i="40" s="1"/>
  <c r="AQ85" i="40"/>
  <c r="AR85" i="40" s="1"/>
  <c r="AT85" i="40" s="1"/>
  <c r="AQ86" i="40"/>
  <c r="AW82" i="40"/>
  <c r="AZ82" i="40" s="1"/>
  <c r="AR84" i="40"/>
  <c r="AT84" i="40" s="1"/>
  <c r="AV84" i="40" s="1"/>
  <c r="AY84" i="40" s="1"/>
  <c r="AU89" i="40"/>
  <c r="AU87" i="40"/>
  <c r="AX84" i="40"/>
  <c r="BA84" i="40" s="1"/>
  <c r="AW84" i="40"/>
  <c r="AZ84" i="40" s="1"/>
  <c r="AR87" i="40"/>
  <c r="AT87" i="40" s="1"/>
  <c r="AR89" i="40"/>
  <c r="AR83" i="40"/>
  <c r="AT83" i="40" s="1"/>
  <c r="F86" i="40"/>
  <c r="F87" i="40" s="1"/>
  <c r="F88" i="40" s="1"/>
  <c r="F89" i="40" s="1"/>
  <c r="H85" i="40"/>
  <c r="AR86" i="40"/>
  <c r="AT86" i="40" s="1"/>
  <c r="AV86" i="40" s="1"/>
  <c r="AX82" i="40"/>
  <c r="BA82" i="40" s="1"/>
  <c r="AX83" i="40"/>
  <c r="BA83" i="40" s="1"/>
  <c r="I88" i="40"/>
  <c r="E89" i="40"/>
  <c r="J85" i="40"/>
  <c r="AU85" i="40" s="1"/>
  <c r="E88" i="40"/>
  <c r="H86" i="40"/>
  <c r="AU73" i="40"/>
  <c r="J80" i="40"/>
  <c r="AU80" i="40" s="1"/>
  <c r="AQ75" i="40"/>
  <c r="AR75" i="40" s="1"/>
  <c r="H77" i="40"/>
  <c r="H74" i="40"/>
  <c r="AX74" i="40" s="1"/>
  <c r="BA74" i="40" s="1"/>
  <c r="AW73" i="40"/>
  <c r="AZ73" i="40" s="1"/>
  <c r="AX73" i="40"/>
  <c r="BA73" i="40" s="1"/>
  <c r="AQ74" i="40"/>
  <c r="AU79" i="40"/>
  <c r="AU77" i="40"/>
  <c r="AQ79" i="40"/>
  <c r="AQ80" i="40"/>
  <c r="AW72" i="40"/>
  <c r="AZ72" i="40" s="1"/>
  <c r="AT73" i="40"/>
  <c r="AW74" i="40"/>
  <c r="AZ74" i="40" s="1"/>
  <c r="AX77" i="40"/>
  <c r="BA77" i="40" s="1"/>
  <c r="AW77" i="40"/>
  <c r="AZ77" i="40" s="1"/>
  <c r="AX72" i="40"/>
  <c r="BA72" i="40" s="1"/>
  <c r="AV73" i="40"/>
  <c r="AY73" i="40" s="1"/>
  <c r="H75" i="40"/>
  <c r="AT75" i="40"/>
  <c r="AQ76" i="40"/>
  <c r="AQ77" i="40"/>
  <c r="I78" i="40"/>
  <c r="E79" i="40"/>
  <c r="H79" i="40" s="1"/>
  <c r="AU72" i="40"/>
  <c r="AV72" i="40" s="1"/>
  <c r="AY72" i="40" s="1"/>
  <c r="J75" i="40"/>
  <c r="AU75" i="40" s="1"/>
  <c r="E78" i="40"/>
  <c r="H78" i="40" s="1"/>
  <c r="H76" i="40"/>
  <c r="AX40" i="40"/>
  <c r="BA40" i="40" s="1"/>
  <c r="AQ64" i="40"/>
  <c r="I69" i="40"/>
  <c r="AQ69" i="40"/>
  <c r="AR69" i="40" s="1"/>
  <c r="AT69" i="40" s="1"/>
  <c r="J65" i="40"/>
  <c r="AU65" i="40" s="1"/>
  <c r="AQ66" i="40"/>
  <c r="I67" i="40"/>
  <c r="J67" i="40" s="1"/>
  <c r="AQ67" i="40"/>
  <c r="AR67" i="40" s="1"/>
  <c r="AT67" i="40" s="1"/>
  <c r="AQ65" i="40"/>
  <c r="F44" i="40"/>
  <c r="F45" i="40" s="1"/>
  <c r="H44" i="40"/>
  <c r="AX44" i="40" s="1"/>
  <c r="BA44" i="40" s="1"/>
  <c r="AW42" i="40"/>
  <c r="AZ42" i="40" s="1"/>
  <c r="H54" i="40"/>
  <c r="AW52" i="40"/>
  <c r="AZ52" i="40" s="1"/>
  <c r="H53" i="40"/>
  <c r="AW53" i="40" s="1"/>
  <c r="AZ53" i="40" s="1"/>
  <c r="H64" i="40"/>
  <c r="H65" i="40"/>
  <c r="F66" i="40"/>
  <c r="F67" i="40" s="1"/>
  <c r="F68" i="40" s="1"/>
  <c r="AX64" i="40"/>
  <c r="BA64" i="40" s="1"/>
  <c r="AW64" i="40"/>
  <c r="AZ64" i="40" s="1"/>
  <c r="AR66" i="40"/>
  <c r="AT66" i="40" s="1"/>
  <c r="AV66" i="40" s="1"/>
  <c r="AU69" i="40"/>
  <c r="AU67" i="40"/>
  <c r="AR70" i="40"/>
  <c r="AT70" i="40" s="1"/>
  <c r="AR63" i="40"/>
  <c r="AT63" i="40" s="1"/>
  <c r="AR64" i="40"/>
  <c r="AT64" i="40" s="1"/>
  <c r="AV64" i="40" s="1"/>
  <c r="AY64" i="40" s="1"/>
  <c r="J68" i="40"/>
  <c r="AU68" i="40" s="1"/>
  <c r="AQ68" i="40"/>
  <c r="AX63" i="40"/>
  <c r="BA63" i="40" s="1"/>
  <c r="AT62" i="40"/>
  <c r="AU63" i="40"/>
  <c r="E69" i="40"/>
  <c r="J70" i="40"/>
  <c r="AU70" i="40" s="1"/>
  <c r="AU62" i="40"/>
  <c r="AV62" i="40" s="1"/>
  <c r="AY62" i="40" s="1"/>
  <c r="AQ54" i="40"/>
  <c r="I59" i="40"/>
  <c r="AQ59" i="40"/>
  <c r="AR59" i="40" s="1"/>
  <c r="AT59" i="40" s="1"/>
  <c r="J55" i="40"/>
  <c r="AU55" i="40" s="1"/>
  <c r="AQ56" i="40"/>
  <c r="I57" i="40"/>
  <c r="J57" i="40" s="1"/>
  <c r="AU57" i="40" s="1"/>
  <c r="AQ57" i="40"/>
  <c r="AQ55" i="40"/>
  <c r="AR55" i="40" s="1"/>
  <c r="AX54" i="40"/>
  <c r="BA54" i="40" s="1"/>
  <c r="AW54" i="40"/>
  <c r="AZ54" i="40" s="1"/>
  <c r="AR56" i="40"/>
  <c r="AT56" i="40" s="1"/>
  <c r="AV56" i="40" s="1"/>
  <c r="AU59" i="40"/>
  <c r="AR60" i="40"/>
  <c r="AT60" i="40" s="1"/>
  <c r="H55" i="40"/>
  <c r="F56" i="40"/>
  <c r="F57" i="40" s="1"/>
  <c r="F58" i="40" s="1"/>
  <c r="AR53" i="40"/>
  <c r="AT53" i="40" s="1"/>
  <c r="AR54" i="40"/>
  <c r="AT54" i="40" s="1"/>
  <c r="AV54" i="40" s="1"/>
  <c r="AY54" i="40" s="1"/>
  <c r="J58" i="40"/>
  <c r="AU58" i="40" s="1"/>
  <c r="AQ58" i="40"/>
  <c r="AT52" i="40"/>
  <c r="AU53" i="40"/>
  <c r="E59" i="40"/>
  <c r="AU60" i="40"/>
  <c r="AU52" i="40"/>
  <c r="AX53" i="40"/>
  <c r="BA53" i="40" s="1"/>
  <c r="H56" i="40"/>
  <c r="AQ44" i="40"/>
  <c r="I49" i="40"/>
  <c r="AQ49" i="40"/>
  <c r="AR49" i="40" s="1"/>
  <c r="AT49" i="40" s="1"/>
  <c r="J45" i="40"/>
  <c r="AU45" i="40" s="1"/>
  <c r="AQ46" i="40"/>
  <c r="I47" i="40"/>
  <c r="J47" i="40" s="1"/>
  <c r="AQ47" i="40"/>
  <c r="AT47" i="40" s="1"/>
  <c r="AQ45" i="40"/>
  <c r="AR45" i="40" s="1"/>
  <c r="AT45" i="40" s="1"/>
  <c r="AV45" i="40" s="1"/>
  <c r="AW44" i="40"/>
  <c r="AZ44" i="40" s="1"/>
  <c r="AR46" i="40"/>
  <c r="AT46" i="40" s="1"/>
  <c r="AV46" i="40" s="1"/>
  <c r="AU49" i="40"/>
  <c r="AU47" i="40"/>
  <c r="AR47" i="40"/>
  <c r="AR50" i="40"/>
  <c r="AT50" i="40" s="1"/>
  <c r="H45" i="40"/>
  <c r="F46" i="40"/>
  <c r="F47" i="40" s="1"/>
  <c r="F48" i="40" s="1"/>
  <c r="H47" i="40"/>
  <c r="AR43" i="40"/>
  <c r="AT43" i="40" s="1"/>
  <c r="AR44" i="40"/>
  <c r="AT44" i="40" s="1"/>
  <c r="AV44" i="40" s="1"/>
  <c r="AY44" i="40" s="1"/>
  <c r="J48" i="40"/>
  <c r="AU48" i="40" s="1"/>
  <c r="AQ48" i="40"/>
  <c r="AX43" i="40"/>
  <c r="BA43" i="40" s="1"/>
  <c r="AT42" i="40"/>
  <c r="AU43" i="40"/>
  <c r="E49" i="40"/>
  <c r="J50" i="40"/>
  <c r="AU50" i="40" s="1"/>
  <c r="AU42" i="40"/>
  <c r="AV42" i="40" s="1"/>
  <c r="AY42" i="40" s="1"/>
  <c r="H46" i="40"/>
  <c r="AQ39" i="40"/>
  <c r="AR39" i="40" s="1"/>
  <c r="AQ36" i="40"/>
  <c r="AQ34" i="40"/>
  <c r="H34" i="40"/>
  <c r="AX34" i="40" s="1"/>
  <c r="BA34" i="40" s="1"/>
  <c r="AW32" i="40"/>
  <c r="AZ32" i="40" s="1"/>
  <c r="H33" i="40"/>
  <c r="AW33" i="40" s="1"/>
  <c r="AZ33" i="40" s="1"/>
  <c r="AR33" i="40"/>
  <c r="AT33" i="40" s="1"/>
  <c r="AR34" i="40"/>
  <c r="AT34" i="40" s="1"/>
  <c r="AV34" i="40" s="1"/>
  <c r="AY34" i="40" s="1"/>
  <c r="AU39" i="40"/>
  <c r="AU37" i="40"/>
  <c r="AT40" i="40"/>
  <c r="AR40" i="40"/>
  <c r="AQ37" i="40"/>
  <c r="H35" i="40"/>
  <c r="F36" i="40"/>
  <c r="F37" i="40" s="1"/>
  <c r="F38" i="40" s="1"/>
  <c r="F39" i="40" s="1"/>
  <c r="AR35" i="40"/>
  <c r="AT35" i="40" s="1"/>
  <c r="AV35" i="40" s="1"/>
  <c r="AR36" i="40"/>
  <c r="AT36" i="40" s="1"/>
  <c r="AV36" i="40" s="1"/>
  <c r="AT32" i="40"/>
  <c r="AU33" i="40"/>
  <c r="I38" i="40"/>
  <c r="E39" i="40"/>
  <c r="H39" i="40" s="1"/>
  <c r="J40" i="40"/>
  <c r="AU40" i="40" s="1"/>
  <c r="AV40" i="40" s="1"/>
  <c r="AY40" i="40" s="1"/>
  <c r="AU32" i="40"/>
  <c r="E38" i="40"/>
  <c r="H38" i="40" s="1"/>
  <c r="AX33" i="40"/>
  <c r="BA33" i="40" s="1"/>
  <c r="H36" i="40"/>
  <c r="AT22" i="40"/>
  <c r="AQ25" i="40"/>
  <c r="AQ26" i="40"/>
  <c r="AR26" i="40" s="1"/>
  <c r="AT26" i="40" s="1"/>
  <c r="AV26" i="40" s="1"/>
  <c r="AQ27" i="40"/>
  <c r="AT27" i="40" s="1"/>
  <c r="AQ30" i="40"/>
  <c r="J30" i="40"/>
  <c r="AU30" i="40" s="1"/>
  <c r="I29" i="40"/>
  <c r="AQ29" i="40" s="1"/>
  <c r="AR29" i="40" s="1"/>
  <c r="AT29" i="40" s="1"/>
  <c r="AQ24" i="40"/>
  <c r="AT24" i="40" s="1"/>
  <c r="AV24" i="40" s="1"/>
  <c r="AY24" i="40" s="1"/>
  <c r="AV22" i="40"/>
  <c r="AT23" i="40"/>
  <c r="AV23" i="40" s="1"/>
  <c r="AY23" i="40" s="1"/>
  <c r="AR23" i="40"/>
  <c r="AR24" i="40"/>
  <c r="AT30" i="40"/>
  <c r="AV30" i="40" s="1"/>
  <c r="AY30" i="40" s="1"/>
  <c r="AR30" i="40"/>
  <c r="AU29" i="40"/>
  <c r="AU27" i="40"/>
  <c r="AY22" i="40"/>
  <c r="AX24" i="40"/>
  <c r="BA24" i="40" s="1"/>
  <c r="AW24" i="40"/>
  <c r="AZ24" i="40" s="1"/>
  <c r="AR27" i="40"/>
  <c r="H25" i="40"/>
  <c r="F26" i="40"/>
  <c r="F27" i="40" s="1"/>
  <c r="F28" i="40" s="1"/>
  <c r="F29" i="40" s="1"/>
  <c r="AR25" i="40"/>
  <c r="AT25" i="40" s="1"/>
  <c r="AX22" i="40"/>
  <c r="BA22" i="40" s="1"/>
  <c r="I28" i="40"/>
  <c r="E29" i="40"/>
  <c r="H29" i="40" s="1"/>
  <c r="J25" i="40"/>
  <c r="AU25" i="40" s="1"/>
  <c r="E28" i="40"/>
  <c r="H28" i="40" s="1"/>
  <c r="AX23" i="40"/>
  <c r="BA23" i="40" s="1"/>
  <c r="H26" i="40"/>
  <c r="AT285" i="40" l="1"/>
  <c r="AV285" i="40" s="1"/>
  <c r="AY285" i="40" s="1"/>
  <c r="AR285" i="40"/>
  <c r="AV287" i="40"/>
  <c r="AY287" i="40" s="1"/>
  <c r="AX277" i="40"/>
  <c r="BA277" i="40" s="1"/>
  <c r="AW277" i="40"/>
  <c r="AZ277" i="40" s="1"/>
  <c r="AT277" i="40"/>
  <c r="AV277" i="40" s="1"/>
  <c r="AY277" i="40" s="1"/>
  <c r="AR277" i="40"/>
  <c r="AW263" i="40"/>
  <c r="AZ263" i="40" s="1"/>
  <c r="AY263" i="40"/>
  <c r="AX263" i="40"/>
  <c r="BA263" i="40" s="1"/>
  <c r="AT266" i="40"/>
  <c r="AV266" i="40" s="1"/>
  <c r="AY266" i="40" s="1"/>
  <c r="AR266" i="40"/>
  <c r="AX267" i="40"/>
  <c r="BA267" i="40" s="1"/>
  <c r="AY267" i="40"/>
  <c r="AW267" i="40"/>
  <c r="AZ267" i="40" s="1"/>
  <c r="AV258" i="40"/>
  <c r="AY258" i="40" s="1"/>
  <c r="AV259" i="40"/>
  <c r="AY259" i="40" s="1"/>
  <c r="AT248" i="40"/>
  <c r="AV248" i="40" s="1"/>
  <c r="AY248" i="40" s="1"/>
  <c r="AX247" i="40"/>
  <c r="BA247" i="40" s="1"/>
  <c r="AW247" i="40"/>
  <c r="AZ247" i="40" s="1"/>
  <c r="AW248" i="40"/>
  <c r="AZ248" i="40" s="1"/>
  <c r="AX248" i="40"/>
  <c r="BA248" i="40" s="1"/>
  <c r="AY245" i="40"/>
  <c r="AW245" i="40"/>
  <c r="AZ245" i="40" s="1"/>
  <c r="AX245" i="40"/>
  <c r="BA245" i="40" s="1"/>
  <c r="AV246" i="40"/>
  <c r="AY246" i="40" s="1"/>
  <c r="AW244" i="40"/>
  <c r="AZ244" i="40" s="1"/>
  <c r="AY244" i="40"/>
  <c r="AX244" i="40"/>
  <c r="BA244" i="40" s="1"/>
  <c r="AR247" i="40"/>
  <c r="AT247" i="40" s="1"/>
  <c r="AV247" i="40" s="1"/>
  <c r="AY247" i="40" s="1"/>
  <c r="AY242" i="40"/>
  <c r="AW242" i="40"/>
  <c r="AZ242" i="40" s="1"/>
  <c r="AX242" i="40"/>
  <c r="BA242" i="40" s="1"/>
  <c r="AY238" i="40"/>
  <c r="AX238" i="40"/>
  <c r="BA238" i="40" s="1"/>
  <c r="AW238" i="40"/>
  <c r="AZ238" i="40" s="1"/>
  <c r="AT237" i="40"/>
  <c r="AV237" i="40" s="1"/>
  <c r="AY237" i="40" s="1"/>
  <c r="AR237" i="40"/>
  <c r="AW234" i="40"/>
  <c r="AZ234" i="40" s="1"/>
  <c r="AX234" i="40"/>
  <c r="BA234" i="40" s="1"/>
  <c r="AY234" i="40"/>
  <c r="AV234" i="40"/>
  <c r="AY233" i="40"/>
  <c r="AX233" i="40"/>
  <c r="BA233" i="40" s="1"/>
  <c r="AW233" i="40"/>
  <c r="AZ233" i="40" s="1"/>
  <c r="AV239" i="40"/>
  <c r="AY239" i="40" s="1"/>
  <c r="AV226" i="40"/>
  <c r="AY226" i="40" s="1"/>
  <c r="AV224" i="40"/>
  <c r="AY228" i="40"/>
  <c r="AX228" i="40"/>
  <c r="BA228" i="40" s="1"/>
  <c r="AW228" i="40"/>
  <c r="AZ228" i="40" s="1"/>
  <c r="AV229" i="40"/>
  <c r="AY229" i="40" s="1"/>
  <c r="AW223" i="40"/>
  <c r="AZ223" i="40" s="1"/>
  <c r="AY223" i="40"/>
  <c r="AX223" i="40"/>
  <c r="BA223" i="40" s="1"/>
  <c r="AW224" i="40"/>
  <c r="AZ224" i="40" s="1"/>
  <c r="AY224" i="40"/>
  <c r="AX224" i="40"/>
  <c r="BA224" i="40" s="1"/>
  <c r="AV227" i="40"/>
  <c r="AY227" i="40" s="1"/>
  <c r="AX227" i="40"/>
  <c r="BA227" i="40" s="1"/>
  <c r="AW227" i="40"/>
  <c r="AZ227" i="40" s="1"/>
  <c r="AV213" i="40"/>
  <c r="AY213" i="40" s="1"/>
  <c r="AV219" i="40"/>
  <c r="AY219" i="40" s="1"/>
  <c r="AY218" i="40"/>
  <c r="AX218" i="40"/>
  <c r="BA218" i="40" s="1"/>
  <c r="AW218" i="40"/>
  <c r="AZ218" i="40" s="1"/>
  <c r="AV217" i="40"/>
  <c r="AY217" i="40" s="1"/>
  <c r="AY205" i="40"/>
  <c r="F209" i="40"/>
  <c r="H209" i="40" s="1"/>
  <c r="H207" i="40"/>
  <c r="AX208" i="40"/>
  <c r="BA208" i="40" s="1"/>
  <c r="AV208" i="40"/>
  <c r="AY208" i="40" s="1"/>
  <c r="AT187" i="40"/>
  <c r="AV183" i="40"/>
  <c r="AY183" i="40" s="1"/>
  <c r="AU186" i="40"/>
  <c r="AV186" i="40" s="1"/>
  <c r="AY186" i="40" s="1"/>
  <c r="AU187" i="40"/>
  <c r="AR185" i="40"/>
  <c r="AT185" i="40" s="1"/>
  <c r="AV185" i="40" s="1"/>
  <c r="AY185" i="40" s="1"/>
  <c r="AV173" i="40"/>
  <c r="AY173" i="40" s="1"/>
  <c r="AR175" i="40"/>
  <c r="AT175" i="40" s="1"/>
  <c r="AV175" i="40" s="1"/>
  <c r="AY175" i="40" s="1"/>
  <c r="AU176" i="40"/>
  <c r="AV176" i="40" s="1"/>
  <c r="AY176" i="40" s="1"/>
  <c r="AU177" i="40"/>
  <c r="AV177" i="40" s="1"/>
  <c r="AY177" i="40" s="1"/>
  <c r="AV174" i="40"/>
  <c r="AY174" i="40" s="1"/>
  <c r="AR164" i="40"/>
  <c r="AT164" i="40" s="1"/>
  <c r="AV164" i="40" s="1"/>
  <c r="AY164" i="40" s="1"/>
  <c r="AX167" i="40"/>
  <c r="BA167" i="40" s="1"/>
  <c r="AV163" i="40"/>
  <c r="AY163" i="40" s="1"/>
  <c r="AR165" i="40"/>
  <c r="AT165" i="40" s="1"/>
  <c r="AV165" i="40" s="1"/>
  <c r="AY165" i="40" s="1"/>
  <c r="AU166" i="40"/>
  <c r="AV166" i="40" s="1"/>
  <c r="AY166" i="40" s="1"/>
  <c r="AU167" i="40"/>
  <c r="AV167" i="40" s="1"/>
  <c r="AY167" i="40" s="1"/>
  <c r="AU156" i="40"/>
  <c r="AV156" i="40" s="1"/>
  <c r="AY156" i="40" s="1"/>
  <c r="AU157" i="40"/>
  <c r="AV157" i="40" s="1"/>
  <c r="AY157" i="40" s="1"/>
  <c r="AV155" i="40"/>
  <c r="AY155" i="40" s="1"/>
  <c r="AV153" i="40"/>
  <c r="AY153" i="40" s="1"/>
  <c r="AV154" i="40"/>
  <c r="AY154" i="40" s="1"/>
  <c r="AV144" i="40"/>
  <c r="AY144" i="40" s="1"/>
  <c r="AR145" i="40"/>
  <c r="AT145" i="40" s="1"/>
  <c r="AV145" i="40" s="1"/>
  <c r="AY145" i="40" s="1"/>
  <c r="AV143" i="40"/>
  <c r="AY143" i="40" s="1"/>
  <c r="AU146" i="40"/>
  <c r="AV146" i="40" s="1"/>
  <c r="AY146" i="40" s="1"/>
  <c r="AU147" i="40"/>
  <c r="AV147" i="40" s="1"/>
  <c r="AY147" i="40" s="1"/>
  <c r="AT136" i="40"/>
  <c r="AV134" i="40"/>
  <c r="AY134" i="40" s="1"/>
  <c r="AV133" i="40"/>
  <c r="AY133" i="40" s="1"/>
  <c r="AU136" i="40"/>
  <c r="AV136" i="40" s="1"/>
  <c r="AY136" i="40" s="1"/>
  <c r="AU137" i="40"/>
  <c r="AV137" i="40" s="1"/>
  <c r="AY137" i="40" s="1"/>
  <c r="AR135" i="40"/>
  <c r="AT135" i="40" s="1"/>
  <c r="AV135" i="40" s="1"/>
  <c r="AY135" i="40" s="1"/>
  <c r="AR125" i="40"/>
  <c r="AT125" i="40" s="1"/>
  <c r="AV125" i="40" s="1"/>
  <c r="AY125" i="40" s="1"/>
  <c r="AU126" i="40"/>
  <c r="AV126" i="40" s="1"/>
  <c r="AY126" i="40" s="1"/>
  <c r="AU127" i="40"/>
  <c r="AV127" i="40" s="1"/>
  <c r="AY127" i="40" s="1"/>
  <c r="AV124" i="40"/>
  <c r="AY124" i="40" s="1"/>
  <c r="AV123" i="40"/>
  <c r="AY123" i="40" s="1"/>
  <c r="AR115" i="40"/>
  <c r="AT115" i="40" s="1"/>
  <c r="AV115" i="40" s="1"/>
  <c r="AY116" i="40"/>
  <c r="AX116" i="40"/>
  <c r="BA116" i="40" s="1"/>
  <c r="AW116" i="40"/>
  <c r="AZ116" i="40" s="1"/>
  <c r="E117" i="40"/>
  <c r="H117" i="40" s="1"/>
  <c r="H115" i="40"/>
  <c r="AU103" i="40"/>
  <c r="AV103" i="40" s="1"/>
  <c r="AY103" i="40" s="1"/>
  <c r="AU104" i="40"/>
  <c r="AV104" i="40" s="1"/>
  <c r="AY104" i="40" s="1"/>
  <c r="AY106" i="40"/>
  <c r="AX106" i="40"/>
  <c r="BA106" i="40" s="1"/>
  <c r="AW106" i="40"/>
  <c r="AZ106" i="40" s="1"/>
  <c r="AV83" i="40"/>
  <c r="AY83" i="40" s="1"/>
  <c r="AV89" i="40"/>
  <c r="H88" i="40"/>
  <c r="H89" i="40"/>
  <c r="AY86" i="40"/>
  <c r="AX86" i="40"/>
  <c r="BA86" i="40" s="1"/>
  <c r="AW86" i="40"/>
  <c r="AZ86" i="40" s="1"/>
  <c r="J88" i="40"/>
  <c r="AU88" i="40" s="1"/>
  <c r="AQ88" i="40"/>
  <c r="AW85" i="40"/>
  <c r="AZ85" i="40" s="1"/>
  <c r="AX85" i="40"/>
  <c r="BA85" i="40" s="1"/>
  <c r="AW88" i="40"/>
  <c r="AZ88" i="40" s="1"/>
  <c r="AX88" i="40"/>
  <c r="BA88" i="40" s="1"/>
  <c r="AV85" i="40"/>
  <c r="AY85" i="40" s="1"/>
  <c r="H87" i="40"/>
  <c r="AY89" i="40"/>
  <c r="AX89" i="40"/>
  <c r="BA89" i="40" s="1"/>
  <c r="AW89" i="40"/>
  <c r="AZ89" i="40" s="1"/>
  <c r="AV87" i="40"/>
  <c r="AR76" i="40"/>
  <c r="AT76" i="40" s="1"/>
  <c r="AV76" i="40" s="1"/>
  <c r="AY76" i="40" s="1"/>
  <c r="AR79" i="40"/>
  <c r="AT79" i="40" s="1"/>
  <c r="AV79" i="40" s="1"/>
  <c r="AY79" i="40" s="1"/>
  <c r="AX76" i="40"/>
  <c r="BA76" i="40" s="1"/>
  <c r="AW76" i="40"/>
  <c r="AZ76" i="40" s="1"/>
  <c r="AX79" i="40"/>
  <c r="BA79" i="40" s="1"/>
  <c r="AW79" i="40"/>
  <c r="AZ79" i="40" s="1"/>
  <c r="AW78" i="40"/>
  <c r="AZ78" i="40" s="1"/>
  <c r="AX78" i="40"/>
  <c r="BA78" i="40" s="1"/>
  <c r="J78" i="40"/>
  <c r="AU78" i="40" s="1"/>
  <c r="AQ78" i="40"/>
  <c r="AW75" i="40"/>
  <c r="AZ75" i="40" s="1"/>
  <c r="AY75" i="40"/>
  <c r="AX75" i="40"/>
  <c r="BA75" i="40" s="1"/>
  <c r="AV75" i="40"/>
  <c r="AR77" i="40"/>
  <c r="AT77" i="40"/>
  <c r="AV77" i="40" s="1"/>
  <c r="AY77" i="40" s="1"/>
  <c r="AR80" i="40"/>
  <c r="AT80" i="40" s="1"/>
  <c r="AV80" i="40" s="1"/>
  <c r="AY80" i="40" s="1"/>
  <c r="AR74" i="40"/>
  <c r="AT74" i="40" s="1"/>
  <c r="AV74" i="40" s="1"/>
  <c r="AY74" i="40" s="1"/>
  <c r="AW34" i="40"/>
  <c r="AZ34" i="40" s="1"/>
  <c r="AT39" i="40"/>
  <c r="AR65" i="40"/>
  <c r="AT65" i="40" s="1"/>
  <c r="AV65" i="40" s="1"/>
  <c r="AY65" i="40" s="1"/>
  <c r="H66" i="40"/>
  <c r="AR68" i="40"/>
  <c r="AT68" i="40" s="1"/>
  <c r="AV68" i="40" s="1"/>
  <c r="AV63" i="40"/>
  <c r="AY63" i="40" s="1"/>
  <c r="AV69" i="40"/>
  <c r="H67" i="40"/>
  <c r="AW65" i="40"/>
  <c r="AZ65" i="40" s="1"/>
  <c r="AX65" i="40"/>
  <c r="BA65" i="40" s="1"/>
  <c r="AY66" i="40"/>
  <c r="AX66" i="40"/>
  <c r="BA66" i="40" s="1"/>
  <c r="AW66" i="40"/>
  <c r="AZ66" i="40" s="1"/>
  <c r="AV67" i="40"/>
  <c r="H68" i="40"/>
  <c r="F69" i="40"/>
  <c r="H69" i="40" s="1"/>
  <c r="AV70" i="40"/>
  <c r="AY70" i="40" s="1"/>
  <c r="AR57" i="40"/>
  <c r="AT57" i="40" s="1"/>
  <c r="AV57" i="40" s="1"/>
  <c r="AV60" i="40"/>
  <c r="AY60" i="40" s="1"/>
  <c r="AT55" i="40"/>
  <c r="AV55" i="40" s="1"/>
  <c r="AY55" i="40" s="1"/>
  <c r="AY56" i="40"/>
  <c r="AX56" i="40"/>
  <c r="BA56" i="40" s="1"/>
  <c r="AW56" i="40"/>
  <c r="AZ56" i="40" s="1"/>
  <c r="AR58" i="40"/>
  <c r="AT58" i="40" s="1"/>
  <c r="AV58" i="40" s="1"/>
  <c r="F59" i="40"/>
  <c r="H59" i="40" s="1"/>
  <c r="H58" i="40"/>
  <c r="AV52" i="40"/>
  <c r="AY52" i="40" s="1"/>
  <c r="AW55" i="40"/>
  <c r="AZ55" i="40" s="1"/>
  <c r="AX55" i="40"/>
  <c r="BA55" i="40" s="1"/>
  <c r="AV53" i="40"/>
  <c r="AY53" i="40" s="1"/>
  <c r="H57" i="40"/>
  <c r="AV59" i="40"/>
  <c r="AR48" i="40"/>
  <c r="AT48" i="40" s="1"/>
  <c r="AV48" i="40" s="1"/>
  <c r="H48" i="40"/>
  <c r="F49" i="40"/>
  <c r="H49" i="40" s="1"/>
  <c r="AY46" i="40"/>
  <c r="AX46" i="40"/>
  <c r="BA46" i="40" s="1"/>
  <c r="AW46" i="40"/>
  <c r="AZ46" i="40" s="1"/>
  <c r="AV43" i="40"/>
  <c r="AY43" i="40" s="1"/>
  <c r="AW45" i="40"/>
  <c r="AZ45" i="40" s="1"/>
  <c r="AY45" i="40"/>
  <c r="AX45" i="40"/>
  <c r="BA45" i="40" s="1"/>
  <c r="AV47" i="40"/>
  <c r="AY47" i="40" s="1"/>
  <c r="AV50" i="40"/>
  <c r="AY50" i="40" s="1"/>
  <c r="AW47" i="40"/>
  <c r="AZ47" i="40" s="1"/>
  <c r="AX47" i="40"/>
  <c r="BA47" i="40" s="1"/>
  <c r="AV49" i="40"/>
  <c r="AV32" i="40"/>
  <c r="AY32" i="40" s="1"/>
  <c r="J38" i="40"/>
  <c r="AU38" i="40" s="1"/>
  <c r="AQ38" i="40"/>
  <c r="AW35" i="40"/>
  <c r="AZ35" i="40" s="1"/>
  <c r="AY35" i="40"/>
  <c r="AX35" i="40"/>
  <c r="BA35" i="40" s="1"/>
  <c r="AY36" i="40"/>
  <c r="AX36" i="40"/>
  <c r="BA36" i="40" s="1"/>
  <c r="AW36" i="40"/>
  <c r="AZ36" i="40" s="1"/>
  <c r="AR37" i="40"/>
  <c r="AT37" i="40" s="1"/>
  <c r="AV37" i="40" s="1"/>
  <c r="AV33" i="40"/>
  <c r="AY33" i="40" s="1"/>
  <c r="H37" i="40"/>
  <c r="AW38" i="40"/>
  <c r="AZ38" i="40" s="1"/>
  <c r="AX38" i="40"/>
  <c r="BA38" i="40" s="1"/>
  <c r="AX39" i="40"/>
  <c r="BA39" i="40" s="1"/>
  <c r="AW39" i="40"/>
  <c r="AZ39" i="40" s="1"/>
  <c r="AV39" i="40"/>
  <c r="AY39" i="40" s="1"/>
  <c r="AV27" i="40"/>
  <c r="AV25" i="40"/>
  <c r="AV29" i="40"/>
  <c r="AY26" i="40"/>
  <c r="AX26" i="40"/>
  <c r="BA26" i="40" s="1"/>
  <c r="AW26" i="40"/>
  <c r="AZ26" i="40" s="1"/>
  <c r="AY29" i="40"/>
  <c r="AX29" i="40"/>
  <c r="BA29" i="40" s="1"/>
  <c r="AW29" i="40"/>
  <c r="AZ29" i="40" s="1"/>
  <c r="AW28" i="40"/>
  <c r="AZ28" i="40" s="1"/>
  <c r="AX28" i="40"/>
  <c r="BA28" i="40" s="1"/>
  <c r="J28" i="40"/>
  <c r="AU28" i="40" s="1"/>
  <c r="AQ28" i="40"/>
  <c r="AW25" i="40"/>
  <c r="AZ25" i="40" s="1"/>
  <c r="AX25" i="40"/>
  <c r="BA25" i="40" s="1"/>
  <c r="AY25" i="40"/>
  <c r="H27" i="40"/>
  <c r="AX209" i="40" l="1"/>
  <c r="BA209" i="40" s="1"/>
  <c r="AW209" i="40"/>
  <c r="AZ209" i="40" s="1"/>
  <c r="AY209" i="40"/>
  <c r="AX207" i="40"/>
  <c r="BA207" i="40" s="1"/>
  <c r="AW207" i="40"/>
  <c r="AZ207" i="40" s="1"/>
  <c r="AY207" i="40"/>
  <c r="AV187" i="40"/>
  <c r="AY187" i="40" s="1"/>
  <c r="AW115" i="40"/>
  <c r="AZ115" i="40" s="1"/>
  <c r="AX115" i="40"/>
  <c r="BA115" i="40" s="1"/>
  <c r="AY115" i="40"/>
  <c r="AW117" i="40"/>
  <c r="AZ117" i="40" s="1"/>
  <c r="AX117" i="40"/>
  <c r="BA117" i="40" s="1"/>
  <c r="AY117" i="40"/>
  <c r="AY87" i="40"/>
  <c r="AX87" i="40"/>
  <c r="BA87" i="40" s="1"/>
  <c r="AW87" i="40"/>
  <c r="AZ87" i="40" s="1"/>
  <c r="AR88" i="40"/>
  <c r="AT88" i="40" s="1"/>
  <c r="AV88" i="40" s="1"/>
  <c r="AY88" i="40" s="1"/>
  <c r="AR78" i="40"/>
  <c r="AT78" i="40"/>
  <c r="AV78" i="40"/>
  <c r="AY78" i="40" s="1"/>
  <c r="AY69" i="40"/>
  <c r="AX69" i="40"/>
  <c r="BA69" i="40" s="1"/>
  <c r="AW69" i="40"/>
  <c r="AZ69" i="40" s="1"/>
  <c r="AW68" i="40"/>
  <c r="AZ68" i="40" s="1"/>
  <c r="AX68" i="40"/>
  <c r="BA68" i="40" s="1"/>
  <c r="AY68" i="40"/>
  <c r="AW67" i="40"/>
  <c r="AZ67" i="40" s="1"/>
  <c r="AY67" i="40"/>
  <c r="AX67" i="40"/>
  <c r="BA67" i="40" s="1"/>
  <c r="AY57" i="40"/>
  <c r="AX57" i="40"/>
  <c r="BA57" i="40" s="1"/>
  <c r="AW57" i="40"/>
  <c r="AZ57" i="40" s="1"/>
  <c r="AW58" i="40"/>
  <c r="AZ58" i="40" s="1"/>
  <c r="AX58" i="40"/>
  <c r="BA58" i="40" s="1"/>
  <c r="AY58" i="40"/>
  <c r="AY59" i="40"/>
  <c r="AX59" i="40"/>
  <c r="BA59" i="40" s="1"/>
  <c r="AW59" i="40"/>
  <c r="AZ59" i="40" s="1"/>
  <c r="AY49" i="40"/>
  <c r="AX49" i="40"/>
  <c r="BA49" i="40" s="1"/>
  <c r="AW49" i="40"/>
  <c r="AZ49" i="40" s="1"/>
  <c r="AW48" i="40"/>
  <c r="AZ48" i="40" s="1"/>
  <c r="AX48" i="40"/>
  <c r="BA48" i="40" s="1"/>
  <c r="AY48" i="40"/>
  <c r="AR38" i="40"/>
  <c r="AT38" i="40" s="1"/>
  <c r="AV38" i="40" s="1"/>
  <c r="AY38" i="40" s="1"/>
  <c r="AW37" i="40"/>
  <c r="AZ37" i="40" s="1"/>
  <c r="AY37" i="40"/>
  <c r="AX37" i="40"/>
  <c r="BA37" i="40" s="1"/>
  <c r="AY27" i="40"/>
  <c r="AX27" i="40"/>
  <c r="BA27" i="40" s="1"/>
  <c r="AW27" i="40"/>
  <c r="AZ27" i="40" s="1"/>
  <c r="AR28" i="40"/>
  <c r="AT28" i="40" s="1"/>
  <c r="AV28" i="40" s="1"/>
  <c r="AY28" i="40" s="1"/>
  <c r="AS17" i="40" l="1"/>
  <c r="AN17" i="40"/>
  <c r="AM17" i="40"/>
  <c r="AL17" i="40"/>
  <c r="O17" i="40"/>
  <c r="M17" i="40"/>
  <c r="I17" i="40"/>
  <c r="AQ17" i="40" s="1"/>
  <c r="AR17" i="40" s="1"/>
  <c r="AT17" i="40" s="1"/>
  <c r="F17" i="40"/>
  <c r="H17" i="40" s="1"/>
  <c r="E17" i="40"/>
  <c r="B17" i="40"/>
  <c r="N17" i="40" s="1"/>
  <c r="AS16" i="40"/>
  <c r="AN16" i="40"/>
  <c r="AM16" i="40"/>
  <c r="AL16" i="40"/>
  <c r="O16" i="40"/>
  <c r="M16" i="40"/>
  <c r="I16" i="40"/>
  <c r="F16" i="40"/>
  <c r="E16" i="40"/>
  <c r="H16" i="40" s="1"/>
  <c r="B16" i="40"/>
  <c r="N16" i="40" s="1"/>
  <c r="AS15" i="40"/>
  <c r="AN15" i="40"/>
  <c r="AM15" i="40"/>
  <c r="AL15" i="40"/>
  <c r="O15" i="40"/>
  <c r="M15" i="40"/>
  <c r="I15" i="40"/>
  <c r="AQ15" i="40" s="1"/>
  <c r="F15" i="40"/>
  <c r="H15" i="40" s="1"/>
  <c r="B15" i="40"/>
  <c r="N15" i="40" s="1"/>
  <c r="AS14" i="40"/>
  <c r="AN14" i="40"/>
  <c r="AM14" i="40"/>
  <c r="AL14" i="40"/>
  <c r="O14" i="40"/>
  <c r="M14" i="40"/>
  <c r="I14" i="40"/>
  <c r="F14" i="40"/>
  <c r="E14" i="40"/>
  <c r="H14" i="40" s="1"/>
  <c r="B14" i="40"/>
  <c r="N14" i="40" s="1"/>
  <c r="AS13" i="40"/>
  <c r="AN13" i="40"/>
  <c r="AM13" i="40"/>
  <c r="AL13" i="40"/>
  <c r="O13" i="40"/>
  <c r="M13" i="40"/>
  <c r="J13" i="40"/>
  <c r="AU14" i="40" s="1"/>
  <c r="I13" i="40"/>
  <c r="AQ13" i="40" s="1"/>
  <c r="H13" i="40"/>
  <c r="AX13" i="40" s="1"/>
  <c r="BA13" i="40" s="1"/>
  <c r="F13" i="40"/>
  <c r="E13" i="40"/>
  <c r="B13" i="40"/>
  <c r="N13" i="40" s="1"/>
  <c r="AW12" i="40"/>
  <c r="AZ12" i="40" s="1"/>
  <c r="AS12" i="40"/>
  <c r="AQ12" i="40"/>
  <c r="AR12" i="40" s="1"/>
  <c r="AT12" i="40" s="1"/>
  <c r="O12" i="40"/>
  <c r="N12" i="40"/>
  <c r="M12" i="40"/>
  <c r="J12" i="40"/>
  <c r="AU12" i="40" s="1"/>
  <c r="AV12" i="40" s="1"/>
  <c r="H12" i="40"/>
  <c r="U130" i="24"/>
  <c r="U124" i="24"/>
  <c r="U126" i="24"/>
  <c r="U125" i="24"/>
  <c r="U100" i="24"/>
  <c r="U99" i="24"/>
  <c r="U98" i="24"/>
  <c r="U6" i="24"/>
  <c r="U5" i="24"/>
  <c r="U4" i="24"/>
  <c r="U3" i="24"/>
  <c r="U101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32" i="24"/>
  <c r="I31" i="24"/>
  <c r="J16" i="40" l="1"/>
  <c r="AU16" i="40" s="1"/>
  <c r="AQ16" i="40"/>
  <c r="AQ14" i="40"/>
  <c r="AT14" i="40" s="1"/>
  <c r="AV14" i="40" s="1"/>
  <c r="AY14" i="40" s="1"/>
  <c r="AR14" i="40"/>
  <c r="AX15" i="40"/>
  <c r="BA15" i="40" s="1"/>
  <c r="AW15" i="40"/>
  <c r="AZ15" i="40" s="1"/>
  <c r="AW14" i="40"/>
  <c r="AZ14" i="40" s="1"/>
  <c r="AX14" i="40"/>
  <c r="BA14" i="40" s="1"/>
  <c r="AR15" i="40"/>
  <c r="AT15" i="40" s="1"/>
  <c r="AR16" i="40"/>
  <c r="AT16" i="40" s="1"/>
  <c r="AW17" i="40"/>
  <c r="AZ17" i="40" s="1"/>
  <c r="AX17" i="40"/>
  <c r="BA17" i="40" s="1"/>
  <c r="AW16" i="40"/>
  <c r="AZ16" i="40" s="1"/>
  <c r="AX16" i="40"/>
  <c r="BA16" i="40" s="1"/>
  <c r="AY12" i="40"/>
  <c r="AR13" i="40"/>
  <c r="AT13" i="40"/>
  <c r="AV13" i="40" s="1"/>
  <c r="AY13" i="40" s="1"/>
  <c r="J15" i="40"/>
  <c r="AU15" i="40" s="1"/>
  <c r="AW13" i="40"/>
  <c r="AZ13" i="40" s="1"/>
  <c r="AX12" i="40"/>
  <c r="BA12" i="40" s="1"/>
  <c r="AU17" i="40"/>
  <c r="AV17" i="40" s="1"/>
  <c r="AY17" i="40" s="1"/>
  <c r="I3" i="24"/>
  <c r="I4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5" i="24"/>
  <c r="AS7" i="40"/>
  <c r="AN7" i="40"/>
  <c r="AM7" i="40"/>
  <c r="AL7" i="40"/>
  <c r="O7" i="40"/>
  <c r="M7" i="40"/>
  <c r="I7" i="40"/>
  <c r="F7" i="40"/>
  <c r="E7" i="40"/>
  <c r="B7" i="40"/>
  <c r="N7" i="40" s="1"/>
  <c r="AS6" i="40"/>
  <c r="AN6" i="40"/>
  <c r="AM6" i="40"/>
  <c r="AL6" i="40"/>
  <c r="O6" i="40"/>
  <c r="M6" i="40"/>
  <c r="I6" i="40"/>
  <c r="F6" i="40"/>
  <c r="E6" i="40"/>
  <c r="B6" i="40"/>
  <c r="N6" i="40" s="1"/>
  <c r="AS5" i="40"/>
  <c r="AN5" i="40"/>
  <c r="AM5" i="40"/>
  <c r="AL5" i="40"/>
  <c r="O5" i="40"/>
  <c r="M5" i="40"/>
  <c r="I5" i="40"/>
  <c r="J5" i="40" s="1"/>
  <c r="AU5" i="40" s="1"/>
  <c r="F5" i="40"/>
  <c r="H5" i="40" s="1"/>
  <c r="B5" i="40"/>
  <c r="N5" i="40" s="1"/>
  <c r="AS4" i="40"/>
  <c r="AN4" i="40"/>
  <c r="AM4" i="40"/>
  <c r="AL4" i="40"/>
  <c r="O4" i="40"/>
  <c r="M4" i="40"/>
  <c r="I4" i="40"/>
  <c r="F4" i="40"/>
  <c r="E4" i="40"/>
  <c r="B4" i="40"/>
  <c r="N4" i="40" s="1"/>
  <c r="AS3" i="40"/>
  <c r="AN3" i="40"/>
  <c r="AM3" i="40"/>
  <c r="AL3" i="40"/>
  <c r="O3" i="40"/>
  <c r="M3" i="40"/>
  <c r="J3" i="40"/>
  <c r="J6" i="40" s="1"/>
  <c r="I3" i="40"/>
  <c r="F3" i="40"/>
  <c r="E3" i="40"/>
  <c r="B3" i="40"/>
  <c r="N3" i="40" s="1"/>
  <c r="AS2" i="40"/>
  <c r="AQ2" i="40"/>
  <c r="AR2" i="40" s="1"/>
  <c r="O2" i="40"/>
  <c r="N2" i="40"/>
  <c r="M2" i="40"/>
  <c r="J2" i="40"/>
  <c r="AU2" i="40" s="1"/>
  <c r="H2" i="40"/>
  <c r="AX2" i="40" s="1"/>
  <c r="BA2" i="40" s="1"/>
  <c r="V3" i="24"/>
  <c r="AV16" i="40" l="1"/>
  <c r="AY16" i="40" s="1"/>
  <c r="AV15" i="40"/>
  <c r="AY15" i="40" s="1"/>
  <c r="H4" i="40"/>
  <c r="H7" i="40"/>
  <c r="AW7" i="40" s="1"/>
  <c r="AZ7" i="40" s="1"/>
  <c r="AQ3" i="40"/>
  <c r="H3" i="40"/>
  <c r="AX3" i="40" s="1"/>
  <c r="BA3" i="40" s="1"/>
  <c r="H6" i="40"/>
  <c r="AW6" i="40" s="1"/>
  <c r="AZ6" i="40" s="1"/>
  <c r="AQ5" i="40"/>
  <c r="AR5" i="40" s="1"/>
  <c r="AT5" i="40" s="1"/>
  <c r="AV5" i="40" s="1"/>
  <c r="AY5" i="40" s="1"/>
  <c r="AQ6" i="40"/>
  <c r="AR6" i="40" s="1"/>
  <c r="AT6" i="40" s="1"/>
  <c r="AW2" i="40"/>
  <c r="AZ2" i="40" s="1"/>
  <c r="AQ4" i="40"/>
  <c r="AR4" i="40" s="1"/>
  <c r="AT4" i="40" s="1"/>
  <c r="AQ7" i="40"/>
  <c r="AW5" i="40"/>
  <c r="AZ5" i="40" s="1"/>
  <c r="AX5" i="40"/>
  <c r="BA5" i="40" s="1"/>
  <c r="AR3" i="40"/>
  <c r="AT3" i="40" s="1"/>
  <c r="AV3" i="40" s="1"/>
  <c r="AY3" i="40" s="1"/>
  <c r="AX7" i="40"/>
  <c r="BA7" i="40" s="1"/>
  <c r="AU6" i="40"/>
  <c r="AU7" i="40"/>
  <c r="AU4" i="40"/>
  <c r="AT2" i="40"/>
  <c r="AV2" i="40" s="1"/>
  <c r="AY2" i="40" s="1"/>
  <c r="AU94" i="2"/>
  <c r="AS249" i="2"/>
  <c r="AN249" i="2"/>
  <c r="AM249" i="2"/>
  <c r="AL249" i="2"/>
  <c r="O249" i="2"/>
  <c r="M249" i="2"/>
  <c r="I249" i="2"/>
  <c r="F249" i="2"/>
  <c r="E249" i="2"/>
  <c r="B249" i="2"/>
  <c r="N249" i="2" s="1"/>
  <c r="AS248" i="2"/>
  <c r="AN248" i="2"/>
  <c r="AM248" i="2"/>
  <c r="AL248" i="2"/>
  <c r="O248" i="2"/>
  <c r="M248" i="2"/>
  <c r="I248" i="2"/>
  <c r="E248" i="2"/>
  <c r="B248" i="2"/>
  <c r="N248" i="2" s="1"/>
  <c r="AS247" i="2"/>
  <c r="AM247" i="2"/>
  <c r="AL247" i="2"/>
  <c r="O247" i="2"/>
  <c r="M247" i="2"/>
  <c r="I247" i="2"/>
  <c r="F247" i="2"/>
  <c r="E247" i="2"/>
  <c r="B247" i="2"/>
  <c r="N247" i="2" s="1"/>
  <c r="AS246" i="2"/>
  <c r="AN246" i="2"/>
  <c r="AN247" i="2" s="1"/>
  <c r="AM246" i="2"/>
  <c r="AL246" i="2"/>
  <c r="O246" i="2"/>
  <c r="N246" i="2"/>
  <c r="M246" i="2"/>
  <c r="I246" i="2"/>
  <c r="AQ246" i="2" s="1"/>
  <c r="B246" i="2"/>
  <c r="AS245" i="2"/>
  <c r="AN245" i="2"/>
  <c r="AM245" i="2"/>
  <c r="AL245" i="2"/>
  <c r="O245" i="2"/>
  <c r="M245" i="2"/>
  <c r="I245" i="2"/>
  <c r="F245" i="2"/>
  <c r="F248" i="2" s="1"/>
  <c r="E245" i="2"/>
  <c r="H245" i="2" s="1"/>
  <c r="B245" i="2"/>
  <c r="N245" i="2" s="1"/>
  <c r="AS244" i="2"/>
  <c r="AQ244" i="2"/>
  <c r="AR244" i="2" s="1"/>
  <c r="AT244" i="2" s="1"/>
  <c r="AN244" i="2"/>
  <c r="AM244" i="2"/>
  <c r="AL244" i="2"/>
  <c r="O244" i="2"/>
  <c r="M244" i="2"/>
  <c r="J244" i="2"/>
  <c r="J248" i="2" s="1"/>
  <c r="AU248" i="2" s="1"/>
  <c r="I244" i="2"/>
  <c r="F244" i="2"/>
  <c r="E244" i="2"/>
  <c r="H244" i="2" s="1"/>
  <c r="AW244" i="2" s="1"/>
  <c r="AZ244" i="2" s="1"/>
  <c r="B244" i="2"/>
  <c r="N244" i="2" s="1"/>
  <c r="AS243" i="2"/>
  <c r="AN243" i="2"/>
  <c r="AM243" i="2"/>
  <c r="AQ243" i="2" s="1"/>
  <c r="AL243" i="2"/>
  <c r="O243" i="2"/>
  <c r="N243" i="2"/>
  <c r="M243" i="2"/>
  <c r="J243" i="2"/>
  <c r="AU245" i="2" s="1"/>
  <c r="I243" i="2"/>
  <c r="F243" i="2"/>
  <c r="F246" i="2" s="1"/>
  <c r="H246" i="2" s="1"/>
  <c r="E243" i="2"/>
  <c r="B243" i="2"/>
  <c r="AS242" i="2"/>
  <c r="AQ242" i="2"/>
  <c r="AR242" i="2" s="1"/>
  <c r="AT242" i="2" s="1"/>
  <c r="O242" i="2"/>
  <c r="N242" i="2"/>
  <c r="M242" i="2"/>
  <c r="J242" i="2"/>
  <c r="AU242" i="2" s="1"/>
  <c r="H242" i="2"/>
  <c r="U7" i="24"/>
  <c r="U8" i="24"/>
  <c r="U9" i="24"/>
  <c r="AW4" i="40" l="1"/>
  <c r="AZ4" i="40" s="1"/>
  <c r="AX4" i="40"/>
  <c r="BA4" i="40" s="1"/>
  <c r="AQ247" i="2"/>
  <c r="AQ249" i="2"/>
  <c r="AR249" i="2" s="1"/>
  <c r="AT249" i="2" s="1"/>
  <c r="AW242" i="2"/>
  <c r="AZ242" i="2" s="1"/>
  <c r="AV242" i="2"/>
  <c r="AY242" i="2" s="1"/>
  <c r="AU244" i="2"/>
  <c r="AV244" i="2" s="1"/>
  <c r="AQ245" i="2"/>
  <c r="AR245" i="2" s="1"/>
  <c r="AT245" i="2" s="1"/>
  <c r="AV245" i="2" s="1"/>
  <c r="AY245" i="2" s="1"/>
  <c r="J247" i="2"/>
  <c r="AU247" i="2" s="1"/>
  <c r="H248" i="2"/>
  <c r="AQ248" i="2"/>
  <c r="AR248" i="2" s="1"/>
  <c r="AT248" i="2" s="1"/>
  <c r="AV248" i="2" s="1"/>
  <c r="AY248" i="2" s="1"/>
  <c r="AU243" i="2"/>
  <c r="H247" i="2"/>
  <c r="H249" i="2"/>
  <c r="AX6" i="40"/>
  <c r="BA6" i="40" s="1"/>
  <c r="AW3" i="40"/>
  <c r="AZ3" i="40" s="1"/>
  <c r="AR7" i="40"/>
  <c r="AT7" i="40" s="1"/>
  <c r="AV7" i="40" s="1"/>
  <c r="AY7" i="40" s="1"/>
  <c r="AV6" i="40"/>
  <c r="AY6" i="40" s="1"/>
  <c r="AV4" i="40"/>
  <c r="AY4" i="40" s="1"/>
  <c r="AX247" i="2"/>
  <c r="BA247" i="2" s="1"/>
  <c r="AW247" i="2"/>
  <c r="AZ247" i="2" s="1"/>
  <c r="AW249" i="2"/>
  <c r="AZ249" i="2" s="1"/>
  <c r="AX249" i="2"/>
  <c r="BA249" i="2" s="1"/>
  <c r="AW246" i="2"/>
  <c r="AZ246" i="2" s="1"/>
  <c r="AX246" i="2"/>
  <c r="BA246" i="2" s="1"/>
  <c r="AT247" i="2"/>
  <c r="AV247" i="2" s="1"/>
  <c r="AY247" i="2" s="1"/>
  <c r="AR247" i="2"/>
  <c r="AR246" i="2"/>
  <c r="AT246" i="2" s="1"/>
  <c r="AW248" i="2"/>
  <c r="AZ248" i="2" s="1"/>
  <c r="AX248" i="2"/>
  <c r="BA248" i="2" s="1"/>
  <c r="AR243" i="2"/>
  <c r="AT243" i="2" s="1"/>
  <c r="AW245" i="2"/>
  <c r="AZ245" i="2" s="1"/>
  <c r="AX245" i="2"/>
  <c r="BA245" i="2" s="1"/>
  <c r="AX244" i="2"/>
  <c r="BA244" i="2" s="1"/>
  <c r="AX242" i="2"/>
  <c r="BA242" i="2" s="1"/>
  <c r="J246" i="2"/>
  <c r="AU246" i="2" s="1"/>
  <c r="H243" i="2"/>
  <c r="AY244" i="2"/>
  <c r="AU249" i="2"/>
  <c r="AV249" i="2" s="1"/>
  <c r="AY249" i="2" s="1"/>
  <c r="AV243" i="2" l="1"/>
  <c r="AV246" i="2"/>
  <c r="AY246" i="2" s="1"/>
  <c r="AX243" i="2"/>
  <c r="BA243" i="2" s="1"/>
  <c r="AW243" i="2"/>
  <c r="AZ243" i="2" s="1"/>
  <c r="AY243" i="2"/>
  <c r="J166" i="2" l="1"/>
  <c r="AS157" i="2"/>
  <c r="AN157" i="2"/>
  <c r="AM157" i="2"/>
  <c r="AL157" i="2"/>
  <c r="O157" i="2"/>
  <c r="M157" i="2"/>
  <c r="I157" i="2"/>
  <c r="F157" i="2"/>
  <c r="B157" i="2"/>
  <c r="N157" i="2" s="1"/>
  <c r="AS156" i="2"/>
  <c r="AN156" i="2"/>
  <c r="AM156" i="2"/>
  <c r="AL156" i="2"/>
  <c r="O156" i="2"/>
  <c r="N156" i="2"/>
  <c r="M156" i="2"/>
  <c r="AU156" i="2"/>
  <c r="I156" i="2"/>
  <c r="F156" i="2"/>
  <c r="B156" i="2"/>
  <c r="AS155" i="2"/>
  <c r="AN155" i="2"/>
  <c r="AM155" i="2"/>
  <c r="AQ155" i="2" s="1"/>
  <c r="AL155" i="2"/>
  <c r="O155" i="2"/>
  <c r="M155" i="2"/>
  <c r="I155" i="2"/>
  <c r="J155" i="2" s="1"/>
  <c r="AU155" i="2" s="1"/>
  <c r="F155" i="2"/>
  <c r="B155" i="2"/>
  <c r="N155" i="2" s="1"/>
  <c r="AS154" i="2"/>
  <c r="AN154" i="2"/>
  <c r="AM154" i="2"/>
  <c r="AQ154" i="2" s="1"/>
  <c r="AL154" i="2"/>
  <c r="O154" i="2"/>
  <c r="M154" i="2"/>
  <c r="I154" i="2"/>
  <c r="F154" i="2"/>
  <c r="E154" i="2"/>
  <c r="E156" i="2" s="1"/>
  <c r="H156" i="2" s="1"/>
  <c r="B154" i="2"/>
  <c r="N154" i="2" s="1"/>
  <c r="AS153" i="2"/>
  <c r="AN153" i="2"/>
  <c r="AM153" i="2"/>
  <c r="AL153" i="2"/>
  <c r="O153" i="2"/>
  <c r="M153" i="2"/>
  <c r="I153" i="2"/>
  <c r="F153" i="2"/>
  <c r="E153" i="2"/>
  <c r="E155" i="2" s="1"/>
  <c r="B153" i="2"/>
  <c r="N153" i="2" s="1"/>
  <c r="AU152" i="2"/>
  <c r="AS152" i="2"/>
  <c r="AQ152" i="2"/>
  <c r="O152" i="2"/>
  <c r="N152" i="2"/>
  <c r="M152" i="2"/>
  <c r="L152" i="2"/>
  <c r="J153" i="2" s="1"/>
  <c r="J152" i="2"/>
  <c r="H152" i="2"/>
  <c r="AJ11" i="24"/>
  <c r="AE11" i="24" s="1"/>
  <c r="AF11" i="24" s="1"/>
  <c r="AR152" i="2" l="1"/>
  <c r="AT152" i="2" s="1"/>
  <c r="AV152" i="2" s="1"/>
  <c r="AY152" i="2" s="1"/>
  <c r="AQ156" i="2"/>
  <c r="AR156" i="2" s="1"/>
  <c r="AT156" i="2" s="1"/>
  <c r="AV156" i="2" s="1"/>
  <c r="AY156" i="2" s="1"/>
  <c r="AQ153" i="2"/>
  <c r="H154" i="2"/>
  <c r="AX154" i="2" s="1"/>
  <c r="BA154" i="2" s="1"/>
  <c r="AQ157" i="2"/>
  <c r="AR157" i="2" s="1"/>
  <c r="AT157" i="2" s="1"/>
  <c r="AR155" i="2"/>
  <c r="AT155" i="2" s="1"/>
  <c r="AV155" i="2" s="1"/>
  <c r="AR153" i="2"/>
  <c r="AT153" i="2" s="1"/>
  <c r="H155" i="2"/>
  <c r="E157" i="2"/>
  <c r="H157" i="2" s="1"/>
  <c r="AW156" i="2"/>
  <c r="AZ156" i="2" s="1"/>
  <c r="AX156" i="2"/>
  <c r="BA156" i="2" s="1"/>
  <c r="AU153" i="2"/>
  <c r="AU154" i="2"/>
  <c r="AW152" i="2"/>
  <c r="AZ152" i="2" s="1"/>
  <c r="AR154" i="2"/>
  <c r="AT154" i="2" s="1"/>
  <c r="AX152" i="2"/>
  <c r="BA152" i="2" s="1"/>
  <c r="AW154" i="2"/>
  <c r="AZ154" i="2" s="1"/>
  <c r="AU157" i="2"/>
  <c r="H153" i="2"/>
  <c r="L28" i="8"/>
  <c r="N28" i="8" s="1"/>
  <c r="M28" i="8" s="1"/>
  <c r="AF7" i="24"/>
  <c r="O1" i="40"/>
  <c r="N1" i="40"/>
  <c r="M1" i="40"/>
  <c r="AS17" i="2"/>
  <c r="AN17" i="2"/>
  <c r="AM17" i="2"/>
  <c r="O17" i="2"/>
  <c r="M17" i="2"/>
  <c r="I17" i="2"/>
  <c r="F17" i="2"/>
  <c r="E17" i="2"/>
  <c r="B17" i="2"/>
  <c r="N17" i="2" s="1"/>
  <c r="AS16" i="2"/>
  <c r="AN16" i="2"/>
  <c r="AM16" i="2"/>
  <c r="O16" i="2"/>
  <c r="M16" i="2"/>
  <c r="J16" i="2"/>
  <c r="I16" i="2"/>
  <c r="F16" i="2"/>
  <c r="H16" i="2" s="1"/>
  <c r="E16" i="2"/>
  <c r="B16" i="2"/>
  <c r="N16" i="2" s="1"/>
  <c r="AS15" i="2"/>
  <c r="AN15" i="2"/>
  <c r="AM15" i="2"/>
  <c r="AL15" i="2"/>
  <c r="O15" i="2"/>
  <c r="M15" i="2"/>
  <c r="I15" i="2"/>
  <c r="F15" i="2"/>
  <c r="H15" i="2" s="1"/>
  <c r="AW15" i="2" s="1"/>
  <c r="AZ15" i="2" s="1"/>
  <c r="B15" i="2"/>
  <c r="N15" i="2" s="1"/>
  <c r="AU14" i="2"/>
  <c r="AS14" i="2"/>
  <c r="AN14" i="2"/>
  <c r="AM14" i="2"/>
  <c r="AL14" i="2"/>
  <c r="AL17" i="2" s="1"/>
  <c r="O14" i="2"/>
  <c r="M14" i="2"/>
  <c r="J14" i="2"/>
  <c r="I14" i="2"/>
  <c r="F14" i="2"/>
  <c r="E14" i="2"/>
  <c r="B14" i="2"/>
  <c r="N14" i="2" s="1"/>
  <c r="AU13" i="2"/>
  <c r="AS13" i="2"/>
  <c r="AN13" i="2"/>
  <c r="AM13" i="2"/>
  <c r="AL13" i="2"/>
  <c r="AL16" i="2" s="1"/>
  <c r="O13" i="2"/>
  <c r="M13" i="2"/>
  <c r="I13" i="2"/>
  <c r="F13" i="2"/>
  <c r="E13" i="2"/>
  <c r="B13" i="2"/>
  <c r="N13" i="2" s="1"/>
  <c r="AS12" i="2"/>
  <c r="AQ12" i="2"/>
  <c r="O12" i="2"/>
  <c r="N12" i="2"/>
  <c r="M12" i="2"/>
  <c r="J12" i="2"/>
  <c r="AU12" i="2" s="1"/>
  <c r="H12" i="2"/>
  <c r="AX12" i="2" s="1"/>
  <c r="BA12" i="2" s="1"/>
  <c r="AS130" i="2"/>
  <c r="AM130" i="2"/>
  <c r="AL130" i="2"/>
  <c r="O130" i="2"/>
  <c r="M130" i="2"/>
  <c r="I130" i="2"/>
  <c r="H130" i="2"/>
  <c r="AW130" i="2" s="1"/>
  <c r="AZ130" i="2" s="1"/>
  <c r="B130" i="2"/>
  <c r="N130" i="2" s="1"/>
  <c r="AS129" i="2"/>
  <c r="AN129" i="2"/>
  <c r="AM129" i="2"/>
  <c r="AL129" i="2"/>
  <c r="O129" i="2"/>
  <c r="M129" i="2"/>
  <c r="F129" i="2"/>
  <c r="B129" i="2"/>
  <c r="N129" i="2" s="1"/>
  <c r="AS128" i="2"/>
  <c r="AN128" i="2"/>
  <c r="AM128" i="2"/>
  <c r="AL128" i="2"/>
  <c r="O128" i="2"/>
  <c r="M128" i="2"/>
  <c r="F128" i="2"/>
  <c r="B128" i="2"/>
  <c r="N128" i="2" s="1"/>
  <c r="AS127" i="2"/>
  <c r="AM127" i="2"/>
  <c r="AL127" i="2"/>
  <c r="O127" i="2"/>
  <c r="M127" i="2"/>
  <c r="I127" i="2"/>
  <c r="B127" i="2"/>
  <c r="N127" i="2" s="1"/>
  <c r="AU126" i="2"/>
  <c r="AS126" i="2"/>
  <c r="AN126" i="2"/>
  <c r="AN127" i="2" s="1"/>
  <c r="AM126" i="2"/>
  <c r="AL126" i="2"/>
  <c r="O126" i="2"/>
  <c r="M126" i="2"/>
  <c r="J126" i="2"/>
  <c r="I126" i="2"/>
  <c r="F126" i="2"/>
  <c r="E126" i="2"/>
  <c r="E128" i="2" s="1"/>
  <c r="H128" i="2" s="1"/>
  <c r="B126" i="2"/>
  <c r="N126" i="2" s="1"/>
  <c r="AS125" i="2"/>
  <c r="AN125" i="2"/>
  <c r="AL125" i="2"/>
  <c r="O125" i="2"/>
  <c r="M125" i="2"/>
  <c r="I125" i="2"/>
  <c r="J125" i="2" s="1"/>
  <c r="AU125" i="2" s="1"/>
  <c r="F125" i="2"/>
  <c r="H125" i="2" s="1"/>
  <c r="B125" i="2"/>
  <c r="N125" i="2" s="1"/>
  <c r="AS124" i="2"/>
  <c r="AN124" i="2"/>
  <c r="AM124" i="2"/>
  <c r="AL124" i="2"/>
  <c r="O124" i="2"/>
  <c r="M124" i="2"/>
  <c r="J124" i="2"/>
  <c r="I124" i="2"/>
  <c r="F124" i="2"/>
  <c r="E124" i="2"/>
  <c r="B124" i="2"/>
  <c r="N124" i="2" s="1"/>
  <c r="AU123" i="2"/>
  <c r="AS123" i="2"/>
  <c r="AN123" i="2"/>
  <c r="AM123" i="2"/>
  <c r="AL123" i="2"/>
  <c r="O123" i="2"/>
  <c r="M123" i="2"/>
  <c r="I123" i="2"/>
  <c r="F123" i="2"/>
  <c r="E123" i="2"/>
  <c r="B123" i="2"/>
  <c r="N123" i="2" s="1"/>
  <c r="AS122" i="2"/>
  <c r="AQ122" i="2"/>
  <c r="AR122" i="2" s="1"/>
  <c r="O122" i="2"/>
  <c r="N122" i="2"/>
  <c r="M122" i="2"/>
  <c r="J122" i="2"/>
  <c r="J130" i="2" s="1"/>
  <c r="AU130" i="2" s="1"/>
  <c r="H122" i="2"/>
  <c r="AW122" i="2" s="1"/>
  <c r="AZ122" i="2" s="1"/>
  <c r="H14" i="2" l="1"/>
  <c r="AW14" i="2" s="1"/>
  <c r="AZ14" i="2" s="1"/>
  <c r="AV157" i="2"/>
  <c r="AY157" i="2"/>
  <c r="AX157" i="2"/>
  <c r="BA157" i="2" s="1"/>
  <c r="AW157" i="2"/>
  <c r="AZ157" i="2" s="1"/>
  <c r="AV154" i="2"/>
  <c r="AY154" i="2" s="1"/>
  <c r="AY155" i="2"/>
  <c r="AX155" i="2"/>
  <c r="BA155" i="2" s="1"/>
  <c r="AW155" i="2"/>
  <c r="AZ155" i="2" s="1"/>
  <c r="AV153" i="2"/>
  <c r="AW153" i="2"/>
  <c r="AZ153" i="2" s="1"/>
  <c r="AX153" i="2"/>
  <c r="BA153" i="2" s="1"/>
  <c r="AY153" i="2"/>
  <c r="AW12" i="2"/>
  <c r="AZ12" i="2" s="1"/>
  <c r="J127" i="2"/>
  <c r="AU127" i="2" s="1"/>
  <c r="I128" i="2"/>
  <c r="J128" i="2" s="1"/>
  <c r="AU128" i="2" s="1"/>
  <c r="I129" i="2"/>
  <c r="AQ127" i="2"/>
  <c r="AQ126" i="2"/>
  <c r="AR126" i="2" s="1"/>
  <c r="AT126" i="2" s="1"/>
  <c r="AV126" i="2" s="1"/>
  <c r="H13" i="2"/>
  <c r="AX13" i="2" s="1"/>
  <c r="BA13" i="2" s="1"/>
  <c r="AQ14" i="2"/>
  <c r="AR14" i="2" s="1"/>
  <c r="AT14" i="2" s="1"/>
  <c r="AV14" i="2" s="1"/>
  <c r="AY14" i="2" s="1"/>
  <c r="AQ13" i="2"/>
  <c r="H17" i="2"/>
  <c r="AX17" i="2" s="1"/>
  <c r="BA17" i="2" s="1"/>
  <c r="AQ130" i="2"/>
  <c r="AR130" i="2" s="1"/>
  <c r="AM125" i="2"/>
  <c r="AQ125" i="2" s="1"/>
  <c r="AQ123" i="2"/>
  <c r="AR123" i="2" s="1"/>
  <c r="AT123" i="2" s="1"/>
  <c r="AV123" i="2" s="1"/>
  <c r="AU17" i="2"/>
  <c r="J17" i="2"/>
  <c r="AU16" i="2"/>
  <c r="AQ15" i="2"/>
  <c r="J15" i="2"/>
  <c r="AU15" i="2" s="1"/>
  <c r="AT122" i="2"/>
  <c r="H123" i="2"/>
  <c r="AW123" i="2" s="1"/>
  <c r="AZ123" i="2" s="1"/>
  <c r="H124" i="2"/>
  <c r="AX124" i="2" s="1"/>
  <c r="BA124" i="2" s="1"/>
  <c r="AQ124" i="2"/>
  <c r="AQ129" i="2"/>
  <c r="AR129" i="2" s="1"/>
  <c r="AT129" i="2" s="1"/>
  <c r="AQ16" i="2"/>
  <c r="AR16" i="2" s="1"/>
  <c r="AT16" i="2" s="1"/>
  <c r="AQ17" i="2"/>
  <c r="AR17" i="2"/>
  <c r="AT17" i="2" s="1"/>
  <c r="AV17" i="2" s="1"/>
  <c r="AW16" i="2"/>
  <c r="AZ16" i="2" s="1"/>
  <c r="AX16" i="2"/>
  <c r="BA16" i="2" s="1"/>
  <c r="AR12" i="2"/>
  <c r="AT12" i="2" s="1"/>
  <c r="AV12" i="2" s="1"/>
  <c r="AY12" i="2" s="1"/>
  <c r="AR13" i="2"/>
  <c r="AT13" i="2" s="1"/>
  <c r="AV13" i="2" s="1"/>
  <c r="AW13" i="2"/>
  <c r="AZ13" i="2" s="1"/>
  <c r="AX14" i="2"/>
  <c r="BA14" i="2" s="1"/>
  <c r="AX15" i="2"/>
  <c r="BA15" i="2" s="1"/>
  <c r="AR124" i="2"/>
  <c r="AT124" i="2" s="1"/>
  <c r="AX125" i="2"/>
  <c r="BA125" i="2" s="1"/>
  <c r="AW125" i="2"/>
  <c r="AZ125" i="2" s="1"/>
  <c r="AR127" i="2"/>
  <c r="AT127" i="2" s="1"/>
  <c r="AR125" i="2"/>
  <c r="AT125" i="2" s="1"/>
  <c r="AV125" i="2" s="1"/>
  <c r="AY125" i="2" s="1"/>
  <c r="AX128" i="2"/>
  <c r="BA128" i="2" s="1"/>
  <c r="AW128" i="2"/>
  <c r="AZ128" i="2" s="1"/>
  <c r="AU124" i="2"/>
  <c r="H126" i="2"/>
  <c r="E129" i="2"/>
  <c r="H129" i="2" s="1"/>
  <c r="AX130" i="2"/>
  <c r="BA130" i="2" s="1"/>
  <c r="AX122" i="2"/>
  <c r="BA122" i="2" s="1"/>
  <c r="AQ128" i="2"/>
  <c r="AU122" i="2"/>
  <c r="E127" i="2"/>
  <c r="H127" i="2" s="1"/>
  <c r="AU129" i="2"/>
  <c r="AY13" i="2" l="1"/>
  <c r="AV127" i="2"/>
  <c r="J129" i="2"/>
  <c r="AW124" i="2"/>
  <c r="AZ124" i="2" s="1"/>
  <c r="AX123" i="2"/>
  <c r="BA123" i="2" s="1"/>
  <c r="AY17" i="2"/>
  <c r="AW17" i="2"/>
  <c r="AZ17" i="2" s="1"/>
  <c r="AY123" i="2"/>
  <c r="AT130" i="2"/>
  <c r="AV130" i="2" s="1"/>
  <c r="AY130" i="2" s="1"/>
  <c r="AV122" i="2"/>
  <c r="AY122" i="2" s="1"/>
  <c r="AV129" i="2"/>
  <c r="AY129" i="2" s="1"/>
  <c r="AV16" i="2"/>
  <c r="AY16" i="2" s="1"/>
  <c r="AR15" i="2"/>
  <c r="AT15" i="2" s="1"/>
  <c r="AV15" i="2" s="1"/>
  <c r="AY15" i="2" s="1"/>
  <c r="AR128" i="2"/>
  <c r="AT128" i="2" s="1"/>
  <c r="AV128" i="2" s="1"/>
  <c r="AY128" i="2" s="1"/>
  <c r="AW129" i="2"/>
  <c r="AZ129" i="2" s="1"/>
  <c r="AX129" i="2"/>
  <c r="BA129" i="2" s="1"/>
  <c r="AV124" i="2"/>
  <c r="AY124" i="2" s="1"/>
  <c r="AY127" i="2"/>
  <c r="AW127" i="2"/>
  <c r="AZ127" i="2" s="1"/>
  <c r="AX127" i="2"/>
  <c r="BA127" i="2" s="1"/>
  <c r="AY126" i="2"/>
  <c r="AW126" i="2"/>
  <c r="AZ126" i="2" s="1"/>
  <c r="AX126" i="2"/>
  <c r="BA126" i="2" s="1"/>
  <c r="O234" i="2" l="1"/>
  <c r="N234" i="2"/>
  <c r="AS233" i="2"/>
  <c r="AN233" i="2"/>
  <c r="AM233" i="2"/>
  <c r="AL233" i="2"/>
  <c r="O233" i="2"/>
  <c r="M233" i="2"/>
  <c r="J233" i="2"/>
  <c r="AU233" i="2" s="1"/>
  <c r="I233" i="2"/>
  <c r="F233" i="2"/>
  <c r="E233" i="2"/>
  <c r="B233" i="2"/>
  <c r="N233" i="2" s="1"/>
  <c r="AS232" i="2"/>
  <c r="AQ232" i="2"/>
  <c r="AR232" i="2" s="1"/>
  <c r="O232" i="2"/>
  <c r="N232" i="2"/>
  <c r="M232" i="2"/>
  <c r="J232" i="2"/>
  <c r="AU232" i="2" s="1"/>
  <c r="H232" i="2"/>
  <c r="AX232" i="2" s="1"/>
  <c r="BA232" i="2" s="1"/>
  <c r="I97" i="2"/>
  <c r="J96" i="2"/>
  <c r="I96" i="2"/>
  <c r="I95" i="2"/>
  <c r="J95" i="2" s="1"/>
  <c r="AU95" i="2" s="1"/>
  <c r="J94" i="2"/>
  <c r="I94" i="2"/>
  <c r="I93" i="2"/>
  <c r="J92" i="2"/>
  <c r="AU92" i="2" s="1"/>
  <c r="AU93" i="2" s="1"/>
  <c r="AS227" i="2"/>
  <c r="AN227" i="2"/>
  <c r="AM227" i="2"/>
  <c r="AL227" i="2"/>
  <c r="O227" i="2"/>
  <c r="M227" i="2"/>
  <c r="I227" i="2"/>
  <c r="F227" i="2"/>
  <c r="E227" i="2"/>
  <c r="B227" i="2"/>
  <c r="N227" i="2" s="1"/>
  <c r="AS226" i="2"/>
  <c r="AN226" i="2"/>
  <c r="AM226" i="2"/>
  <c r="AL226" i="2"/>
  <c r="O226" i="2"/>
  <c r="M226" i="2"/>
  <c r="I226" i="2"/>
  <c r="F226" i="2"/>
  <c r="E226" i="2"/>
  <c r="B226" i="2"/>
  <c r="N226" i="2" s="1"/>
  <c r="AS225" i="2"/>
  <c r="AN225" i="2"/>
  <c r="AM225" i="2"/>
  <c r="AL225" i="2"/>
  <c r="O225" i="2"/>
  <c r="M225" i="2"/>
  <c r="I225" i="2"/>
  <c r="J225" i="2" s="1"/>
  <c r="AU225" i="2" s="1"/>
  <c r="F225" i="2"/>
  <c r="H225" i="2" s="1"/>
  <c r="B225" i="2"/>
  <c r="N225" i="2" s="1"/>
  <c r="AS224" i="2"/>
  <c r="AN224" i="2"/>
  <c r="AM224" i="2"/>
  <c r="AL224" i="2"/>
  <c r="O224" i="2"/>
  <c r="M224" i="2"/>
  <c r="I224" i="2"/>
  <c r="F224" i="2"/>
  <c r="E224" i="2"/>
  <c r="B224" i="2"/>
  <c r="N224" i="2" s="1"/>
  <c r="AS223" i="2"/>
  <c r="AN223" i="2"/>
  <c r="AM223" i="2"/>
  <c r="AL223" i="2"/>
  <c r="O223" i="2"/>
  <c r="M223" i="2"/>
  <c r="J223" i="2"/>
  <c r="AU223" i="2" s="1"/>
  <c r="I223" i="2"/>
  <c r="F223" i="2"/>
  <c r="E223" i="2"/>
  <c r="B223" i="2"/>
  <c r="N223" i="2" s="1"/>
  <c r="AS222" i="2"/>
  <c r="AQ222" i="2"/>
  <c r="AR222" i="2" s="1"/>
  <c r="O222" i="2"/>
  <c r="N222" i="2"/>
  <c r="M222" i="2"/>
  <c r="J222" i="2"/>
  <c r="AU222" i="2" s="1"/>
  <c r="H222" i="2"/>
  <c r="AW222" i="2" s="1"/>
  <c r="AZ222" i="2" s="1"/>
  <c r="J97" i="2" l="1"/>
  <c r="AU97" i="2"/>
  <c r="AU96" i="2"/>
  <c r="AQ226" i="2"/>
  <c r="AR226" i="2" s="1"/>
  <c r="AT226" i="2" s="1"/>
  <c r="AV226" i="2" s="1"/>
  <c r="H224" i="2"/>
  <c r="AW224" i="2" s="1"/>
  <c r="AZ224" i="2" s="1"/>
  <c r="AQ223" i="2"/>
  <c r="AR223" i="2" s="1"/>
  <c r="AT223" i="2" s="1"/>
  <c r="AV223" i="2" s="1"/>
  <c r="H227" i="2"/>
  <c r="AX227" i="2" s="1"/>
  <c r="BA227" i="2" s="1"/>
  <c r="AU224" i="2"/>
  <c r="J226" i="2"/>
  <c r="AU226" i="2" s="1"/>
  <c r="H223" i="2"/>
  <c r="AW223" i="2" s="1"/>
  <c r="AZ223" i="2" s="1"/>
  <c r="AQ225" i="2"/>
  <c r="AR225" i="2" s="1"/>
  <c r="AT225" i="2" s="1"/>
  <c r="AV225" i="2" s="1"/>
  <c r="AY225" i="2" s="1"/>
  <c r="AT232" i="2"/>
  <c r="AV232" i="2" s="1"/>
  <c r="AY232" i="2" s="1"/>
  <c r="H226" i="2"/>
  <c r="AX226" i="2" s="1"/>
  <c r="BA226" i="2" s="1"/>
  <c r="AQ227" i="2"/>
  <c r="AR227" i="2" s="1"/>
  <c r="AT227" i="2" s="1"/>
  <c r="AQ224" i="2"/>
  <c r="AR224" i="2" s="1"/>
  <c r="AT224" i="2" s="1"/>
  <c r="AQ233" i="2"/>
  <c r="AR233" i="2" s="1"/>
  <c r="AT233" i="2" s="1"/>
  <c r="AV233" i="2" s="1"/>
  <c r="H233" i="2"/>
  <c r="AX233" i="2" s="1"/>
  <c r="BA233" i="2" s="1"/>
  <c r="AW232" i="2"/>
  <c r="AZ232" i="2" s="1"/>
  <c r="AX225" i="2"/>
  <c r="BA225" i="2" s="1"/>
  <c r="AW225" i="2"/>
  <c r="AZ225" i="2" s="1"/>
  <c r="AT222" i="2"/>
  <c r="AV222" i="2" s="1"/>
  <c r="AY222" i="2" s="1"/>
  <c r="AX222" i="2"/>
  <c r="BA222" i="2" s="1"/>
  <c r="AU227" i="2"/>
  <c r="AY226" i="2" l="1"/>
  <c r="AW226" i="2"/>
  <c r="AZ226" i="2" s="1"/>
  <c r="AX224" i="2"/>
  <c r="BA224" i="2" s="1"/>
  <c r="AW227" i="2"/>
  <c r="AZ227" i="2" s="1"/>
  <c r="AX223" i="2"/>
  <c r="BA223" i="2" s="1"/>
  <c r="AY233" i="2"/>
  <c r="AV224" i="2"/>
  <c r="AY224" i="2" s="1"/>
  <c r="AW233" i="2"/>
  <c r="AZ233" i="2" s="1"/>
  <c r="AY223" i="2"/>
  <c r="AV227" i="2"/>
  <c r="AY227" i="2" s="1"/>
  <c r="I49" i="2" l="1"/>
  <c r="I48" i="2"/>
  <c r="I46" i="2"/>
  <c r="J46" i="2" s="1"/>
  <c r="I45" i="2"/>
  <c r="I44" i="2"/>
  <c r="J43" i="2"/>
  <c r="J47" i="2" s="1"/>
  <c r="I43" i="2"/>
  <c r="J42" i="2"/>
  <c r="J44" i="2" l="1"/>
  <c r="J48" i="2" s="1"/>
  <c r="J49" i="2" s="1"/>
  <c r="I47" i="2"/>
  <c r="J45" i="2"/>
  <c r="I210" i="2" l="1"/>
  <c r="J210" i="2" s="1"/>
  <c r="I206" i="2"/>
  <c r="I205" i="2"/>
  <c r="I208" i="2" s="1"/>
  <c r="J208" i="2" s="1"/>
  <c r="I204" i="2"/>
  <c r="I203" i="2"/>
  <c r="J202" i="2"/>
  <c r="I220" i="2"/>
  <c r="J220" i="2" s="1"/>
  <c r="AU220" i="2" s="1"/>
  <c r="J216" i="2"/>
  <c r="I216" i="2"/>
  <c r="I215" i="2"/>
  <c r="J215" i="2" s="1"/>
  <c r="I214" i="2"/>
  <c r="I213" i="2"/>
  <c r="J212" i="2"/>
  <c r="AU214" i="2" s="1"/>
  <c r="AL210" i="2"/>
  <c r="AL205" i="2"/>
  <c r="AL208" i="2" s="1"/>
  <c r="AL204" i="2"/>
  <c r="AL207" i="2" s="1"/>
  <c r="AL203" i="2"/>
  <c r="AL206" i="2" s="1"/>
  <c r="AL215" i="2"/>
  <c r="AL218" i="2" s="1"/>
  <c r="AL220" i="2"/>
  <c r="AL214" i="2"/>
  <c r="AL217" i="2" s="1"/>
  <c r="AL213" i="2"/>
  <c r="AL216" i="2" s="1"/>
  <c r="AS220" i="2"/>
  <c r="AM220" i="2"/>
  <c r="M220" i="2"/>
  <c r="B220" i="2"/>
  <c r="AS219" i="2"/>
  <c r="AN219" i="2"/>
  <c r="AM219" i="2"/>
  <c r="O219" i="2"/>
  <c r="M219" i="2"/>
  <c r="F219" i="2"/>
  <c r="B219" i="2"/>
  <c r="N219" i="2" s="1"/>
  <c r="AS218" i="2"/>
  <c r="AN218" i="2"/>
  <c r="AM218" i="2"/>
  <c r="O218" i="2"/>
  <c r="M218" i="2"/>
  <c r="F218" i="2"/>
  <c r="B218" i="2"/>
  <c r="N218" i="2" s="1"/>
  <c r="AS217" i="2"/>
  <c r="AM217" i="2"/>
  <c r="O217" i="2"/>
  <c r="M217" i="2"/>
  <c r="B217" i="2"/>
  <c r="N217" i="2" s="1"/>
  <c r="AU216" i="2"/>
  <c r="AS216" i="2"/>
  <c r="AN216" i="2"/>
  <c r="AN217" i="2" s="1"/>
  <c r="AM216" i="2"/>
  <c r="O216" i="2"/>
  <c r="M216" i="2"/>
  <c r="F216" i="2"/>
  <c r="E216" i="2"/>
  <c r="E218" i="2" s="1"/>
  <c r="B216" i="2"/>
  <c r="N216" i="2" s="1"/>
  <c r="AS215" i="2"/>
  <c r="AN215" i="2"/>
  <c r="O215" i="2"/>
  <c r="M215" i="2"/>
  <c r="F215" i="2"/>
  <c r="H215" i="2" s="1"/>
  <c r="B215" i="2"/>
  <c r="N215" i="2" s="1"/>
  <c r="AS214" i="2"/>
  <c r="AN214" i="2"/>
  <c r="AM214" i="2"/>
  <c r="O214" i="2"/>
  <c r="M214" i="2"/>
  <c r="F214" i="2"/>
  <c r="E214" i="2"/>
  <c r="B214" i="2"/>
  <c r="N214" i="2" s="1"/>
  <c r="AU213" i="2"/>
  <c r="AS213" i="2"/>
  <c r="AN213" i="2"/>
  <c r="AM213" i="2"/>
  <c r="O213" i="2"/>
  <c r="M213" i="2"/>
  <c r="F213" i="2"/>
  <c r="F220" i="2" s="1"/>
  <c r="H220" i="2" s="1"/>
  <c r="E213" i="2"/>
  <c r="B213" i="2"/>
  <c r="N213" i="2" s="1"/>
  <c r="AS212" i="2"/>
  <c r="AQ212" i="2"/>
  <c r="AR212" i="2" s="1"/>
  <c r="O212" i="2"/>
  <c r="N212" i="2"/>
  <c r="M212" i="2"/>
  <c r="H212" i="2"/>
  <c r="AW212" i="2" s="1"/>
  <c r="AZ212" i="2" s="1"/>
  <c r="AS210" i="2"/>
  <c r="AM210" i="2"/>
  <c r="M210" i="2"/>
  <c r="B210" i="2"/>
  <c r="AS209" i="2"/>
  <c r="AN209" i="2"/>
  <c r="AM209" i="2"/>
  <c r="O209" i="2"/>
  <c r="M209" i="2"/>
  <c r="B209" i="2"/>
  <c r="N209" i="2" s="1"/>
  <c r="AS208" i="2"/>
  <c r="AN208" i="2"/>
  <c r="AM208" i="2"/>
  <c r="O208" i="2"/>
  <c r="M208" i="2"/>
  <c r="B208" i="2"/>
  <c r="N208" i="2" s="1"/>
  <c r="AS207" i="2"/>
  <c r="AM207" i="2"/>
  <c r="O207" i="2"/>
  <c r="M207" i="2"/>
  <c r="B207" i="2"/>
  <c r="N207" i="2" s="1"/>
  <c r="AU206" i="2"/>
  <c r="AS206" i="2"/>
  <c r="AN206" i="2"/>
  <c r="AN207" i="2" s="1"/>
  <c r="AM206" i="2"/>
  <c r="O206" i="2"/>
  <c r="M206" i="2"/>
  <c r="E206" i="2"/>
  <c r="E209" i="2" s="1"/>
  <c r="B206" i="2"/>
  <c r="N206" i="2" s="1"/>
  <c r="AS205" i="2"/>
  <c r="AN205" i="2"/>
  <c r="O205" i="2"/>
  <c r="M205" i="2"/>
  <c r="B205" i="2"/>
  <c r="N205" i="2" s="1"/>
  <c r="AS204" i="2"/>
  <c r="AN204" i="2"/>
  <c r="AM204" i="2"/>
  <c r="O204" i="2"/>
  <c r="M204" i="2"/>
  <c r="E204" i="2"/>
  <c r="B204" i="2"/>
  <c r="N204" i="2" s="1"/>
  <c r="AU203" i="2"/>
  <c r="AS203" i="2"/>
  <c r="AN203" i="2"/>
  <c r="AM203" i="2"/>
  <c r="AM205" i="2" s="1"/>
  <c r="O203" i="2"/>
  <c r="M203" i="2"/>
  <c r="F203" i="2"/>
  <c r="F204" i="2" s="1"/>
  <c r="E203" i="2"/>
  <c r="B203" i="2"/>
  <c r="N203" i="2" s="1"/>
  <c r="AS202" i="2"/>
  <c r="AQ202" i="2"/>
  <c r="O202" i="2"/>
  <c r="N202" i="2"/>
  <c r="M202" i="2"/>
  <c r="H202" i="2"/>
  <c r="AX202" i="2" s="1"/>
  <c r="BA202" i="2" s="1"/>
  <c r="J194" i="2"/>
  <c r="J198" i="2" s="1"/>
  <c r="AU199" i="2" s="1"/>
  <c r="J184" i="2"/>
  <c r="J188" i="2" s="1"/>
  <c r="I199" i="2"/>
  <c r="I198" i="2"/>
  <c r="I196" i="2"/>
  <c r="I197" i="2" s="1"/>
  <c r="I195" i="2"/>
  <c r="I194" i="2"/>
  <c r="J193" i="2"/>
  <c r="J197" i="2" s="1"/>
  <c r="AU197" i="2" s="1"/>
  <c r="I193" i="2"/>
  <c r="J192" i="2"/>
  <c r="AU194" i="2" s="1"/>
  <c r="AS199" i="2"/>
  <c r="AN199" i="2"/>
  <c r="AM199" i="2"/>
  <c r="AL199" i="2"/>
  <c r="O199" i="2"/>
  <c r="M199" i="2"/>
  <c r="F199" i="2"/>
  <c r="E199" i="2"/>
  <c r="B199" i="2"/>
  <c r="N199" i="2" s="1"/>
  <c r="AS198" i="2"/>
  <c r="AN198" i="2"/>
  <c r="AM198" i="2"/>
  <c r="AL198" i="2"/>
  <c r="O198" i="2"/>
  <c r="M198" i="2"/>
  <c r="F198" i="2"/>
  <c r="E198" i="2"/>
  <c r="B198" i="2"/>
  <c r="N198" i="2" s="1"/>
  <c r="AS197" i="2"/>
  <c r="AM197" i="2"/>
  <c r="AL197" i="2"/>
  <c r="O197" i="2"/>
  <c r="M197" i="2"/>
  <c r="E197" i="2"/>
  <c r="H197" i="2" s="1"/>
  <c r="AX197" i="2" s="1"/>
  <c r="BA197" i="2" s="1"/>
  <c r="B197" i="2"/>
  <c r="N197" i="2" s="1"/>
  <c r="AS196" i="2"/>
  <c r="AN196" i="2"/>
  <c r="AN197" i="2" s="1"/>
  <c r="AM196" i="2"/>
  <c r="AL196" i="2"/>
  <c r="O196" i="2"/>
  <c r="M196" i="2"/>
  <c r="F196" i="2"/>
  <c r="H196" i="2" s="1"/>
  <c r="B196" i="2"/>
  <c r="N196" i="2" s="1"/>
  <c r="AS195" i="2"/>
  <c r="AN195" i="2"/>
  <c r="AM195" i="2"/>
  <c r="AL195" i="2"/>
  <c r="O195" i="2"/>
  <c r="M195" i="2"/>
  <c r="F195" i="2"/>
  <c r="E195" i="2"/>
  <c r="B195" i="2"/>
  <c r="N195" i="2" s="1"/>
  <c r="AS194" i="2"/>
  <c r="AN194" i="2"/>
  <c r="AM194" i="2"/>
  <c r="AL194" i="2"/>
  <c r="O194" i="2"/>
  <c r="M194" i="2"/>
  <c r="F194" i="2"/>
  <c r="E194" i="2"/>
  <c r="B194" i="2"/>
  <c r="N194" i="2" s="1"/>
  <c r="AS193" i="2"/>
  <c r="AN193" i="2"/>
  <c r="AM193" i="2"/>
  <c r="AL193" i="2"/>
  <c r="O193" i="2"/>
  <c r="M193" i="2"/>
  <c r="F193" i="2"/>
  <c r="E193" i="2"/>
  <c r="B193" i="2"/>
  <c r="N193" i="2" s="1"/>
  <c r="AS192" i="2"/>
  <c r="AQ192" i="2"/>
  <c r="O192" i="2"/>
  <c r="N192" i="2"/>
  <c r="M192" i="2"/>
  <c r="H192" i="2"/>
  <c r="AX192" i="2" s="1"/>
  <c r="BA192" i="2" s="1"/>
  <c r="AS189" i="2"/>
  <c r="AN189" i="2"/>
  <c r="AM189" i="2"/>
  <c r="AL189" i="2"/>
  <c r="O189" i="2"/>
  <c r="M189" i="2"/>
  <c r="I189" i="2"/>
  <c r="F189" i="2"/>
  <c r="E189" i="2"/>
  <c r="B189" i="2"/>
  <c r="N189" i="2" s="1"/>
  <c r="AS188" i="2"/>
  <c r="AN188" i="2"/>
  <c r="AM188" i="2"/>
  <c r="AL188" i="2"/>
  <c r="O188" i="2"/>
  <c r="M188" i="2"/>
  <c r="I188" i="2"/>
  <c r="F188" i="2"/>
  <c r="E188" i="2"/>
  <c r="B188" i="2"/>
  <c r="N188" i="2" s="1"/>
  <c r="AS187" i="2"/>
  <c r="AM187" i="2"/>
  <c r="AL187" i="2"/>
  <c r="O187" i="2"/>
  <c r="M187" i="2"/>
  <c r="E187" i="2"/>
  <c r="H187" i="2" s="1"/>
  <c r="AW187" i="2" s="1"/>
  <c r="AZ187" i="2" s="1"/>
  <c r="B187" i="2"/>
  <c r="N187" i="2" s="1"/>
  <c r="AS186" i="2"/>
  <c r="AN186" i="2"/>
  <c r="AN187" i="2" s="1"/>
  <c r="AM186" i="2"/>
  <c r="AL186" i="2"/>
  <c r="O186" i="2"/>
  <c r="M186" i="2"/>
  <c r="I186" i="2"/>
  <c r="F186" i="2"/>
  <c r="H186" i="2" s="1"/>
  <c r="AW186" i="2" s="1"/>
  <c r="AZ186" i="2" s="1"/>
  <c r="B186" i="2"/>
  <c r="N186" i="2" s="1"/>
  <c r="AS185" i="2"/>
  <c r="AN185" i="2"/>
  <c r="AM185" i="2"/>
  <c r="AL185" i="2"/>
  <c r="O185" i="2"/>
  <c r="M185" i="2"/>
  <c r="I185" i="2"/>
  <c r="F185" i="2"/>
  <c r="E185" i="2"/>
  <c r="B185" i="2"/>
  <c r="N185" i="2" s="1"/>
  <c r="AS184" i="2"/>
  <c r="AN184" i="2"/>
  <c r="AM184" i="2"/>
  <c r="AL184" i="2"/>
  <c r="O184" i="2"/>
  <c r="M184" i="2"/>
  <c r="I184" i="2"/>
  <c r="F184" i="2"/>
  <c r="E184" i="2"/>
  <c r="B184" i="2"/>
  <c r="N184" i="2" s="1"/>
  <c r="AS183" i="2"/>
  <c r="AN183" i="2"/>
  <c r="AM183" i="2"/>
  <c r="AL183" i="2"/>
  <c r="O183" i="2"/>
  <c r="M183" i="2"/>
  <c r="J183" i="2"/>
  <c r="AU185" i="2" s="1"/>
  <c r="I183" i="2"/>
  <c r="F183" i="2"/>
  <c r="E183" i="2"/>
  <c r="B183" i="2"/>
  <c r="N183" i="2" s="1"/>
  <c r="AS182" i="2"/>
  <c r="AQ182" i="2"/>
  <c r="AR182" i="2" s="1"/>
  <c r="O182" i="2"/>
  <c r="N182" i="2"/>
  <c r="M182" i="2"/>
  <c r="J182" i="2"/>
  <c r="AU182" i="2" s="1"/>
  <c r="H182" i="2"/>
  <c r="AW182" i="2" s="1"/>
  <c r="AZ182" i="2" s="1"/>
  <c r="J33" i="2"/>
  <c r="H195" i="2" l="1"/>
  <c r="H198" i="2"/>
  <c r="AX198" i="2" s="1"/>
  <c r="BA198" i="2" s="1"/>
  <c r="AQ186" i="2"/>
  <c r="AT182" i="2"/>
  <c r="AV182" i="2" s="1"/>
  <c r="AY182" i="2" s="1"/>
  <c r="H193" i="2"/>
  <c r="AW193" i="2" s="1"/>
  <c r="AZ193" i="2" s="1"/>
  <c r="AQ204" i="2"/>
  <c r="AR204" i="2" s="1"/>
  <c r="AT204" i="2" s="1"/>
  <c r="H184" i="2"/>
  <c r="AW184" i="2" s="1"/>
  <c r="AZ184" i="2" s="1"/>
  <c r="AQ185" i="2"/>
  <c r="AR185" i="2" s="1"/>
  <c r="AU193" i="2"/>
  <c r="H194" i="2"/>
  <c r="AX194" i="2" s="1"/>
  <c r="BA194" i="2" s="1"/>
  <c r="H183" i="2"/>
  <c r="AX183" i="2" s="1"/>
  <c r="BA183" i="2" s="1"/>
  <c r="AT212" i="2"/>
  <c r="H199" i="2"/>
  <c r="AW199" i="2" s="1"/>
  <c r="AZ199" i="2" s="1"/>
  <c r="AQ214" i="2"/>
  <c r="AQ183" i="2"/>
  <c r="AR183" i="2" s="1"/>
  <c r="AT183" i="2" s="1"/>
  <c r="AQ193" i="2"/>
  <c r="AQ188" i="2"/>
  <c r="AR188" i="2" s="1"/>
  <c r="AT188" i="2" s="1"/>
  <c r="F205" i="2"/>
  <c r="H204" i="2"/>
  <c r="AW204" i="2" s="1"/>
  <c r="AZ204" i="2" s="1"/>
  <c r="AL219" i="2"/>
  <c r="AQ216" i="2"/>
  <c r="AR216" i="2" s="1"/>
  <c r="AT216" i="2" s="1"/>
  <c r="AV216" i="2" s="1"/>
  <c r="H203" i="2"/>
  <c r="AX203" i="2" s="1"/>
  <c r="BA203" i="2" s="1"/>
  <c r="H216" i="2"/>
  <c r="AW216" i="2" s="1"/>
  <c r="AZ216" i="2" s="1"/>
  <c r="E219" i="2"/>
  <c r="H219" i="2" s="1"/>
  <c r="AX219" i="2" s="1"/>
  <c r="BA219" i="2" s="1"/>
  <c r="AW202" i="2"/>
  <c r="AZ202" i="2" s="1"/>
  <c r="H214" i="2"/>
  <c r="AX214" i="2" s="1"/>
  <c r="BA214" i="2" s="1"/>
  <c r="AU183" i="2"/>
  <c r="AQ189" i="2"/>
  <c r="AR189" i="2" s="1"/>
  <c r="AT189" i="2" s="1"/>
  <c r="H188" i="2"/>
  <c r="AW188" i="2" s="1"/>
  <c r="AZ188" i="2" s="1"/>
  <c r="AW192" i="2"/>
  <c r="AZ192" i="2" s="1"/>
  <c r="AU184" i="2"/>
  <c r="AQ199" i="2"/>
  <c r="AR199" i="2" s="1"/>
  <c r="AT199" i="2" s="1"/>
  <c r="AV199" i="2" s="1"/>
  <c r="AY199" i="2" s="1"/>
  <c r="AQ220" i="2"/>
  <c r="H185" i="2"/>
  <c r="AW185" i="2" s="1"/>
  <c r="AZ185" i="2" s="1"/>
  <c r="AQ210" i="2"/>
  <c r="AR210" i="2" s="1"/>
  <c r="AT210" i="2" s="1"/>
  <c r="AQ184" i="2"/>
  <c r="AR184" i="2" s="1"/>
  <c r="AT184" i="2" s="1"/>
  <c r="AQ194" i="2"/>
  <c r="H189" i="2"/>
  <c r="AW189" i="2" s="1"/>
  <c r="AZ189" i="2" s="1"/>
  <c r="AQ213" i="2"/>
  <c r="AR213" i="2" s="1"/>
  <c r="AT213" i="2" s="1"/>
  <c r="AV213" i="2" s="1"/>
  <c r="I207" i="2"/>
  <c r="J207" i="2" s="1"/>
  <c r="I209" i="2"/>
  <c r="H213" i="2"/>
  <c r="AX213" i="2" s="1"/>
  <c r="BA213" i="2" s="1"/>
  <c r="H218" i="2"/>
  <c r="AW218" i="2" s="1"/>
  <c r="AZ218" i="2" s="1"/>
  <c r="J205" i="2"/>
  <c r="AU205" i="2" s="1"/>
  <c r="I219" i="2"/>
  <c r="I218" i="2"/>
  <c r="I217" i="2"/>
  <c r="J217" i="2" s="1"/>
  <c r="AU210" i="2"/>
  <c r="AU202" i="2"/>
  <c r="AU204" i="2"/>
  <c r="AQ206" i="2"/>
  <c r="AR206" i="2" s="1"/>
  <c r="AT206" i="2" s="1"/>
  <c r="AV206" i="2" s="1"/>
  <c r="AL209" i="2"/>
  <c r="AQ203" i="2"/>
  <c r="AR203" i="2" s="1"/>
  <c r="AT203" i="2" s="1"/>
  <c r="AV203" i="2" s="1"/>
  <c r="AR202" i="2"/>
  <c r="AT202" i="2" s="1"/>
  <c r="AQ205" i="2"/>
  <c r="AX215" i="2"/>
  <c r="BA215" i="2" s="1"/>
  <c r="AW215" i="2"/>
  <c r="AZ215" i="2" s="1"/>
  <c r="AR220" i="2"/>
  <c r="AT220" i="2" s="1"/>
  <c r="AV220" i="2" s="1"/>
  <c r="AY220" i="2" s="1"/>
  <c r="AR214" i="2"/>
  <c r="AT214" i="2" s="1"/>
  <c r="AV214" i="2" s="1"/>
  <c r="E207" i="2"/>
  <c r="E208" i="2"/>
  <c r="AX212" i="2"/>
  <c r="BA212" i="2" s="1"/>
  <c r="AM215" i="2"/>
  <c r="AQ215" i="2" s="1"/>
  <c r="AX220" i="2"/>
  <c r="BA220" i="2" s="1"/>
  <c r="AU215" i="2"/>
  <c r="AW220" i="2"/>
  <c r="AZ220" i="2" s="1"/>
  <c r="AU212" i="2"/>
  <c r="E217" i="2"/>
  <c r="H217" i="2" s="1"/>
  <c r="AQ195" i="2"/>
  <c r="AR195" i="2" s="1"/>
  <c r="AT195" i="2" s="1"/>
  <c r="AQ198" i="2"/>
  <c r="AR198" i="2" s="1"/>
  <c r="AT198" i="2" s="1"/>
  <c r="J196" i="2"/>
  <c r="AU196" i="2" s="1"/>
  <c r="AQ196" i="2"/>
  <c r="AR196" i="2" s="1"/>
  <c r="AR194" i="2"/>
  <c r="AT194" i="2" s="1"/>
  <c r="AV194" i="2" s="1"/>
  <c r="AX195" i="2"/>
  <c r="BA195" i="2" s="1"/>
  <c r="AW195" i="2"/>
  <c r="AZ195" i="2" s="1"/>
  <c r="AR193" i="2"/>
  <c r="AT193" i="2" s="1"/>
  <c r="AV193" i="2" s="1"/>
  <c r="AY193" i="2" s="1"/>
  <c r="AX196" i="2"/>
  <c r="BA196" i="2" s="1"/>
  <c r="AW196" i="2"/>
  <c r="AZ196" i="2" s="1"/>
  <c r="AU189" i="2"/>
  <c r="AU188" i="2"/>
  <c r="AR186" i="2"/>
  <c r="AT186" i="2" s="1"/>
  <c r="AW198" i="2"/>
  <c r="AZ198" i="2" s="1"/>
  <c r="AX186" i="2"/>
  <c r="BA186" i="2" s="1"/>
  <c r="AX187" i="2"/>
  <c r="BA187" i="2" s="1"/>
  <c r="AU192" i="2"/>
  <c r="AX193" i="2"/>
  <c r="BA193" i="2" s="1"/>
  <c r="AW197" i="2"/>
  <c r="AZ197" i="2" s="1"/>
  <c r="AX184" i="2"/>
  <c r="BA184" i="2" s="1"/>
  <c r="I187" i="2"/>
  <c r="AQ187" i="2" s="1"/>
  <c r="AR192" i="2"/>
  <c r="AT192" i="2" s="1"/>
  <c r="AX182" i="2"/>
  <c r="BA182" i="2" s="1"/>
  <c r="J186" i="2"/>
  <c r="AU186" i="2" s="1"/>
  <c r="J187" i="2"/>
  <c r="AU187" i="2" s="1"/>
  <c r="AU195" i="2"/>
  <c r="AQ197" i="2"/>
  <c r="AU198" i="2"/>
  <c r="AW183" i="2" l="1"/>
  <c r="AZ183" i="2" s="1"/>
  <c r="AX188" i="2"/>
  <c r="BA188" i="2" s="1"/>
  <c r="AX204" i="2"/>
  <c r="BA204" i="2" s="1"/>
  <c r="AV210" i="2"/>
  <c r="AQ219" i="2"/>
  <c r="AR219" i="2" s="1"/>
  <c r="AT219" i="2" s="1"/>
  <c r="AW213" i="2"/>
  <c r="AZ213" i="2" s="1"/>
  <c r="AX189" i="2"/>
  <c r="BA189" i="2" s="1"/>
  <c r="AV212" i="2"/>
  <c r="AY212" i="2" s="1"/>
  <c r="AW203" i="2"/>
  <c r="AZ203" i="2" s="1"/>
  <c r="AT185" i="2"/>
  <c r="AV185" i="2" s="1"/>
  <c r="AY185" i="2" s="1"/>
  <c r="AY214" i="2"/>
  <c r="AW214" i="2"/>
  <c r="AZ214" i="2" s="1"/>
  <c r="AY203" i="2"/>
  <c r="AQ209" i="2"/>
  <c r="AV183" i="2"/>
  <c r="AY183" i="2" s="1"/>
  <c r="AX199" i="2"/>
  <c r="BA199" i="2" s="1"/>
  <c r="AW194" i="2"/>
  <c r="AZ194" i="2" s="1"/>
  <c r="AV184" i="2"/>
  <c r="AY184" i="2" s="1"/>
  <c r="AY194" i="2"/>
  <c r="AX216" i="2"/>
  <c r="BA216" i="2" s="1"/>
  <c r="AY216" i="2"/>
  <c r="AX185" i="2"/>
  <c r="BA185" i="2" s="1"/>
  <c r="AW219" i="2"/>
  <c r="AZ219" i="2" s="1"/>
  <c r="AV202" i="2"/>
  <c r="AY202" i="2" s="1"/>
  <c r="AV195" i="2"/>
  <c r="AY195" i="2" s="1"/>
  <c r="AV204" i="2"/>
  <c r="AY204" i="2" s="1"/>
  <c r="AY213" i="2"/>
  <c r="H205" i="2"/>
  <c r="F206" i="2"/>
  <c r="AX218" i="2"/>
  <c r="BA218" i="2" s="1"/>
  <c r="J218" i="2"/>
  <c r="AU218" i="2" s="1"/>
  <c r="J219" i="2"/>
  <c r="AQ207" i="2"/>
  <c r="AR215" i="2"/>
  <c r="AT215" i="2" s="1"/>
  <c r="AV215" i="2" s="1"/>
  <c r="AY215" i="2" s="1"/>
  <c r="AQ217" i="2"/>
  <c r="AQ218" i="2"/>
  <c r="AR205" i="2"/>
  <c r="AT205" i="2" s="1"/>
  <c r="AV205" i="2" s="1"/>
  <c r="AR209" i="2"/>
  <c r="AT209" i="2" s="1"/>
  <c r="AW217" i="2"/>
  <c r="AZ217" i="2" s="1"/>
  <c r="AX217" i="2"/>
  <c r="BA217" i="2" s="1"/>
  <c r="AQ208" i="2"/>
  <c r="AU208" i="2"/>
  <c r="AV192" i="2"/>
  <c r="AY192" i="2" s="1"/>
  <c r="AV198" i="2"/>
  <c r="AY198" i="2" s="1"/>
  <c r="AT196" i="2"/>
  <c r="AV196" i="2" s="1"/>
  <c r="AY196" i="2" s="1"/>
  <c r="AR197" i="2"/>
  <c r="AT197" i="2" s="1"/>
  <c r="AV197" i="2" s="1"/>
  <c r="AY197" i="2" s="1"/>
  <c r="AV189" i="2"/>
  <c r="AY189" i="2" s="1"/>
  <c r="AR187" i="2"/>
  <c r="AT187" i="2" s="1"/>
  <c r="AV187" i="2" s="1"/>
  <c r="AY187" i="2" s="1"/>
  <c r="AV188" i="2"/>
  <c r="AY188" i="2" s="1"/>
  <c r="AV186" i="2"/>
  <c r="AY186" i="2" s="1"/>
  <c r="AY205" i="2" l="1"/>
  <c r="H206" i="2"/>
  <c r="F207" i="2"/>
  <c r="AX205" i="2"/>
  <c r="BA205" i="2" s="1"/>
  <c r="AW205" i="2"/>
  <c r="AZ205" i="2" s="1"/>
  <c r="AR208" i="2"/>
  <c r="AT208" i="2" s="1"/>
  <c r="AV208" i="2" s="1"/>
  <c r="AU219" i="2"/>
  <c r="AV219" i="2" s="1"/>
  <c r="AY219" i="2" s="1"/>
  <c r="AU217" i="2"/>
  <c r="AU209" i="2"/>
  <c r="AV209" i="2" s="1"/>
  <c r="AU207" i="2"/>
  <c r="AR217" i="2"/>
  <c r="AT217" i="2" s="1"/>
  <c r="AR218" i="2"/>
  <c r="AT218" i="2" s="1"/>
  <c r="AV218" i="2" s="1"/>
  <c r="AY218" i="2" s="1"/>
  <c r="AR207" i="2"/>
  <c r="AT207" i="2" s="1"/>
  <c r="F208" i="2" l="1"/>
  <c r="H207" i="2"/>
  <c r="AW206" i="2"/>
  <c r="AZ206" i="2" s="1"/>
  <c r="AX206" i="2"/>
  <c r="BA206" i="2" s="1"/>
  <c r="AY206" i="2"/>
  <c r="AV217" i="2"/>
  <c r="AY217" i="2" s="1"/>
  <c r="AV207" i="2"/>
  <c r="AY207" i="2" l="1"/>
  <c r="AX207" i="2"/>
  <c r="BA207" i="2" s="1"/>
  <c r="AW207" i="2"/>
  <c r="AZ207" i="2" s="1"/>
  <c r="F209" i="2"/>
  <c r="H208" i="2"/>
  <c r="AW208" i="2" l="1"/>
  <c r="AZ208" i="2" s="1"/>
  <c r="AX208" i="2"/>
  <c r="BA208" i="2" s="1"/>
  <c r="AY208" i="2"/>
  <c r="F210" i="2"/>
  <c r="H210" i="2" s="1"/>
  <c r="H209" i="2"/>
  <c r="AW210" i="2" l="1"/>
  <c r="AZ210" i="2" s="1"/>
  <c r="AX210" i="2"/>
  <c r="BA210" i="2" s="1"/>
  <c r="AY210" i="2"/>
  <c r="AX209" i="2"/>
  <c r="BA209" i="2" s="1"/>
  <c r="AW209" i="2"/>
  <c r="AZ209" i="2" s="1"/>
  <c r="AY209" i="2"/>
  <c r="N2" i="1" l="1"/>
  <c r="AS120" i="2" l="1"/>
  <c r="AM120" i="2"/>
  <c r="AL120" i="2"/>
  <c r="M120" i="2"/>
  <c r="I120" i="2"/>
  <c r="H120" i="2"/>
  <c r="AX120" i="2" s="1"/>
  <c r="BA120" i="2" s="1"/>
  <c r="B120" i="2"/>
  <c r="AS177" i="2"/>
  <c r="AN177" i="2"/>
  <c r="AM177" i="2"/>
  <c r="AL177" i="2"/>
  <c r="O177" i="2"/>
  <c r="M177" i="2"/>
  <c r="I177" i="2"/>
  <c r="F177" i="2"/>
  <c r="B177" i="2"/>
  <c r="N177" i="2" s="1"/>
  <c r="AS176" i="2"/>
  <c r="AN176" i="2"/>
  <c r="AM176" i="2"/>
  <c r="AL176" i="2"/>
  <c r="O176" i="2"/>
  <c r="M176" i="2"/>
  <c r="I176" i="2"/>
  <c r="F176" i="2"/>
  <c r="B176" i="2"/>
  <c r="N176" i="2" s="1"/>
  <c r="AS175" i="2"/>
  <c r="AN175" i="2"/>
  <c r="AM175" i="2"/>
  <c r="AL175" i="2"/>
  <c r="O175" i="2"/>
  <c r="M175" i="2"/>
  <c r="I175" i="2"/>
  <c r="J175" i="2" s="1"/>
  <c r="AU175" i="2" s="1"/>
  <c r="F175" i="2"/>
  <c r="B175" i="2"/>
  <c r="N175" i="2" s="1"/>
  <c r="AS174" i="2"/>
  <c r="AN174" i="2"/>
  <c r="AM174" i="2"/>
  <c r="AL174" i="2"/>
  <c r="O174" i="2"/>
  <c r="M174" i="2"/>
  <c r="I174" i="2"/>
  <c r="F174" i="2"/>
  <c r="E174" i="2"/>
  <c r="E176" i="2" s="1"/>
  <c r="B174" i="2"/>
  <c r="N174" i="2" s="1"/>
  <c r="AS173" i="2"/>
  <c r="AN173" i="2"/>
  <c r="AM173" i="2"/>
  <c r="AL173" i="2"/>
  <c r="O173" i="2"/>
  <c r="M173" i="2"/>
  <c r="J173" i="2"/>
  <c r="AU174" i="2" s="1"/>
  <c r="I173" i="2"/>
  <c r="F173" i="2"/>
  <c r="E173" i="2"/>
  <c r="E175" i="2" s="1"/>
  <c r="B173" i="2"/>
  <c r="N173" i="2" s="1"/>
  <c r="AS172" i="2"/>
  <c r="AQ172" i="2"/>
  <c r="AR172" i="2" s="1"/>
  <c r="O172" i="2"/>
  <c r="N172" i="2"/>
  <c r="M172" i="2"/>
  <c r="J172" i="2"/>
  <c r="AU172" i="2" s="1"/>
  <c r="H172" i="2"/>
  <c r="AS167" i="2"/>
  <c r="AN167" i="2"/>
  <c r="AM167" i="2"/>
  <c r="AL167" i="2"/>
  <c r="O167" i="2"/>
  <c r="M167" i="2"/>
  <c r="I167" i="2"/>
  <c r="AQ167" i="2" s="1"/>
  <c r="F167" i="2"/>
  <c r="B167" i="2"/>
  <c r="N167" i="2" s="1"/>
  <c r="AS166" i="2"/>
  <c r="AN166" i="2"/>
  <c r="AM166" i="2"/>
  <c r="AL166" i="2"/>
  <c r="O166" i="2"/>
  <c r="M166" i="2"/>
  <c r="I166" i="2"/>
  <c r="F166" i="2"/>
  <c r="B166" i="2"/>
  <c r="N166" i="2" s="1"/>
  <c r="AS165" i="2"/>
  <c r="AN165" i="2"/>
  <c r="AM165" i="2"/>
  <c r="AL165" i="2"/>
  <c r="O165" i="2"/>
  <c r="M165" i="2"/>
  <c r="I165" i="2"/>
  <c r="AU166" i="2" s="1"/>
  <c r="F165" i="2"/>
  <c r="B165" i="2"/>
  <c r="N165" i="2" s="1"/>
  <c r="AS164" i="2"/>
  <c r="AN164" i="2"/>
  <c r="AM164" i="2"/>
  <c r="AL164" i="2"/>
  <c r="O164" i="2"/>
  <c r="M164" i="2"/>
  <c r="I164" i="2"/>
  <c r="F164" i="2"/>
  <c r="E164" i="2"/>
  <c r="E166" i="2" s="1"/>
  <c r="B164" i="2"/>
  <c r="N164" i="2" s="1"/>
  <c r="AS163" i="2"/>
  <c r="AN163" i="2"/>
  <c r="AM163" i="2"/>
  <c r="AL163" i="2"/>
  <c r="O163" i="2"/>
  <c r="M163" i="2"/>
  <c r="J163" i="2"/>
  <c r="AU164" i="2" s="1"/>
  <c r="I163" i="2"/>
  <c r="F163" i="2"/>
  <c r="E163" i="2"/>
  <c r="E165" i="2" s="1"/>
  <c r="E167" i="2" s="1"/>
  <c r="B163" i="2"/>
  <c r="N163" i="2" s="1"/>
  <c r="AS162" i="2"/>
  <c r="AQ162" i="2"/>
  <c r="O162" i="2"/>
  <c r="N162" i="2"/>
  <c r="M162" i="2"/>
  <c r="J162" i="2"/>
  <c r="AU162" i="2" s="1"/>
  <c r="H162" i="2"/>
  <c r="J143" i="2"/>
  <c r="AU143" i="2" s="1"/>
  <c r="AS144" i="2"/>
  <c r="AN144" i="2"/>
  <c r="AM144" i="2"/>
  <c r="AL144" i="2"/>
  <c r="O144" i="2"/>
  <c r="M144" i="2"/>
  <c r="I144" i="2"/>
  <c r="F144" i="2"/>
  <c r="E144" i="2"/>
  <c r="B144" i="2"/>
  <c r="N144" i="2" s="1"/>
  <c r="AS143" i="2"/>
  <c r="AN143" i="2"/>
  <c r="AM143" i="2"/>
  <c r="AL143" i="2"/>
  <c r="O143" i="2"/>
  <c r="M143" i="2"/>
  <c r="I143" i="2"/>
  <c r="F143" i="2"/>
  <c r="E143" i="2"/>
  <c r="B143" i="2"/>
  <c r="N143" i="2" s="1"/>
  <c r="AS142" i="2"/>
  <c r="AQ142" i="2"/>
  <c r="AR142" i="2" s="1"/>
  <c r="O142" i="2"/>
  <c r="N142" i="2"/>
  <c r="M142" i="2"/>
  <c r="J142" i="2"/>
  <c r="AU144" i="2" s="1"/>
  <c r="H142" i="2"/>
  <c r="AW142" i="2" s="1"/>
  <c r="AZ142" i="2" s="1"/>
  <c r="F133" i="2"/>
  <c r="F134" i="2"/>
  <c r="H22" i="2"/>
  <c r="AW22" i="2" s="1"/>
  <c r="AZ22" i="2" s="1"/>
  <c r="J22" i="2"/>
  <c r="AU22" i="2" s="1"/>
  <c r="M22" i="2"/>
  <c r="N22" i="2"/>
  <c r="O22" i="2"/>
  <c r="AQ22" i="2"/>
  <c r="AR22" i="2" s="1"/>
  <c r="AS22" i="2"/>
  <c r="AS134" i="2"/>
  <c r="AN134" i="2"/>
  <c r="AM134" i="2"/>
  <c r="AL134" i="2"/>
  <c r="O134" i="2"/>
  <c r="M134" i="2"/>
  <c r="I134" i="2"/>
  <c r="E134" i="2"/>
  <c r="B134" i="2"/>
  <c r="N134" i="2" s="1"/>
  <c r="AU133" i="2"/>
  <c r="AS133" i="2"/>
  <c r="AN133" i="2"/>
  <c r="AM133" i="2"/>
  <c r="AL133" i="2"/>
  <c r="O133" i="2"/>
  <c r="M133" i="2"/>
  <c r="I133" i="2"/>
  <c r="E133" i="2"/>
  <c r="B133" i="2"/>
  <c r="N133" i="2" s="1"/>
  <c r="AS132" i="2"/>
  <c r="AQ132" i="2"/>
  <c r="O132" i="2"/>
  <c r="N132" i="2"/>
  <c r="M132" i="2"/>
  <c r="J132" i="2"/>
  <c r="AU132" i="2" s="1"/>
  <c r="H132" i="2"/>
  <c r="AX132" i="2" s="1"/>
  <c r="BA132" i="2" s="1"/>
  <c r="AT172" i="2" l="1"/>
  <c r="AU142" i="2"/>
  <c r="AU163" i="2"/>
  <c r="AT142" i="2"/>
  <c r="AV142" i="2" s="1"/>
  <c r="AY142" i="2" s="1"/>
  <c r="AQ174" i="2"/>
  <c r="J165" i="2"/>
  <c r="AU165" i="2" s="1"/>
  <c r="J176" i="2"/>
  <c r="AU176" i="2" s="1"/>
  <c r="H176" i="2"/>
  <c r="AX176" i="2" s="1"/>
  <c r="BA176" i="2" s="1"/>
  <c r="H166" i="2"/>
  <c r="AW166" i="2" s="1"/>
  <c r="AZ166" i="2" s="1"/>
  <c r="AQ163" i="2"/>
  <c r="AR163" i="2" s="1"/>
  <c r="AT163" i="2" s="1"/>
  <c r="AV163" i="2" s="1"/>
  <c r="H167" i="2"/>
  <c r="AX167" i="2" s="1"/>
  <c r="BA167" i="2" s="1"/>
  <c r="H163" i="2"/>
  <c r="AW163" i="2" s="1"/>
  <c r="AZ163" i="2" s="1"/>
  <c r="AQ173" i="2"/>
  <c r="AR173" i="2" s="1"/>
  <c r="AT173" i="2" s="1"/>
  <c r="H164" i="2"/>
  <c r="AW164" i="2" s="1"/>
  <c r="AZ164" i="2" s="1"/>
  <c r="H143" i="2"/>
  <c r="AX143" i="2" s="1"/>
  <c r="BA143" i="2" s="1"/>
  <c r="AU173" i="2"/>
  <c r="AQ176" i="2"/>
  <c r="AR176" i="2" s="1"/>
  <c r="AT176" i="2" s="1"/>
  <c r="AQ177" i="2"/>
  <c r="AR177" i="2" s="1"/>
  <c r="AT177" i="2" s="1"/>
  <c r="AR162" i="2"/>
  <c r="AT162" i="2" s="1"/>
  <c r="AV162" i="2" s="1"/>
  <c r="AY162" i="2" s="1"/>
  <c r="AQ166" i="2"/>
  <c r="AQ164" i="2"/>
  <c r="AQ165" i="2"/>
  <c r="AQ120" i="2"/>
  <c r="AR120" i="2" s="1"/>
  <c r="AT120" i="2" s="1"/>
  <c r="AQ175" i="2"/>
  <c r="AR175" i="2" s="1"/>
  <c r="AT175" i="2" s="1"/>
  <c r="AV175" i="2" s="1"/>
  <c r="AW120" i="2"/>
  <c r="AZ120" i="2" s="1"/>
  <c r="E177" i="2"/>
  <c r="H177" i="2" s="1"/>
  <c r="H175" i="2"/>
  <c r="AV172" i="2"/>
  <c r="AY172" i="2" s="1"/>
  <c r="AW172" i="2"/>
  <c r="AZ172" i="2" s="1"/>
  <c r="AR174" i="2"/>
  <c r="AT174" i="2" s="1"/>
  <c r="AV174" i="2" s="1"/>
  <c r="AX172" i="2"/>
  <c r="BA172" i="2" s="1"/>
  <c r="H174" i="2"/>
  <c r="H173" i="2"/>
  <c r="AX166" i="2"/>
  <c r="BA166" i="2" s="1"/>
  <c r="AR167" i="2"/>
  <c r="AT167" i="2" s="1"/>
  <c r="H165" i="2"/>
  <c r="AW162" i="2"/>
  <c r="AZ162" i="2" s="1"/>
  <c r="AX162" i="2"/>
  <c r="BA162" i="2" s="1"/>
  <c r="AU167" i="2"/>
  <c r="H144" i="2"/>
  <c r="AX144" i="2" s="1"/>
  <c r="BA144" i="2" s="1"/>
  <c r="AQ144" i="2"/>
  <c r="AR144" i="2" s="1"/>
  <c r="AT144" i="2" s="1"/>
  <c r="AV144" i="2" s="1"/>
  <c r="AQ143" i="2"/>
  <c r="AR143" i="2" s="1"/>
  <c r="AT143" i="2" s="1"/>
  <c r="AV143" i="2" s="1"/>
  <c r="AX142" i="2"/>
  <c r="BA142" i="2" s="1"/>
  <c r="AX22" i="2"/>
  <c r="BA22" i="2" s="1"/>
  <c r="AT22" i="2"/>
  <c r="AV22" i="2" s="1"/>
  <c r="AY22" i="2" s="1"/>
  <c r="H134" i="2"/>
  <c r="AX134" i="2" s="1"/>
  <c r="BA134" i="2" s="1"/>
  <c r="H133" i="2"/>
  <c r="AX133" i="2" s="1"/>
  <c r="BA133" i="2" s="1"/>
  <c r="AQ133" i="2"/>
  <c r="AR133" i="2" s="1"/>
  <c r="AT133" i="2" s="1"/>
  <c r="AV133" i="2" s="1"/>
  <c r="AQ134" i="2"/>
  <c r="AR134" i="2" s="1"/>
  <c r="AT134" i="2" s="1"/>
  <c r="AW132" i="2"/>
  <c r="AZ132" i="2" s="1"/>
  <c r="AU134" i="2"/>
  <c r="AR132" i="2"/>
  <c r="AT132" i="2" s="1"/>
  <c r="AV132" i="2" s="1"/>
  <c r="AY132" i="2" s="1"/>
  <c r="AV173" i="2" l="1"/>
  <c r="AY173" i="2" s="1"/>
  <c r="AY163" i="2"/>
  <c r="AY144" i="2"/>
  <c r="AY143" i="2"/>
  <c r="AW176" i="2"/>
  <c r="AZ176" i="2" s="1"/>
  <c r="AW143" i="2"/>
  <c r="AZ143" i="2" s="1"/>
  <c r="AW167" i="2"/>
  <c r="AZ167" i="2" s="1"/>
  <c r="AV176" i="2"/>
  <c r="AY176" i="2" s="1"/>
  <c r="AU177" i="2"/>
  <c r="AV177" i="2" s="1"/>
  <c r="AY177" i="2" s="1"/>
  <c r="AX164" i="2"/>
  <c r="BA164" i="2" s="1"/>
  <c r="AW144" i="2"/>
  <c r="AZ144" i="2" s="1"/>
  <c r="AR165" i="2"/>
  <c r="AT165" i="2" s="1"/>
  <c r="AV165" i="2" s="1"/>
  <c r="AY165" i="2" s="1"/>
  <c r="AR166" i="2"/>
  <c r="AT166" i="2" s="1"/>
  <c r="AV166" i="2" s="1"/>
  <c r="AY166" i="2" s="1"/>
  <c r="AR164" i="2"/>
  <c r="AT164" i="2" s="1"/>
  <c r="AV164" i="2" s="1"/>
  <c r="AY164" i="2" s="1"/>
  <c r="AX163" i="2"/>
  <c r="BA163" i="2" s="1"/>
  <c r="AY174" i="2"/>
  <c r="AX174" i="2"/>
  <c r="BA174" i="2" s="1"/>
  <c r="AW174" i="2"/>
  <c r="AZ174" i="2" s="1"/>
  <c r="AW173" i="2"/>
  <c r="AZ173" i="2" s="1"/>
  <c r="AX173" i="2"/>
  <c r="BA173" i="2" s="1"/>
  <c r="AY175" i="2"/>
  <c r="AX175" i="2"/>
  <c r="BA175" i="2" s="1"/>
  <c r="AW175" i="2"/>
  <c r="AZ175" i="2" s="1"/>
  <c r="AX177" i="2"/>
  <c r="BA177" i="2" s="1"/>
  <c r="AW177" i="2"/>
  <c r="AZ177" i="2" s="1"/>
  <c r="AX165" i="2"/>
  <c r="BA165" i="2" s="1"/>
  <c r="AW165" i="2"/>
  <c r="AZ165" i="2" s="1"/>
  <c r="AV167" i="2"/>
  <c r="AY167" i="2" s="1"/>
  <c r="AW134" i="2"/>
  <c r="AZ134" i="2" s="1"/>
  <c r="AW133" i="2"/>
  <c r="AZ133" i="2" s="1"/>
  <c r="AY133" i="2"/>
  <c r="AV134" i="2"/>
  <c r="AY134" i="2" s="1"/>
  <c r="AU116" i="2"/>
  <c r="AL115" i="2"/>
  <c r="AQ112" i="2"/>
  <c r="J56" i="2"/>
  <c r="J34" i="2"/>
  <c r="I116" i="2"/>
  <c r="I115" i="2"/>
  <c r="I118" i="2" s="1"/>
  <c r="J118" i="2" s="1"/>
  <c r="AU118" i="2" s="1"/>
  <c r="E116" i="2"/>
  <c r="E118" i="2" s="1"/>
  <c r="AS119" i="2"/>
  <c r="AN119" i="2"/>
  <c r="AM119" i="2"/>
  <c r="AL119" i="2"/>
  <c r="O119" i="2"/>
  <c r="M119" i="2"/>
  <c r="F119" i="2"/>
  <c r="B119" i="2"/>
  <c r="N119" i="2" s="1"/>
  <c r="AS118" i="2"/>
  <c r="AN118" i="2"/>
  <c r="AM118" i="2"/>
  <c r="AL118" i="2"/>
  <c r="O118" i="2"/>
  <c r="M118" i="2"/>
  <c r="F118" i="2"/>
  <c r="B118" i="2"/>
  <c r="N118" i="2" s="1"/>
  <c r="AS117" i="2"/>
  <c r="AM117" i="2"/>
  <c r="AL117" i="2"/>
  <c r="O117" i="2"/>
  <c r="M117" i="2"/>
  <c r="B117" i="2"/>
  <c r="N117" i="2" s="1"/>
  <c r="AS116" i="2"/>
  <c r="AN116" i="2"/>
  <c r="AN117" i="2" s="1"/>
  <c r="AM116" i="2"/>
  <c r="AL116" i="2"/>
  <c r="O116" i="2"/>
  <c r="M116" i="2"/>
  <c r="F116" i="2"/>
  <c r="B116" i="2"/>
  <c r="N116" i="2" s="1"/>
  <c r="AS115" i="2"/>
  <c r="AN115" i="2"/>
  <c r="O115" i="2"/>
  <c r="M115" i="2"/>
  <c r="F115" i="2"/>
  <c r="B115" i="2"/>
  <c r="N115" i="2" s="1"/>
  <c r="AS114" i="2"/>
  <c r="AN114" i="2"/>
  <c r="AM114" i="2"/>
  <c r="AL114" i="2"/>
  <c r="O114" i="2"/>
  <c r="M114" i="2"/>
  <c r="I114" i="2"/>
  <c r="F114" i="2"/>
  <c r="E114" i="2"/>
  <c r="B114" i="2"/>
  <c r="N114" i="2" s="1"/>
  <c r="AS113" i="2"/>
  <c r="AN113" i="2"/>
  <c r="AM113" i="2"/>
  <c r="AM115" i="2" s="1"/>
  <c r="AL113" i="2"/>
  <c r="O113" i="2"/>
  <c r="M113" i="2"/>
  <c r="I113" i="2"/>
  <c r="F113" i="2"/>
  <c r="E113" i="2"/>
  <c r="B113" i="2"/>
  <c r="N113" i="2" s="1"/>
  <c r="AS112" i="2"/>
  <c r="O112" i="2"/>
  <c r="N112" i="2"/>
  <c r="M112" i="2"/>
  <c r="J112" i="2"/>
  <c r="H112" i="2"/>
  <c r="AX112" i="2" s="1"/>
  <c r="BA112" i="2" s="1"/>
  <c r="AU112" i="2" l="1"/>
  <c r="J120" i="2"/>
  <c r="AU120" i="2" s="1"/>
  <c r="AV120" i="2" s="1"/>
  <c r="AY120" i="2" s="1"/>
  <c r="H114" i="2"/>
  <c r="AW114" i="2" s="1"/>
  <c r="AZ114" i="2" s="1"/>
  <c r="I117" i="2"/>
  <c r="J117" i="2" s="1"/>
  <c r="AU117" i="2" s="1"/>
  <c r="I119" i="2"/>
  <c r="AQ119" i="2" s="1"/>
  <c r="AR119" i="2" s="1"/>
  <c r="AT119" i="2" s="1"/>
  <c r="H116" i="2"/>
  <c r="AX116" i="2" s="1"/>
  <c r="BA116" i="2" s="1"/>
  <c r="AQ114" i="2"/>
  <c r="AR114" i="2" s="1"/>
  <c r="AT114" i="2" s="1"/>
  <c r="E117" i="2"/>
  <c r="H117" i="2" s="1"/>
  <c r="AX117" i="2" s="1"/>
  <c r="BA117" i="2" s="1"/>
  <c r="H118" i="2"/>
  <c r="AW118" i="2" s="1"/>
  <c r="AZ118" i="2" s="1"/>
  <c r="AQ113" i="2"/>
  <c r="AR113" i="2" s="1"/>
  <c r="AT113" i="2" s="1"/>
  <c r="E119" i="2"/>
  <c r="H119" i="2" s="1"/>
  <c r="AX119" i="2" s="1"/>
  <c r="BA119" i="2" s="1"/>
  <c r="J115" i="2"/>
  <c r="AU115" i="2" s="1"/>
  <c r="H113" i="2"/>
  <c r="AW113" i="2" s="1"/>
  <c r="AZ113" i="2" s="1"/>
  <c r="AQ115" i="2"/>
  <c r="AR115" i="2" s="1"/>
  <c r="AT115" i="2" s="1"/>
  <c r="AU114" i="2"/>
  <c r="AR112" i="2"/>
  <c r="AT112" i="2" s="1"/>
  <c r="AQ118" i="2"/>
  <c r="AR118" i="2" s="1"/>
  <c r="AT118" i="2" s="1"/>
  <c r="AW112" i="2"/>
  <c r="AZ112" i="2" s="1"/>
  <c r="AU113" i="2"/>
  <c r="H115" i="2"/>
  <c r="AX115" i="2" s="1"/>
  <c r="BA115" i="2" s="1"/>
  <c r="AQ116" i="2"/>
  <c r="E107" i="2"/>
  <c r="E106" i="2"/>
  <c r="E104" i="2"/>
  <c r="E103" i="2"/>
  <c r="E97" i="2"/>
  <c r="E96" i="2"/>
  <c r="E94" i="2"/>
  <c r="E93" i="2"/>
  <c r="AS107" i="2"/>
  <c r="AN107" i="2"/>
  <c r="AM107" i="2"/>
  <c r="AL107" i="2"/>
  <c r="O107" i="2"/>
  <c r="M107" i="2"/>
  <c r="I107" i="2"/>
  <c r="F107" i="2"/>
  <c r="B107" i="2"/>
  <c r="N107" i="2" s="1"/>
  <c r="AS106" i="2"/>
  <c r="AN106" i="2"/>
  <c r="AM106" i="2"/>
  <c r="AL106" i="2"/>
  <c r="O106" i="2"/>
  <c r="M106" i="2"/>
  <c r="I106" i="2"/>
  <c r="F106" i="2"/>
  <c r="B106" i="2"/>
  <c r="N106" i="2" s="1"/>
  <c r="AS105" i="2"/>
  <c r="AN105" i="2"/>
  <c r="AM105" i="2"/>
  <c r="AL105" i="2"/>
  <c r="O105" i="2"/>
  <c r="M105" i="2"/>
  <c r="I105" i="2"/>
  <c r="J105" i="2" s="1"/>
  <c r="AU105" i="2" s="1"/>
  <c r="F105" i="2"/>
  <c r="H105" i="2" s="1"/>
  <c r="B105" i="2"/>
  <c r="N105" i="2" s="1"/>
  <c r="AS104" i="2"/>
  <c r="AN104" i="2"/>
  <c r="AM104" i="2"/>
  <c r="AL104" i="2"/>
  <c r="O104" i="2"/>
  <c r="M104" i="2"/>
  <c r="I104" i="2"/>
  <c r="F104" i="2"/>
  <c r="B104" i="2"/>
  <c r="N104" i="2" s="1"/>
  <c r="AS103" i="2"/>
  <c r="AN103" i="2"/>
  <c r="AM103" i="2"/>
  <c r="AL103" i="2"/>
  <c r="O103" i="2"/>
  <c r="M103" i="2"/>
  <c r="J103" i="2"/>
  <c r="AU104" i="2" s="1"/>
  <c r="I103" i="2"/>
  <c r="F103" i="2"/>
  <c r="B103" i="2"/>
  <c r="N103" i="2" s="1"/>
  <c r="AS102" i="2"/>
  <c r="AQ102" i="2"/>
  <c r="AR102" i="2" s="1"/>
  <c r="O102" i="2"/>
  <c r="N102" i="2"/>
  <c r="M102" i="2"/>
  <c r="J102" i="2"/>
  <c r="AU102" i="2" s="1"/>
  <c r="H102" i="2"/>
  <c r="AW102" i="2" s="1"/>
  <c r="AZ102" i="2" s="1"/>
  <c r="AS97" i="2"/>
  <c r="AN97" i="2"/>
  <c r="AM97" i="2"/>
  <c r="AL97" i="2"/>
  <c r="O97" i="2"/>
  <c r="M97" i="2"/>
  <c r="F97" i="2"/>
  <c r="B97" i="2"/>
  <c r="N97" i="2" s="1"/>
  <c r="AS96" i="2"/>
  <c r="AN96" i="2"/>
  <c r="AM96" i="2"/>
  <c r="AL96" i="2"/>
  <c r="O96" i="2"/>
  <c r="M96" i="2"/>
  <c r="F96" i="2"/>
  <c r="B96" i="2"/>
  <c r="N96" i="2" s="1"/>
  <c r="AS95" i="2"/>
  <c r="AN95" i="2"/>
  <c r="AM95" i="2"/>
  <c r="AL95" i="2"/>
  <c r="O95" i="2"/>
  <c r="M95" i="2"/>
  <c r="F95" i="2"/>
  <c r="H95" i="2" s="1"/>
  <c r="B95" i="2"/>
  <c r="N95" i="2" s="1"/>
  <c r="AS94" i="2"/>
  <c r="AN94" i="2"/>
  <c r="AM94" i="2"/>
  <c r="AL94" i="2"/>
  <c r="O94" i="2"/>
  <c r="M94" i="2"/>
  <c r="F94" i="2"/>
  <c r="B94" i="2"/>
  <c r="N94" i="2" s="1"/>
  <c r="AS93" i="2"/>
  <c r="AN93" i="2"/>
  <c r="AM93" i="2"/>
  <c r="AL93" i="2"/>
  <c r="O93" i="2"/>
  <c r="M93" i="2"/>
  <c r="F93" i="2"/>
  <c r="B93" i="2"/>
  <c r="N93" i="2" s="1"/>
  <c r="AS92" i="2"/>
  <c r="AQ92" i="2"/>
  <c r="AR92" i="2" s="1"/>
  <c r="O92" i="2"/>
  <c r="N92" i="2"/>
  <c r="M92" i="2"/>
  <c r="H92" i="2"/>
  <c r="AW92" i="2" s="1"/>
  <c r="AZ92" i="2" s="1"/>
  <c r="AS87" i="2"/>
  <c r="AN87" i="2"/>
  <c r="AM87" i="2"/>
  <c r="AL87" i="2"/>
  <c r="O87" i="2"/>
  <c r="M87" i="2"/>
  <c r="I87" i="2"/>
  <c r="F87" i="2"/>
  <c r="E87" i="2"/>
  <c r="B87" i="2"/>
  <c r="N87" i="2" s="1"/>
  <c r="AS86" i="2"/>
  <c r="AN86" i="2"/>
  <c r="AM86" i="2"/>
  <c r="AL86" i="2"/>
  <c r="O86" i="2"/>
  <c r="M86" i="2"/>
  <c r="J86" i="2"/>
  <c r="AU87" i="2" s="1"/>
  <c r="I86" i="2"/>
  <c r="F86" i="2"/>
  <c r="E86" i="2"/>
  <c r="B86" i="2"/>
  <c r="N86" i="2" s="1"/>
  <c r="AS85" i="2"/>
  <c r="AN85" i="2"/>
  <c r="AM85" i="2"/>
  <c r="AL85" i="2"/>
  <c r="O85" i="2"/>
  <c r="M85" i="2"/>
  <c r="I85" i="2"/>
  <c r="J85" i="2" s="1"/>
  <c r="AU85" i="2" s="1"/>
  <c r="F85" i="2"/>
  <c r="H85" i="2" s="1"/>
  <c r="B85" i="2"/>
  <c r="N85" i="2" s="1"/>
  <c r="AU84" i="2"/>
  <c r="AS84" i="2"/>
  <c r="AN84" i="2"/>
  <c r="AM84" i="2"/>
  <c r="AL84" i="2"/>
  <c r="O84" i="2"/>
  <c r="M84" i="2"/>
  <c r="I84" i="2"/>
  <c r="F84" i="2"/>
  <c r="E84" i="2"/>
  <c r="B84" i="2"/>
  <c r="N84" i="2" s="1"/>
  <c r="AS83" i="2"/>
  <c r="AN83" i="2"/>
  <c r="AM83" i="2"/>
  <c r="AL83" i="2"/>
  <c r="O83" i="2"/>
  <c r="M83" i="2"/>
  <c r="I83" i="2"/>
  <c r="F83" i="2"/>
  <c r="E83" i="2"/>
  <c r="B83" i="2"/>
  <c r="N83" i="2" s="1"/>
  <c r="AS82" i="2"/>
  <c r="AQ82" i="2"/>
  <c r="AR82" i="2" s="1"/>
  <c r="O82" i="2"/>
  <c r="N82" i="2"/>
  <c r="M82" i="2"/>
  <c r="J82" i="2"/>
  <c r="AU82" i="2" s="1"/>
  <c r="AU83" i="2" s="1"/>
  <c r="H82" i="2"/>
  <c r="AU53" i="2"/>
  <c r="AQ52" i="2"/>
  <c r="AR52" i="2" s="1"/>
  <c r="E77" i="2"/>
  <c r="E76" i="2"/>
  <c r="E74" i="2"/>
  <c r="E73" i="2"/>
  <c r="E67" i="2"/>
  <c r="E66" i="2"/>
  <c r="E64" i="2"/>
  <c r="E63" i="2"/>
  <c r="AS77" i="2"/>
  <c r="AN77" i="2"/>
  <c r="AM77" i="2"/>
  <c r="AL77" i="2"/>
  <c r="O77" i="2"/>
  <c r="M77" i="2"/>
  <c r="I77" i="2"/>
  <c r="F77" i="2"/>
  <c r="B77" i="2"/>
  <c r="N77" i="2" s="1"/>
  <c r="AS76" i="2"/>
  <c r="AN76" i="2"/>
  <c r="AM76" i="2"/>
  <c r="AL76" i="2"/>
  <c r="O76" i="2"/>
  <c r="M76" i="2"/>
  <c r="I76" i="2"/>
  <c r="F76" i="2"/>
  <c r="B76" i="2"/>
  <c r="N76" i="2" s="1"/>
  <c r="AS75" i="2"/>
  <c r="AN75" i="2"/>
  <c r="AM75" i="2"/>
  <c r="AL75" i="2"/>
  <c r="O75" i="2"/>
  <c r="M75" i="2"/>
  <c r="I75" i="2"/>
  <c r="J76" i="2" s="1"/>
  <c r="F75" i="2"/>
  <c r="H75" i="2" s="1"/>
  <c r="B75" i="2"/>
  <c r="N75" i="2" s="1"/>
  <c r="AS74" i="2"/>
  <c r="AN74" i="2"/>
  <c r="AM74" i="2"/>
  <c r="AL74" i="2"/>
  <c r="O74" i="2"/>
  <c r="M74" i="2"/>
  <c r="I74" i="2"/>
  <c r="F74" i="2"/>
  <c r="B74" i="2"/>
  <c r="N74" i="2" s="1"/>
  <c r="AS73" i="2"/>
  <c r="AN73" i="2"/>
  <c r="AM73" i="2"/>
  <c r="AL73" i="2"/>
  <c r="O73" i="2"/>
  <c r="M73" i="2"/>
  <c r="J73" i="2"/>
  <c r="I73" i="2"/>
  <c r="F73" i="2"/>
  <c r="B73" i="2"/>
  <c r="N73" i="2" s="1"/>
  <c r="AS72" i="2"/>
  <c r="AQ72" i="2"/>
  <c r="AR72" i="2" s="1"/>
  <c r="O72" i="2"/>
  <c r="N72" i="2"/>
  <c r="M72" i="2"/>
  <c r="J72" i="2"/>
  <c r="AU72" i="2" s="1"/>
  <c r="H72" i="2"/>
  <c r="AW72" i="2" s="1"/>
  <c r="AZ72" i="2" s="1"/>
  <c r="AS67" i="2"/>
  <c r="AN67" i="2"/>
  <c r="AM67" i="2"/>
  <c r="AL67" i="2"/>
  <c r="O67" i="2"/>
  <c r="M67" i="2"/>
  <c r="I67" i="2"/>
  <c r="F67" i="2"/>
  <c r="B67" i="2"/>
  <c r="N67" i="2" s="1"/>
  <c r="AS66" i="2"/>
  <c r="AN66" i="2"/>
  <c r="AM66" i="2"/>
  <c r="AL66" i="2"/>
  <c r="O66" i="2"/>
  <c r="M66" i="2"/>
  <c r="J66" i="2"/>
  <c r="AU67" i="2" s="1"/>
  <c r="I66" i="2"/>
  <c r="F66" i="2"/>
  <c r="B66" i="2"/>
  <c r="N66" i="2" s="1"/>
  <c r="AS65" i="2"/>
  <c r="AN65" i="2"/>
  <c r="AM65" i="2"/>
  <c r="AL65" i="2"/>
  <c r="O65" i="2"/>
  <c r="M65" i="2"/>
  <c r="I65" i="2"/>
  <c r="J65" i="2" s="1"/>
  <c r="AU65" i="2" s="1"/>
  <c r="F65" i="2"/>
  <c r="H65" i="2" s="1"/>
  <c r="AW65" i="2" s="1"/>
  <c r="AZ65" i="2" s="1"/>
  <c r="B65" i="2"/>
  <c r="N65" i="2" s="1"/>
  <c r="AU64" i="2"/>
  <c r="AS64" i="2"/>
  <c r="AN64" i="2"/>
  <c r="AM64" i="2"/>
  <c r="AL64" i="2"/>
  <c r="O64" i="2"/>
  <c r="M64" i="2"/>
  <c r="I64" i="2"/>
  <c r="F64" i="2"/>
  <c r="B64" i="2"/>
  <c r="N64" i="2" s="1"/>
  <c r="AU63" i="2"/>
  <c r="AS63" i="2"/>
  <c r="AN63" i="2"/>
  <c r="AM63" i="2"/>
  <c r="AL63" i="2"/>
  <c r="O63" i="2"/>
  <c r="M63" i="2"/>
  <c r="I63" i="2"/>
  <c r="F63" i="2"/>
  <c r="B63" i="2"/>
  <c r="N63" i="2" s="1"/>
  <c r="AS62" i="2"/>
  <c r="AQ62" i="2"/>
  <c r="AR62" i="2" s="1"/>
  <c r="O62" i="2"/>
  <c r="N62" i="2"/>
  <c r="M62" i="2"/>
  <c r="J62" i="2"/>
  <c r="AU62" i="2" s="1"/>
  <c r="H62" i="2"/>
  <c r="AW62" i="2" s="1"/>
  <c r="AZ62" i="2" s="1"/>
  <c r="AS57" i="2"/>
  <c r="AN57" i="2"/>
  <c r="AM57" i="2"/>
  <c r="AL57" i="2"/>
  <c r="O57" i="2"/>
  <c r="M57" i="2"/>
  <c r="I57" i="2"/>
  <c r="F57" i="2"/>
  <c r="E57" i="2"/>
  <c r="B57" i="2"/>
  <c r="N57" i="2" s="1"/>
  <c r="AS56" i="2"/>
  <c r="AN56" i="2"/>
  <c r="AM56" i="2"/>
  <c r="AL56" i="2"/>
  <c r="O56" i="2"/>
  <c r="M56" i="2"/>
  <c r="AU57" i="2"/>
  <c r="I56" i="2"/>
  <c r="F56" i="2"/>
  <c r="E56" i="2"/>
  <c r="B56" i="2"/>
  <c r="N56" i="2" s="1"/>
  <c r="AS55" i="2"/>
  <c r="AN55" i="2"/>
  <c r="AM55" i="2"/>
  <c r="AL55" i="2"/>
  <c r="O55" i="2"/>
  <c r="M55" i="2"/>
  <c r="I55" i="2"/>
  <c r="J55" i="2" s="1"/>
  <c r="AU55" i="2" s="1"/>
  <c r="F55" i="2"/>
  <c r="H55" i="2" s="1"/>
  <c r="B55" i="2"/>
  <c r="N55" i="2" s="1"/>
  <c r="AU54" i="2"/>
  <c r="AS54" i="2"/>
  <c r="AN54" i="2"/>
  <c r="AM54" i="2"/>
  <c r="AL54" i="2"/>
  <c r="O54" i="2"/>
  <c r="M54" i="2"/>
  <c r="I54" i="2"/>
  <c r="F54" i="2"/>
  <c r="E54" i="2"/>
  <c r="B54" i="2"/>
  <c r="N54" i="2" s="1"/>
  <c r="AS53" i="2"/>
  <c r="AN53" i="2"/>
  <c r="AM53" i="2"/>
  <c r="AL53" i="2"/>
  <c r="O53" i="2"/>
  <c r="M53" i="2"/>
  <c r="I53" i="2"/>
  <c r="F53" i="2"/>
  <c r="E53" i="2"/>
  <c r="B53" i="2"/>
  <c r="N53" i="2" s="1"/>
  <c r="AS52" i="2"/>
  <c r="O52" i="2"/>
  <c r="N52" i="2"/>
  <c r="M52" i="2"/>
  <c r="J52" i="2"/>
  <c r="AU52" i="2" s="1"/>
  <c r="H52" i="2"/>
  <c r="AX52" i="2" s="1"/>
  <c r="BA52" i="2" s="1"/>
  <c r="AS49" i="2"/>
  <c r="AN49" i="2"/>
  <c r="AM49" i="2"/>
  <c r="AL49" i="2"/>
  <c r="O49" i="2"/>
  <c r="M49" i="2"/>
  <c r="F49" i="2"/>
  <c r="E49" i="2"/>
  <c r="B49" i="2"/>
  <c r="N49" i="2" s="1"/>
  <c r="AS48" i="2"/>
  <c r="AN48" i="2"/>
  <c r="AM48" i="2"/>
  <c r="AL48" i="2"/>
  <c r="O48" i="2"/>
  <c r="M48" i="2"/>
  <c r="F48" i="2"/>
  <c r="E48" i="2"/>
  <c r="B48" i="2"/>
  <c r="N48" i="2" s="1"/>
  <c r="AS47" i="2"/>
  <c r="AM47" i="2"/>
  <c r="AL47" i="2"/>
  <c r="O47" i="2"/>
  <c r="M47" i="2"/>
  <c r="E47" i="2"/>
  <c r="H47" i="2" s="1"/>
  <c r="B47" i="2"/>
  <c r="N47" i="2" s="1"/>
  <c r="AS46" i="2"/>
  <c r="AN46" i="2"/>
  <c r="AN47" i="2" s="1"/>
  <c r="AM46" i="2"/>
  <c r="AL46" i="2"/>
  <c r="O46" i="2"/>
  <c r="M46" i="2"/>
  <c r="AU46" i="2"/>
  <c r="F46" i="2"/>
  <c r="H46" i="2" s="1"/>
  <c r="B46" i="2"/>
  <c r="N46" i="2" s="1"/>
  <c r="AS45" i="2"/>
  <c r="AN45" i="2"/>
  <c r="AM45" i="2"/>
  <c r="AL45" i="2"/>
  <c r="O45" i="2"/>
  <c r="M45" i="2"/>
  <c r="F45" i="2"/>
  <c r="E45" i="2"/>
  <c r="B45" i="2"/>
  <c r="N45" i="2" s="1"/>
  <c r="AS44" i="2"/>
  <c r="AN44" i="2"/>
  <c r="AM44" i="2"/>
  <c r="AL44" i="2"/>
  <c r="O44" i="2"/>
  <c r="M44" i="2"/>
  <c r="F44" i="2"/>
  <c r="E44" i="2"/>
  <c r="B44" i="2"/>
  <c r="N44" i="2" s="1"/>
  <c r="AS43" i="2"/>
  <c r="AN43" i="2"/>
  <c r="AM43" i="2"/>
  <c r="AL43" i="2"/>
  <c r="O43" i="2"/>
  <c r="M43" i="2"/>
  <c r="AU47" i="2"/>
  <c r="F43" i="2"/>
  <c r="E43" i="2"/>
  <c r="B43" i="2"/>
  <c r="N43" i="2" s="1"/>
  <c r="AS42" i="2"/>
  <c r="AQ42" i="2"/>
  <c r="O42" i="2"/>
  <c r="N42" i="2"/>
  <c r="M42" i="2"/>
  <c r="AU44" i="2"/>
  <c r="H42" i="2"/>
  <c r="AX42" i="2" s="1"/>
  <c r="BA42" i="2" s="1"/>
  <c r="AN34" i="2"/>
  <c r="AM37" i="2"/>
  <c r="AL34" i="2"/>
  <c r="AM34" i="2"/>
  <c r="AQ32" i="2"/>
  <c r="AR32" i="2" s="1"/>
  <c r="J37" i="2"/>
  <c r="AU37" i="2" s="1"/>
  <c r="E39" i="2"/>
  <c r="E38" i="2"/>
  <c r="E37" i="2"/>
  <c r="H37" i="2" s="1"/>
  <c r="B37" i="2"/>
  <c r="N37" i="2" s="1"/>
  <c r="AU3" i="2"/>
  <c r="AS37" i="2"/>
  <c r="AL37" i="2"/>
  <c r="O37" i="2"/>
  <c r="M37" i="2"/>
  <c r="I34" i="2"/>
  <c r="F34" i="2"/>
  <c r="E34" i="2"/>
  <c r="B34" i="2"/>
  <c r="N34" i="2" s="1"/>
  <c r="AS34" i="2"/>
  <c r="O34" i="2"/>
  <c r="M34" i="2"/>
  <c r="I5" i="2"/>
  <c r="AS39" i="2"/>
  <c r="AN39" i="2"/>
  <c r="AM39" i="2"/>
  <c r="AL39" i="2"/>
  <c r="O39" i="2"/>
  <c r="M39" i="2"/>
  <c r="I39" i="2"/>
  <c r="F39" i="2"/>
  <c r="B39" i="2"/>
  <c r="N39" i="2" s="1"/>
  <c r="AS38" i="2"/>
  <c r="AN38" i="2"/>
  <c r="AM38" i="2"/>
  <c r="AL38" i="2"/>
  <c r="O38" i="2"/>
  <c r="M38" i="2"/>
  <c r="I38" i="2"/>
  <c r="F38" i="2"/>
  <c r="B38" i="2"/>
  <c r="N38" i="2" s="1"/>
  <c r="AS36" i="2"/>
  <c r="AN36" i="2"/>
  <c r="AN37" i="2" s="1"/>
  <c r="AM36" i="2"/>
  <c r="AL36" i="2"/>
  <c r="O36" i="2"/>
  <c r="M36" i="2"/>
  <c r="I36" i="2"/>
  <c r="J36" i="2" s="1"/>
  <c r="AU36" i="2" s="1"/>
  <c r="F36" i="2"/>
  <c r="H36" i="2" s="1"/>
  <c r="AX36" i="2" s="1"/>
  <c r="BA36" i="2" s="1"/>
  <c r="B36" i="2"/>
  <c r="N36" i="2" s="1"/>
  <c r="AS35" i="2"/>
  <c r="AN35" i="2"/>
  <c r="AM35" i="2"/>
  <c r="AL35" i="2"/>
  <c r="O35" i="2"/>
  <c r="M35" i="2"/>
  <c r="I35" i="2"/>
  <c r="F35" i="2"/>
  <c r="E35" i="2"/>
  <c r="B35" i="2"/>
  <c r="N35" i="2" s="1"/>
  <c r="AS33" i="2"/>
  <c r="AN33" i="2"/>
  <c r="AM33" i="2"/>
  <c r="AL33" i="2"/>
  <c r="O33" i="2"/>
  <c r="M33" i="2"/>
  <c r="I33" i="2"/>
  <c r="F33" i="2"/>
  <c r="E33" i="2"/>
  <c r="B33" i="2"/>
  <c r="N33" i="2" s="1"/>
  <c r="AS32" i="2"/>
  <c r="O32" i="2"/>
  <c r="N32" i="2"/>
  <c r="M32" i="2"/>
  <c r="J32" i="2"/>
  <c r="AU32" i="2" s="1"/>
  <c r="H32" i="2"/>
  <c r="AX32" i="2" s="1"/>
  <c r="BA32" i="2" s="1"/>
  <c r="J23" i="2"/>
  <c r="AU23" i="2" s="1"/>
  <c r="B7" i="2"/>
  <c r="B6" i="2"/>
  <c r="B5" i="2"/>
  <c r="B4" i="2"/>
  <c r="B3" i="2"/>
  <c r="B27" i="2"/>
  <c r="N27" i="2" s="1"/>
  <c r="B26" i="2"/>
  <c r="N26" i="2" s="1"/>
  <c r="B25" i="2"/>
  <c r="N25" i="2" s="1"/>
  <c r="B24" i="2"/>
  <c r="N24" i="2" s="1"/>
  <c r="B23" i="2"/>
  <c r="N23" i="2" s="1"/>
  <c r="AS27" i="2"/>
  <c r="AN27" i="2"/>
  <c r="AM27" i="2"/>
  <c r="AL27" i="2"/>
  <c r="O27" i="2"/>
  <c r="M27" i="2"/>
  <c r="I27" i="2"/>
  <c r="F27" i="2"/>
  <c r="E27" i="2"/>
  <c r="AS26" i="2"/>
  <c r="AN26" i="2"/>
  <c r="AM26" i="2"/>
  <c r="AL26" i="2"/>
  <c r="O26" i="2"/>
  <c r="M26" i="2"/>
  <c r="I26" i="2"/>
  <c r="F26" i="2"/>
  <c r="E26" i="2"/>
  <c r="AS25" i="2"/>
  <c r="AN25" i="2"/>
  <c r="AM25" i="2"/>
  <c r="AL25" i="2"/>
  <c r="O25" i="2"/>
  <c r="M25" i="2"/>
  <c r="I25" i="2"/>
  <c r="J25" i="2" s="1"/>
  <c r="AU25" i="2" s="1"/>
  <c r="F25" i="2"/>
  <c r="H25" i="2" s="1"/>
  <c r="AW25" i="2" s="1"/>
  <c r="AZ25" i="2" s="1"/>
  <c r="AS24" i="2"/>
  <c r="AN24" i="2"/>
  <c r="AM24" i="2"/>
  <c r="AL24" i="2"/>
  <c r="O24" i="2"/>
  <c r="M24" i="2"/>
  <c r="I24" i="2"/>
  <c r="F24" i="2"/>
  <c r="E24" i="2"/>
  <c r="AS23" i="2"/>
  <c r="AN23" i="2"/>
  <c r="AM23" i="2"/>
  <c r="AL23" i="2"/>
  <c r="O23" i="2"/>
  <c r="M23" i="2"/>
  <c r="I23" i="2"/>
  <c r="F23" i="2"/>
  <c r="E23" i="2"/>
  <c r="F7" i="2"/>
  <c r="F6" i="2"/>
  <c r="F5" i="2"/>
  <c r="F4" i="2"/>
  <c r="F3" i="2"/>
  <c r="E7" i="2"/>
  <c r="E6" i="2"/>
  <c r="E4" i="2"/>
  <c r="E3" i="2"/>
  <c r="AV112" i="2" l="1"/>
  <c r="AY112" i="2" s="1"/>
  <c r="AU77" i="2"/>
  <c r="AU76" i="2"/>
  <c r="AU74" i="2"/>
  <c r="AU73" i="2"/>
  <c r="AW117" i="2"/>
  <c r="AZ117" i="2" s="1"/>
  <c r="AQ117" i="2"/>
  <c r="AR117" i="2" s="1"/>
  <c r="AT117" i="2" s="1"/>
  <c r="AV117" i="2" s="1"/>
  <c r="AY117" i="2" s="1"/>
  <c r="AU119" i="2"/>
  <c r="AV119" i="2" s="1"/>
  <c r="AY119" i="2" s="1"/>
  <c r="AW116" i="2"/>
  <c r="AZ116" i="2" s="1"/>
  <c r="AV115" i="2"/>
  <c r="AY115" i="2" s="1"/>
  <c r="AX114" i="2"/>
  <c r="BA114" i="2" s="1"/>
  <c r="AX118" i="2"/>
  <c r="BA118" i="2" s="1"/>
  <c r="AT72" i="2"/>
  <c r="AV72" i="2" s="1"/>
  <c r="AY72" i="2" s="1"/>
  <c r="H74" i="2"/>
  <c r="AX74" i="2" s="1"/>
  <c r="BA74" i="2" s="1"/>
  <c r="AX113" i="2"/>
  <c r="BA113" i="2" s="1"/>
  <c r="H96" i="2"/>
  <c r="AW96" i="2" s="1"/>
  <c r="AZ96" i="2" s="1"/>
  <c r="H38" i="2"/>
  <c r="AX38" i="2" s="1"/>
  <c r="BA38" i="2" s="1"/>
  <c r="H43" i="2"/>
  <c r="AW43" i="2" s="1"/>
  <c r="AZ43" i="2" s="1"/>
  <c r="AQ87" i="2"/>
  <c r="AR87" i="2" s="1"/>
  <c r="AT87" i="2" s="1"/>
  <c r="AV87" i="2" s="1"/>
  <c r="AW115" i="2"/>
  <c r="AZ115" i="2" s="1"/>
  <c r="AT32" i="2"/>
  <c r="AV32" i="2" s="1"/>
  <c r="AY32" i="2" s="1"/>
  <c r="AQ34" i="2"/>
  <c r="AR34" i="2" s="1"/>
  <c r="AT34" i="2" s="1"/>
  <c r="AW119" i="2"/>
  <c r="AZ119" i="2" s="1"/>
  <c r="J26" i="2"/>
  <c r="AU27" i="2" s="1"/>
  <c r="AQ33" i="2"/>
  <c r="AR33" i="2" s="1"/>
  <c r="AT33" i="2" s="1"/>
  <c r="AV113" i="2"/>
  <c r="AY113" i="2" s="1"/>
  <c r="H107" i="2"/>
  <c r="AX107" i="2" s="1"/>
  <c r="BA107" i="2" s="1"/>
  <c r="AV114" i="2"/>
  <c r="AY114" i="2" s="1"/>
  <c r="H45" i="2"/>
  <c r="AW45" i="2" s="1"/>
  <c r="AZ45" i="2" s="1"/>
  <c r="H49" i="2"/>
  <c r="AW49" i="2" s="1"/>
  <c r="AZ49" i="2" s="1"/>
  <c r="AV118" i="2"/>
  <c r="AY118" i="2" s="1"/>
  <c r="AR116" i="2"/>
  <c r="AT116" i="2" s="1"/>
  <c r="AV116" i="2" s="1"/>
  <c r="AY116" i="2" s="1"/>
  <c r="H94" i="2"/>
  <c r="AX94" i="2" s="1"/>
  <c r="BA94" i="2" s="1"/>
  <c r="H44" i="2"/>
  <c r="AW44" i="2" s="1"/>
  <c r="AZ44" i="2" s="1"/>
  <c r="H67" i="2"/>
  <c r="AW67" i="2" s="1"/>
  <c r="AZ67" i="2" s="1"/>
  <c r="AT82" i="2"/>
  <c r="AV82" i="2" s="1"/>
  <c r="AY82" i="2" s="1"/>
  <c r="AQ86" i="2"/>
  <c r="AR86" i="2" s="1"/>
  <c r="AT86" i="2" s="1"/>
  <c r="AU86" i="2"/>
  <c r="AT102" i="2"/>
  <c r="AV102" i="2" s="1"/>
  <c r="AY102" i="2" s="1"/>
  <c r="AU103" i="2"/>
  <c r="AQ44" i="2"/>
  <c r="AR44" i="2" s="1"/>
  <c r="AT44" i="2" s="1"/>
  <c r="AV44" i="2" s="1"/>
  <c r="AQ57" i="2"/>
  <c r="AR57" i="2" s="1"/>
  <c r="AT57" i="2" s="1"/>
  <c r="AV57" i="2" s="1"/>
  <c r="AW32" i="2"/>
  <c r="AZ32" i="2" s="1"/>
  <c r="H64" i="2"/>
  <c r="AW64" i="2" s="1"/>
  <c r="AZ64" i="2" s="1"/>
  <c r="AU24" i="2"/>
  <c r="AQ48" i="2"/>
  <c r="AR48" i="2" s="1"/>
  <c r="AT48" i="2" s="1"/>
  <c r="H77" i="2"/>
  <c r="AX77" i="2" s="1"/>
  <c r="BA77" i="2" s="1"/>
  <c r="H63" i="2"/>
  <c r="AW63" i="2" s="1"/>
  <c r="AZ63" i="2" s="1"/>
  <c r="H35" i="2"/>
  <c r="AW35" i="2" s="1"/>
  <c r="AZ35" i="2" s="1"/>
  <c r="AW36" i="2"/>
  <c r="AZ36" i="2" s="1"/>
  <c r="AQ43" i="2"/>
  <c r="AR43" i="2" s="1"/>
  <c r="AT43" i="2" s="1"/>
  <c r="AQ56" i="2"/>
  <c r="AR56" i="2" s="1"/>
  <c r="AT56" i="2" s="1"/>
  <c r="H57" i="2"/>
  <c r="AX57" i="2" s="1"/>
  <c r="BA57" i="2" s="1"/>
  <c r="H66" i="2"/>
  <c r="AX66" i="2" s="1"/>
  <c r="BA66" i="2" s="1"/>
  <c r="H76" i="2"/>
  <c r="AX76" i="2" s="1"/>
  <c r="BA76" i="2" s="1"/>
  <c r="H83" i="2"/>
  <c r="AW83" i="2" s="1"/>
  <c r="AZ83" i="2" s="1"/>
  <c r="AQ85" i="2"/>
  <c r="AR85" i="2" s="1"/>
  <c r="AT85" i="2" s="1"/>
  <c r="AV85" i="2" s="1"/>
  <c r="AY85" i="2" s="1"/>
  <c r="H86" i="2"/>
  <c r="AX86" i="2" s="1"/>
  <c r="BA86" i="2" s="1"/>
  <c r="H87" i="2"/>
  <c r="AX87" i="2" s="1"/>
  <c r="BA87" i="2" s="1"/>
  <c r="AQ106" i="2"/>
  <c r="AR106" i="2" s="1"/>
  <c r="AT106" i="2" s="1"/>
  <c r="H97" i="2"/>
  <c r="AX97" i="2" s="1"/>
  <c r="BA97" i="2" s="1"/>
  <c r="AQ46" i="2"/>
  <c r="AR46" i="2" s="1"/>
  <c r="AT46" i="2" s="1"/>
  <c r="AV46" i="2" s="1"/>
  <c r="AY46" i="2" s="1"/>
  <c r="H48" i="2"/>
  <c r="AX48" i="2" s="1"/>
  <c r="BA48" i="2" s="1"/>
  <c r="H54" i="2"/>
  <c r="AW54" i="2" s="1"/>
  <c r="AZ54" i="2" s="1"/>
  <c r="H56" i="2"/>
  <c r="AX56" i="2" s="1"/>
  <c r="BA56" i="2" s="1"/>
  <c r="AQ73" i="2"/>
  <c r="AR73" i="2" s="1"/>
  <c r="AT73" i="2" s="1"/>
  <c r="J75" i="2"/>
  <c r="AU75" i="2" s="1"/>
  <c r="AQ75" i="2"/>
  <c r="AR75" i="2" s="1"/>
  <c r="AT75" i="2" s="1"/>
  <c r="AQ84" i="2"/>
  <c r="AR84" i="2" s="1"/>
  <c r="AT84" i="2" s="1"/>
  <c r="AV84" i="2" s="1"/>
  <c r="AT92" i="2"/>
  <c r="AV92" i="2" s="1"/>
  <c r="AY92" i="2" s="1"/>
  <c r="AQ103" i="2"/>
  <c r="AR103" i="2" s="1"/>
  <c r="AQ105" i="2"/>
  <c r="AR105" i="2" s="1"/>
  <c r="AT105" i="2" s="1"/>
  <c r="AV105" i="2" s="1"/>
  <c r="AY105" i="2" s="1"/>
  <c r="H93" i="2"/>
  <c r="AW93" i="2" s="1"/>
  <c r="AZ93" i="2" s="1"/>
  <c r="AU56" i="2"/>
  <c r="AQ94" i="2"/>
  <c r="AQ97" i="2"/>
  <c r="AR97" i="2" s="1"/>
  <c r="AU35" i="2"/>
  <c r="AU43" i="2"/>
  <c r="AU33" i="2"/>
  <c r="J38" i="2"/>
  <c r="H39" i="2"/>
  <c r="AX39" i="2" s="1"/>
  <c r="BA39" i="2" s="1"/>
  <c r="AQ49" i="2"/>
  <c r="AR49" i="2" s="1"/>
  <c r="AT49" i="2" s="1"/>
  <c r="AQ83" i="2"/>
  <c r="AR83" i="2" s="1"/>
  <c r="AT83" i="2" s="1"/>
  <c r="AV83" i="2" s="1"/>
  <c r="AQ93" i="2"/>
  <c r="AR93" i="2" s="1"/>
  <c r="AQ95" i="2"/>
  <c r="AR95" i="2" s="1"/>
  <c r="AT95" i="2" s="1"/>
  <c r="AV95" i="2" s="1"/>
  <c r="AY95" i="2" s="1"/>
  <c r="AQ96" i="2"/>
  <c r="AR96" i="2" s="1"/>
  <c r="AT96" i="2" s="1"/>
  <c r="AQ107" i="2"/>
  <c r="AR107" i="2" s="1"/>
  <c r="AT107" i="2" s="1"/>
  <c r="H104" i="2"/>
  <c r="AX104" i="2" s="1"/>
  <c r="BA104" i="2" s="1"/>
  <c r="AQ23" i="2"/>
  <c r="AR23" i="2" s="1"/>
  <c r="AT23" i="2" s="1"/>
  <c r="AV23" i="2" s="1"/>
  <c r="H34" i="2"/>
  <c r="AW34" i="2" s="1"/>
  <c r="AZ34" i="2" s="1"/>
  <c r="AW42" i="2"/>
  <c r="AZ42" i="2" s="1"/>
  <c r="H53" i="2"/>
  <c r="AW53" i="2" s="1"/>
  <c r="AZ53" i="2" s="1"/>
  <c r="AQ65" i="2"/>
  <c r="AR65" i="2" s="1"/>
  <c r="AT65" i="2" s="1"/>
  <c r="AV65" i="2" s="1"/>
  <c r="AY65" i="2" s="1"/>
  <c r="H84" i="2"/>
  <c r="AW84" i="2" s="1"/>
  <c r="AZ84" i="2" s="1"/>
  <c r="H103" i="2"/>
  <c r="AW103" i="2" s="1"/>
  <c r="AZ103" i="2" s="1"/>
  <c r="AQ104" i="2"/>
  <c r="AR104" i="2" s="1"/>
  <c r="AT104" i="2" s="1"/>
  <c r="AV104" i="2" s="1"/>
  <c r="J106" i="2"/>
  <c r="AU107" i="2" s="1"/>
  <c r="H106" i="2"/>
  <c r="AX106" i="2" s="1"/>
  <c r="BA106" i="2" s="1"/>
  <c r="AQ45" i="2"/>
  <c r="AR45" i="2" s="1"/>
  <c r="AT45" i="2" s="1"/>
  <c r="AW105" i="2"/>
  <c r="AZ105" i="2" s="1"/>
  <c r="AX105" i="2"/>
  <c r="BA105" i="2" s="1"/>
  <c r="AX95" i="2"/>
  <c r="BA95" i="2" s="1"/>
  <c r="AW95" i="2"/>
  <c r="AZ95" i="2" s="1"/>
  <c r="AX85" i="2"/>
  <c r="BA85" i="2" s="1"/>
  <c r="AW85" i="2"/>
  <c r="AZ85" i="2" s="1"/>
  <c r="AW82" i="2"/>
  <c r="AZ82" i="2" s="1"/>
  <c r="AX92" i="2"/>
  <c r="BA92" i="2" s="1"/>
  <c r="AX102" i="2"/>
  <c r="BA102" i="2" s="1"/>
  <c r="AX82" i="2"/>
  <c r="BA82" i="2" s="1"/>
  <c r="AQ77" i="2"/>
  <c r="AR77" i="2" s="1"/>
  <c r="AQ74" i="2"/>
  <c r="AQ76" i="2"/>
  <c r="AR76" i="2" s="1"/>
  <c r="AT76" i="2" s="1"/>
  <c r="AQ63" i="2"/>
  <c r="AR63" i="2" s="1"/>
  <c r="AT62" i="2"/>
  <c r="AV62" i="2" s="1"/>
  <c r="AY62" i="2" s="1"/>
  <c r="AQ64" i="2"/>
  <c r="AQ67" i="2"/>
  <c r="AR67" i="2" s="1"/>
  <c r="H73" i="2"/>
  <c r="AX73" i="2" s="1"/>
  <c r="BA73" i="2" s="1"/>
  <c r="AW52" i="2"/>
  <c r="AZ52" i="2" s="1"/>
  <c r="AQ66" i="2"/>
  <c r="AQ54" i="2"/>
  <c r="AQ55" i="2"/>
  <c r="AX75" i="2"/>
  <c r="BA75" i="2" s="1"/>
  <c r="AW75" i="2"/>
  <c r="AZ75" i="2" s="1"/>
  <c r="AX65" i="2"/>
  <c r="BA65" i="2" s="1"/>
  <c r="AT52" i="2"/>
  <c r="AV52" i="2" s="1"/>
  <c r="AY52" i="2" s="1"/>
  <c r="AQ53" i="2"/>
  <c r="AW55" i="2"/>
  <c r="AZ55" i="2" s="1"/>
  <c r="AX55" i="2"/>
  <c r="BA55" i="2" s="1"/>
  <c r="AX62" i="2"/>
  <c r="BA62" i="2" s="1"/>
  <c r="AX72" i="2"/>
  <c r="BA72" i="2" s="1"/>
  <c r="AU66" i="2"/>
  <c r="AX47" i="2"/>
  <c r="BA47" i="2" s="1"/>
  <c r="AW47" i="2"/>
  <c r="AZ47" i="2" s="1"/>
  <c r="AW46" i="2"/>
  <c r="AZ46" i="2" s="1"/>
  <c r="AX46" i="2"/>
  <c r="BA46" i="2" s="1"/>
  <c r="AR42" i="2"/>
  <c r="AT42" i="2" s="1"/>
  <c r="AU42" i="2"/>
  <c r="AU45" i="2"/>
  <c r="AQ47" i="2"/>
  <c r="AQ24" i="2"/>
  <c r="AR24" i="2" s="1"/>
  <c r="AT24" i="2" s="1"/>
  <c r="AX25" i="2"/>
  <c r="BA25" i="2" s="1"/>
  <c r="AQ27" i="2"/>
  <c r="AR27" i="2" s="1"/>
  <c r="AT27" i="2" s="1"/>
  <c r="AQ26" i="2"/>
  <c r="AR26" i="2" s="1"/>
  <c r="AT26" i="2" s="1"/>
  <c r="H27" i="2"/>
  <c r="AW37" i="2"/>
  <c r="AZ37" i="2" s="1"/>
  <c r="AX37" i="2"/>
  <c r="BA37" i="2" s="1"/>
  <c r="I37" i="2"/>
  <c r="AQ37" i="2" s="1"/>
  <c r="AR37" i="2" s="1"/>
  <c r="AT37" i="2" s="1"/>
  <c r="AV37" i="2" s="1"/>
  <c r="AY37" i="2" s="1"/>
  <c r="AQ35" i="2"/>
  <c r="AR35" i="2" s="1"/>
  <c r="AT35" i="2" s="1"/>
  <c r="AQ38" i="2"/>
  <c r="AR38" i="2" s="1"/>
  <c r="AT38" i="2" s="1"/>
  <c r="H33" i="2"/>
  <c r="AQ36" i="2"/>
  <c r="AR36" i="2" s="1"/>
  <c r="AT36" i="2" s="1"/>
  <c r="AV36" i="2" s="1"/>
  <c r="AY36" i="2" s="1"/>
  <c r="H24" i="2"/>
  <c r="H26" i="2"/>
  <c r="AQ39" i="2"/>
  <c r="AR39" i="2" s="1"/>
  <c r="AT39" i="2" s="1"/>
  <c r="AU34" i="2"/>
  <c r="H23" i="2"/>
  <c r="AQ25" i="2"/>
  <c r="AU4" i="2"/>
  <c r="AS3" i="2"/>
  <c r="AS4" i="2"/>
  <c r="AS5" i="2"/>
  <c r="AS6" i="2"/>
  <c r="AS7" i="2"/>
  <c r="AS2" i="2"/>
  <c r="AQ2" i="2"/>
  <c r="AN7" i="2"/>
  <c r="AN6" i="2"/>
  <c r="AN5" i="2"/>
  <c r="AN4" i="2"/>
  <c r="AN3" i="2"/>
  <c r="AL7" i="2"/>
  <c r="AL6" i="2"/>
  <c r="AL5" i="2"/>
  <c r="AM7" i="2"/>
  <c r="AM6" i="2"/>
  <c r="AM5" i="2"/>
  <c r="AM4" i="2"/>
  <c r="AM3" i="2"/>
  <c r="AL4" i="2"/>
  <c r="AL3" i="2"/>
  <c r="J6" i="2"/>
  <c r="AU6" i="2" s="1"/>
  <c r="J2" i="2"/>
  <c r="AU2" i="2" s="1"/>
  <c r="I7" i="2"/>
  <c r="I6" i="2"/>
  <c r="J5" i="2"/>
  <c r="AU5" i="2" s="1"/>
  <c r="I4" i="2"/>
  <c r="I3" i="2"/>
  <c r="AW74" i="2" l="1"/>
  <c r="AZ74" i="2" s="1"/>
  <c r="AY57" i="2"/>
  <c r="AW39" i="2"/>
  <c r="AZ39" i="2" s="1"/>
  <c r="AV27" i="2"/>
  <c r="AY27" i="2" s="1"/>
  <c r="AV24" i="2"/>
  <c r="AY24" i="2" s="1"/>
  <c r="AX44" i="2"/>
  <c r="BA44" i="2" s="1"/>
  <c r="AX96" i="2"/>
  <c r="BA96" i="2" s="1"/>
  <c r="AX67" i="2"/>
  <c r="BA67" i="2" s="1"/>
  <c r="AW107" i="2"/>
  <c r="AZ107" i="2" s="1"/>
  <c r="AW38" i="2"/>
  <c r="AZ38" i="2" s="1"/>
  <c r="AW86" i="2"/>
  <c r="AZ86" i="2" s="1"/>
  <c r="AX93" i="2"/>
  <c r="BA93" i="2" s="1"/>
  <c r="AX35" i="2"/>
  <c r="BA35" i="2" s="1"/>
  <c r="AW57" i="2"/>
  <c r="AZ57" i="2" s="1"/>
  <c r="AY104" i="2"/>
  <c r="AX49" i="2"/>
  <c r="BA49" i="2" s="1"/>
  <c r="AX43" i="2"/>
  <c r="BA43" i="2" s="1"/>
  <c r="AY44" i="2"/>
  <c r="AX64" i="2"/>
  <c r="BA64" i="2" s="1"/>
  <c r="AU26" i="2"/>
  <c r="AV26" i="2" s="1"/>
  <c r="AY26" i="2" s="1"/>
  <c r="AX63" i="2"/>
  <c r="BA63" i="2" s="1"/>
  <c r="AY87" i="2"/>
  <c r="AW106" i="2"/>
  <c r="AZ106" i="2" s="1"/>
  <c r="AV86" i="2"/>
  <c r="AY86" i="2" s="1"/>
  <c r="AU106" i="2"/>
  <c r="AV106" i="2" s="1"/>
  <c r="AY106" i="2" s="1"/>
  <c r="AW94" i="2"/>
  <c r="AZ94" i="2" s="1"/>
  <c r="AW97" i="2"/>
  <c r="AZ97" i="2" s="1"/>
  <c r="AX45" i="2"/>
  <c r="BA45" i="2" s="1"/>
  <c r="AV35" i="2"/>
  <c r="AY35" i="2" s="1"/>
  <c r="AW73" i="2"/>
  <c r="AZ73" i="2" s="1"/>
  <c r="AV107" i="2"/>
  <c r="AY107" i="2" s="1"/>
  <c r="AV43" i="2"/>
  <c r="AY43" i="2" s="1"/>
  <c r="AX83" i="2"/>
  <c r="BA83" i="2" s="1"/>
  <c r="AQ7" i="2"/>
  <c r="AW66" i="2"/>
  <c r="AZ66" i="2" s="1"/>
  <c r="AQ5" i="2"/>
  <c r="AX34" i="2"/>
  <c r="BA34" i="2" s="1"/>
  <c r="AW77" i="2"/>
  <c r="AZ77" i="2" s="1"/>
  <c r="AX84" i="2"/>
  <c r="BA84" i="2" s="1"/>
  <c r="AV75" i="2"/>
  <c r="AY75" i="2" s="1"/>
  <c r="AV56" i="2"/>
  <c r="AY56" i="2" s="1"/>
  <c r="AY83" i="2"/>
  <c r="AW48" i="2"/>
  <c r="AZ48" i="2" s="1"/>
  <c r="AT63" i="2"/>
  <c r="AV63" i="2" s="1"/>
  <c r="AY63" i="2" s="1"/>
  <c r="AW76" i="2"/>
  <c r="AZ76" i="2" s="1"/>
  <c r="AX103" i="2"/>
  <c r="BA103" i="2" s="1"/>
  <c r="AT103" i="2"/>
  <c r="AV103" i="2" s="1"/>
  <c r="AY103" i="2" s="1"/>
  <c r="AW87" i="2"/>
  <c r="AZ87" i="2" s="1"/>
  <c r="AR94" i="2"/>
  <c r="AT94" i="2" s="1"/>
  <c r="AV94" i="2" s="1"/>
  <c r="AY94" i="2" s="1"/>
  <c r="AY84" i="2"/>
  <c r="AU39" i="2"/>
  <c r="AV39" i="2" s="1"/>
  <c r="AY39" i="2" s="1"/>
  <c r="AU38" i="2"/>
  <c r="AV38" i="2" s="1"/>
  <c r="AY38" i="2" s="1"/>
  <c r="AW56" i="2"/>
  <c r="AZ56" i="2" s="1"/>
  <c r="AT77" i="2"/>
  <c r="AV77" i="2" s="1"/>
  <c r="AY77" i="2" s="1"/>
  <c r="AT97" i="2"/>
  <c r="AV97" i="2" s="1"/>
  <c r="AY97" i="2" s="1"/>
  <c r="AW104" i="2"/>
  <c r="AZ104" i="2" s="1"/>
  <c r="AT93" i="2"/>
  <c r="AV93" i="2" s="1"/>
  <c r="AY93" i="2" s="1"/>
  <c r="AX54" i="2"/>
  <c r="BA54" i="2" s="1"/>
  <c r="AX53" i="2"/>
  <c r="BA53" i="2" s="1"/>
  <c r="AV33" i="2"/>
  <c r="AY33" i="2" s="1"/>
  <c r="AR74" i="2"/>
  <c r="AT74" i="2" s="1"/>
  <c r="AV74" i="2" s="1"/>
  <c r="AY74" i="2" s="1"/>
  <c r="AR64" i="2"/>
  <c r="AT64" i="2" s="1"/>
  <c r="AV64" i="2" s="1"/>
  <c r="AY64" i="2" s="1"/>
  <c r="AV96" i="2"/>
  <c r="AY96" i="2" s="1"/>
  <c r="AV73" i="2"/>
  <c r="AY73" i="2" s="1"/>
  <c r="AT67" i="2"/>
  <c r="AV67" i="2" s="1"/>
  <c r="AY67" i="2" s="1"/>
  <c r="AR54" i="2"/>
  <c r="AT54" i="2" s="1"/>
  <c r="AV54" i="2" s="1"/>
  <c r="AY54" i="2" s="1"/>
  <c r="AR55" i="2"/>
  <c r="AT55" i="2" s="1"/>
  <c r="AV55" i="2" s="1"/>
  <c r="AY55" i="2" s="1"/>
  <c r="AR53" i="2"/>
  <c r="AT53" i="2" s="1"/>
  <c r="AV53" i="2" s="1"/>
  <c r="AY53" i="2" s="1"/>
  <c r="AV76" i="2"/>
  <c r="AY76" i="2" s="1"/>
  <c r="AR66" i="2"/>
  <c r="AT66" i="2" s="1"/>
  <c r="AV66" i="2" s="1"/>
  <c r="AY66" i="2" s="1"/>
  <c r="AV45" i="2"/>
  <c r="AY45" i="2" s="1"/>
  <c r="AV42" i="2"/>
  <c r="AY42" i="2" s="1"/>
  <c r="AU49" i="2"/>
  <c r="AV49" i="2" s="1"/>
  <c r="AY49" i="2" s="1"/>
  <c r="AU48" i="2"/>
  <c r="AV48" i="2" s="1"/>
  <c r="AY48" i="2" s="1"/>
  <c r="AR47" i="2"/>
  <c r="AT47" i="2" s="1"/>
  <c r="AV47" i="2" s="1"/>
  <c r="AY47" i="2" s="1"/>
  <c r="AW24" i="2"/>
  <c r="AZ24" i="2" s="1"/>
  <c r="AX24" i="2"/>
  <c r="BA24" i="2" s="1"/>
  <c r="AX23" i="2"/>
  <c r="BA23" i="2" s="1"/>
  <c r="AW23" i="2"/>
  <c r="AZ23" i="2" s="1"/>
  <c r="AU7" i="2"/>
  <c r="AX33" i="2"/>
  <c r="BA33" i="2" s="1"/>
  <c r="AW33" i="2"/>
  <c r="AZ33" i="2" s="1"/>
  <c r="AY23" i="2"/>
  <c r="AX26" i="2"/>
  <c r="BA26" i="2" s="1"/>
  <c r="AW26" i="2"/>
  <c r="AZ26" i="2" s="1"/>
  <c r="AW27" i="2"/>
  <c r="AZ27" i="2" s="1"/>
  <c r="AX27" i="2"/>
  <c r="BA27" i="2" s="1"/>
  <c r="AQ3" i="2"/>
  <c r="AQ4" i="2"/>
  <c r="AQ6" i="2"/>
  <c r="AV34" i="2"/>
  <c r="AY34" i="2" s="1"/>
  <c r="AR25" i="2"/>
  <c r="AT25" i="2" s="1"/>
  <c r="AV25" i="2" s="1"/>
  <c r="AY25" i="2" s="1"/>
  <c r="M2" i="1" l="1"/>
  <c r="G15" i="8" l="1"/>
  <c r="AR2" i="2" l="1"/>
  <c r="AT2" i="2" s="1"/>
  <c r="AR3" i="2"/>
  <c r="AT3" i="2" s="1"/>
  <c r="AR4" i="2"/>
  <c r="AT4" i="2" s="1"/>
  <c r="G4" i="8" l="1"/>
  <c r="G5" i="8"/>
  <c r="G6" i="8"/>
  <c r="G7" i="8"/>
  <c r="G8" i="8"/>
  <c r="G9" i="8"/>
  <c r="G10" i="8"/>
  <c r="G3" i="8"/>
  <c r="G11" i="8" l="1"/>
  <c r="AV4" i="2" l="1"/>
  <c r="AR5" i="2" l="1"/>
  <c r="AT5" i="2" s="1"/>
  <c r="O2" i="2"/>
  <c r="O3" i="2"/>
  <c r="O4" i="2"/>
  <c r="O5" i="2"/>
  <c r="O6" i="2"/>
  <c r="O7" i="2"/>
  <c r="O1" i="2"/>
  <c r="M3" i="2"/>
  <c r="N3" i="2"/>
  <c r="M4" i="2"/>
  <c r="N4" i="2"/>
  <c r="M5" i="2"/>
  <c r="N5" i="2"/>
  <c r="M6" i="2"/>
  <c r="N6" i="2"/>
  <c r="M7" i="2"/>
  <c r="N7" i="2"/>
  <c r="M2" i="2"/>
  <c r="N2" i="2"/>
  <c r="N1" i="2"/>
  <c r="M1" i="2"/>
  <c r="AV5" i="2" l="1"/>
  <c r="H7" i="2"/>
  <c r="H6" i="2"/>
  <c r="H5" i="2"/>
  <c r="H4" i="2"/>
  <c r="H3" i="2"/>
  <c r="H2" i="2"/>
  <c r="AX5" i="2" l="1"/>
  <c r="BA5" i="2" s="1"/>
  <c r="AW5" i="2"/>
  <c r="AZ5" i="2" s="1"/>
  <c r="AW2" i="2"/>
  <c r="AZ2" i="2" s="1"/>
  <c r="AX2" i="2"/>
  <c r="BA2" i="2" s="1"/>
  <c r="AX6" i="2"/>
  <c r="BA6" i="2" s="1"/>
  <c r="AW6" i="2"/>
  <c r="AZ6" i="2" s="1"/>
  <c r="AX3" i="2"/>
  <c r="BA3" i="2" s="1"/>
  <c r="AW3" i="2"/>
  <c r="AZ3" i="2" s="1"/>
  <c r="AW7" i="2"/>
  <c r="AZ7" i="2" s="1"/>
  <c r="AX7" i="2"/>
  <c r="BA7" i="2" s="1"/>
  <c r="AW4" i="2"/>
  <c r="AZ4" i="2" s="1"/>
  <c r="AX4" i="2"/>
  <c r="BA4" i="2" s="1"/>
  <c r="AR7" i="2"/>
  <c r="AT7" i="2" s="1"/>
  <c r="AR6" i="2"/>
  <c r="AT6" i="2" s="1"/>
  <c r="AY4" i="2"/>
  <c r="AY5" i="2"/>
  <c r="AV2" i="2"/>
  <c r="AY2" i="2" s="1"/>
  <c r="AV7" i="2" l="1"/>
  <c r="AY7" i="2" s="1"/>
  <c r="AV6" i="2"/>
  <c r="AY6" i="2" s="1"/>
  <c r="AV3" i="2"/>
  <c r="AY3" i="2" s="1"/>
  <c r="L2" i="1"/>
  <c r="O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T1" authorId="0" shapeId="0" xr:uid="{00000000-0006-0000-1400-000001000000}">
      <text>
        <r>
          <rPr>
            <b/>
            <sz val="9"/>
            <color indexed="81"/>
            <rFont val="Tahoma"/>
            <family val="2"/>
            <charset val="204"/>
          </rPr>
          <t xml:space="preserve">К.М.:
1. Скопировать столбец "Вещество"
2. Выделить диапазон и на вкладке "Данные" выбрать удалить дуликаты
3. Протянуть Сумму по условию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2" authorId="0" shapeId="0" xr:uid="{00000000-0006-0000-1400-000002000000}">
      <text>
        <r>
          <rPr>
            <b/>
            <sz val="9"/>
            <color indexed="81"/>
            <rFont val="Tahoma"/>
            <family val="2"/>
            <charset val="204"/>
          </rPr>
          <t>К.М.:
1) Если стоит "г.ф." то прибавляет объем трубопровода с газом
2) Если стоит иное значение то добавляет к массе ОВ трубопровод с жидкостью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K1" authorId="0" shapeId="0" xr:uid="{00000000-0006-0000-1500-000001000000}">
      <text>
        <r>
          <rPr>
            <b/>
            <sz val="9"/>
            <color indexed="81"/>
            <rFont val="Tahoma"/>
            <family val="2"/>
            <charset val="204"/>
          </rPr>
          <t>К.М.:
Сколько добавится вещества при аарийном истечении в долях единицы</t>
        </r>
      </text>
    </comment>
  </commentList>
</comments>
</file>

<file path=xl/sharedStrings.xml><?xml version="1.0" encoding="utf-8"?>
<sst xmlns="http://schemas.openxmlformats.org/spreadsheetml/2006/main" count="9726" uniqueCount="865">
  <si>
    <t>Оборудование</t>
  </si>
  <si>
    <t>Теплоѐмкость жидкости, Дж/(кг*К)</t>
  </si>
  <si>
    <t>Теплота испарения, Дж/кг</t>
  </si>
  <si>
    <t>Доля мг.испарившегося вещества</t>
  </si>
  <si>
    <t>М, кг/моль</t>
  </si>
  <si>
    <t>Sпрол, м2</t>
  </si>
  <si>
    <t>Pn, кПа</t>
  </si>
  <si>
    <t>Мисп, т</t>
  </si>
  <si>
    <t>Твсп,С</t>
  </si>
  <si>
    <t>Мав, т</t>
  </si>
  <si>
    <t>№ сценария</t>
  </si>
  <si>
    <t>Описание</t>
  </si>
  <si>
    <t>Частота инициирующего события, 1/год</t>
  </si>
  <si>
    <t>Кол-во оборудования, ед.</t>
  </si>
  <si>
    <t>Условная вероятность</t>
  </si>
  <si>
    <t>Частота сценария, 1/год</t>
  </si>
  <si>
    <t>Количество ОВ участвующего в аварии, т</t>
  </si>
  <si>
    <t>Количество ОВ в создании поражающего фактора, т</t>
  </si>
  <si>
    <t>С1</t>
  </si>
  <si>
    <t>С2</t>
  </si>
  <si>
    <t>С3</t>
  </si>
  <si>
    <t>С4</t>
  </si>
  <si>
    <t>С5</t>
  </si>
  <si>
    <t>С6</t>
  </si>
  <si>
    <t>Кратко сценарий</t>
  </si>
  <si>
    <t>Полное-пожар</t>
  </si>
  <si>
    <t>Полное-ликвидация</t>
  </si>
  <si>
    <t>Частичное-ликвидация</t>
  </si>
  <si>
    <t>Полное-взрыв</t>
  </si>
  <si>
    <t>q=10,5</t>
  </si>
  <si>
    <t>q=7,0</t>
  </si>
  <si>
    <t>q=4,2</t>
  </si>
  <si>
    <t>q=1,4</t>
  </si>
  <si>
    <t>Р=12</t>
  </si>
  <si>
    <t>P=5</t>
  </si>
  <si>
    <t>Р=3</t>
  </si>
  <si>
    <t>Lф</t>
  </si>
  <si>
    <t>Дф</t>
  </si>
  <si>
    <t>Rнкпр</t>
  </si>
  <si>
    <t>Rвсп</t>
  </si>
  <si>
    <t>LPt</t>
  </si>
  <si>
    <t>PPt</t>
  </si>
  <si>
    <t>Q=600</t>
  </si>
  <si>
    <t>Q=320</t>
  </si>
  <si>
    <t>Q=220</t>
  </si>
  <si>
    <t>Q=120</t>
  </si>
  <si>
    <t>-</t>
  </si>
  <si>
    <t>Частичное-пожар</t>
  </si>
  <si>
    <t>Кол-во пострадавших, чел</t>
  </si>
  <si>
    <t>Прямые потери, млн.руб</t>
  </si>
  <si>
    <t>Затраты на ликвидацию, млн.руб</t>
  </si>
  <si>
    <t>Социальные потери, млн.руб</t>
  </si>
  <si>
    <t>Косвенный ущерб, млн.руб</t>
  </si>
  <si>
    <t>Суммарный экологический ущерб, млн.руб</t>
  </si>
  <si>
    <t>Суммарный ущерб, млн.руб</t>
  </si>
  <si>
    <t>Мат.ожидание, млн.руб/год</t>
  </si>
  <si>
    <t>Остаточная стоимость оборудования, млн.руб</t>
  </si>
  <si>
    <t>Стоимость вещества, млн.руб/т</t>
  </si>
  <si>
    <t>Дни простоя, сут.</t>
  </si>
  <si>
    <t>при горении 1 тонны нефти</t>
  </si>
  <si>
    <t>№, п/п</t>
  </si>
  <si>
    <t>Загрязняющее вещество</t>
  </si>
  <si>
    <t>Масса выброса, т</t>
  </si>
  <si>
    <t>Сумма ущерба,  руб.</t>
  </si>
  <si>
    <t>Оксид углерода (СО)*</t>
  </si>
  <si>
    <r>
      <t>Оксиды азота (NО</t>
    </r>
    <r>
      <rPr>
        <vertAlign val="subscript"/>
        <sz val="12"/>
        <color rgb="FF000000"/>
        <rFont val="Times New Roman"/>
        <family val="1"/>
        <charset val="204"/>
      </rPr>
      <t>x</t>
    </r>
    <r>
      <rPr>
        <sz val="12"/>
        <color rgb="FF000000"/>
        <rFont val="Times New Roman"/>
        <family val="1"/>
        <charset val="204"/>
      </rPr>
      <t>)*</t>
    </r>
  </si>
  <si>
    <r>
      <t>Оксиды серы (SO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)**</t>
    </r>
  </si>
  <si>
    <r>
      <t>Сероводород (H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S)*</t>
    </r>
  </si>
  <si>
    <t>Сажа (С)**</t>
  </si>
  <si>
    <t>Синильная кислота (НСN)*</t>
  </si>
  <si>
    <t>Формальдегид (HCHO)*</t>
  </si>
  <si>
    <r>
      <t>Органич. к-ты (на СН</t>
    </r>
    <r>
      <rPr>
        <vertAlign val="subscript"/>
        <sz val="12"/>
        <color rgb="FF000000"/>
        <rFont val="Times New Roman"/>
        <family val="1"/>
        <charset val="204"/>
      </rPr>
      <t>3</t>
    </r>
    <r>
      <rPr>
        <sz val="12"/>
        <color rgb="FF000000"/>
        <rFont val="Times New Roman"/>
        <family val="1"/>
        <charset val="204"/>
      </rPr>
      <t>СООН)*</t>
    </r>
  </si>
  <si>
    <t>Итого с 1 т нефти</t>
  </si>
  <si>
    <t>Норматив платы, руб./т (Hi)</t>
  </si>
  <si>
    <t>Коэффициент особой охраны. (Кохр)</t>
  </si>
  <si>
    <t>Коэффициент Кин</t>
  </si>
  <si>
    <t>Углеводороды С1-С5</t>
  </si>
  <si>
    <r>
      <t>при расчете ущерба от загрязнения почвы при расчете ущерба принимались следующие коэффициенты СЗ =1,5 (</t>
    </r>
    <r>
      <rPr>
        <sz val="14"/>
        <color rgb="FF000000"/>
        <rFont val="Times New Roman"/>
        <family val="1"/>
        <charset val="204"/>
      </rPr>
      <t>степень загрязнения), Kr = 1 (показатель в зависимости от глубины загрязнения), Кисх=1,6 (показатель в зависимости от кат.земель и целевого назначения), Тх = 500 руб/м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 xml:space="preserve"> (расценка для исчисления размера вреда). Итого за 1 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>: 1200 руб.</t>
    </r>
  </si>
  <si>
    <t>Объем, м3</t>
  </si>
  <si>
    <t xml:space="preserve">Технологический блок, оборудование </t>
  </si>
  <si>
    <t xml:space="preserve">Количество опасного
вещества, т
</t>
  </si>
  <si>
    <t>Физические условия содержания опасного вещества</t>
  </si>
  <si>
    <t>Степень заполенения, -</t>
  </si>
  <si>
    <t>Наименование
составляющей</t>
  </si>
  <si>
    <t>Наименование оборудования, № по
схеме, (опасное вещество)</t>
  </si>
  <si>
    <t>Кол-во
единиц</t>
  </si>
  <si>
    <t>В единице
оборудования</t>
  </si>
  <si>
    <t xml:space="preserve">В блоке </t>
  </si>
  <si>
    <t>Агр.
Состояние</t>
  </si>
  <si>
    <t xml:space="preserve">Давление,
МПа </t>
  </si>
  <si>
    <t>Температура, °С</t>
  </si>
  <si>
    <t>Объем трубопровода, м3</t>
  </si>
  <si>
    <t>Длина трубопровода, м</t>
  </si>
  <si>
    <t>Диаметр трубопровода, мм</t>
  </si>
  <si>
    <t>Плотность ж.ф., т/м3</t>
  </si>
  <si>
    <t>Плотность г.ф., т/м3</t>
  </si>
  <si>
    <t>Обводненность, в долях единицы</t>
  </si>
  <si>
    <t>Вещество</t>
  </si>
  <si>
    <t>нефть</t>
  </si>
  <si>
    <t>Количество ОВ по виду, т</t>
  </si>
  <si>
    <t>Тем-ра, град.С</t>
  </si>
  <si>
    <t>Давление, Мпа</t>
  </si>
  <si>
    <t>Температура кипения, град.С</t>
  </si>
  <si>
    <t>Масса в оборудовании, т</t>
  </si>
  <si>
    <t>Доля аварийного истечения, -</t>
  </si>
  <si>
    <t>Трубопровод ЛВЖ</t>
  </si>
  <si>
    <t>Разрыв трубопровода на сечение→ мгновенное воспламенение→ пожар пролива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</si>
  <si>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</si>
  <si>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</si>
  <si>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трубопровода→ мгновенное воспламенение→ пожар пролива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</si>
  <si>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</si>
  <si>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</si>
  <si>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Частичное-пожар-вспышка</t>
  </si>
  <si>
    <t>Кол.риск погибшие, чел/год</t>
  </si>
  <si>
    <t>Кол.риск пострадавшие, чел/год</t>
  </si>
  <si>
    <t>Трубопровод ЛВЖ+токси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</si>
  <si>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</si>
  <si>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</si>
  <si>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Полное-токси</t>
  </si>
  <si>
    <t>Частичное-токси</t>
  </si>
  <si>
    <t>Трубопровод ГЖ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</si>
  <si>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</si>
  <si>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Площадь, м2</t>
  </si>
  <si>
    <t>Расход газ, кг/с</t>
  </si>
  <si>
    <t>Расход жидкость, кг/с</t>
  </si>
  <si>
    <t>Исходные данные для расчета</t>
  </si>
  <si>
    <t>Теплота сгорания, кДж/кг</t>
  </si>
  <si>
    <t>НКПР, об.%</t>
  </si>
  <si>
    <t>Трубопровод газ</t>
  </si>
  <si>
    <t>Разрыв трубопровода на сечение→ мгновенное воспламенение→ факельное горение</t>
  </si>
  <si>
    <t>Полное-факел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</si>
  <si>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пожар-вспышка</t>
  </si>
  <si>
    <t>Полное-вспышка</t>
  </si>
  <si>
    <t>Частичная разгерметизация трубопровода→ мгновенное воспламенение→ факельное горение</t>
  </si>
  <si>
    <t>Частичное-факел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</si>
  <si>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</si>
  <si>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Частичное-взрыв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</si>
  <si>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</t>
  </si>
  <si>
    <t>Тип дерева</t>
  </si>
  <si>
    <t>Трубопровод газ+токси</t>
  </si>
  <si>
    <t>А/ц ЛВЖ</t>
  </si>
  <si>
    <t>А/ц ЛВЖ+токси</t>
  </si>
  <si>
    <t>А/ц ГЖ</t>
  </si>
  <si>
    <t>Полное разрушение→ мгновенное воспламенение→ пожар пролива</t>
  </si>
  <si>
    <t>Полное разрушение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</si>
  <si>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</si>
  <si>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→ мгновенное воспламенение→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</si>
  <si>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</si>
  <si>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</si>
  <si>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</si>
  <si>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</si>
  <si>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</si>
  <si>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</si>
  <si>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 пролива</t>
  </si>
  <si>
    <t>РВС ЛВЖ</t>
  </si>
  <si>
    <t>РВС ЛВЖ+токси</t>
  </si>
  <si>
    <t>РВС ГЖ</t>
  </si>
  <si>
    <t>С7</t>
  </si>
  <si>
    <t>С8</t>
  </si>
  <si>
    <t>Емкость DP ЛВЖ</t>
  </si>
  <si>
    <t>Частичная разгерметизация→ разрушение ниже уровня жидкости→возможность мгновенного воспламенения→горение жидкостного факела</t>
  </si>
  <si>
    <t>Частичное факел</t>
  </si>
  <si>
    <t>Частичная разгерметизация→ разрушение выше уровня жидкости→возможность мгновенного воспламенения→горение жидкостного факела</t>
  </si>
  <si>
    <t>Частичная разгерметизация→ разрушение выше уровня жидкости→отсуствие мгновенного воспламенения→ возможность отсроченного воспламенения→пожар-вспышка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</si>
  <si>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ликвидация аварии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</si>
  <si>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токсическое поражение</t>
  </si>
  <si>
    <t>Риск индивидуальный, 1/год</t>
  </si>
  <si>
    <t>Риск, дБR</t>
  </si>
  <si>
    <t>Риск, ppm</t>
  </si>
  <si>
    <t>Частота, 1/ год</t>
  </si>
  <si>
    <t>Кол-во, чел</t>
  </si>
  <si>
    <t>Ущерб, млн</t>
  </si>
  <si>
    <t>Емкость подземная ЛВЖ</t>
  </si>
  <si>
    <t>Полное-взрыв облака ТВС</t>
  </si>
  <si>
    <t>Разрушение отводящего трубопровода→ возможность образования капельной смеси →мгновенное воспламенение→ горение жидкостного факела</t>
  </si>
  <si>
    <t>Разрушение отводящего трубопровода→ возможность образования капельной смеси→ возможность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</si>
  <si>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</si>
  <si>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 мгновенное воспламенение→ пожар пролива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</si>
  <si>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</si>
  <si>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смеси→отсуствие мгновенного воспламенения → отсроченное воспламенение → пожар пролива</t>
  </si>
  <si>
    <t>Емкость подземная ГЖ</t>
  </si>
  <si>
    <t>Насос ЛВЖ+токси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</si>
  <si>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токсическое поражение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</si>
  <si>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токсическое поражение</t>
  </si>
  <si>
    <t>Насос ГЖ</t>
  </si>
  <si>
    <t>Разрушение отводящего трубопровода→ возможность образования капельной смеси→ отсутствие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</si>
  <si>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смеси→отсутствие образования взрывоопасного облака→отсуствие отсроченного воспламенения → ликвидация аварии</t>
  </si>
  <si>
    <t>С9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</si>
  <si>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ликвидация аварии</t>
  </si>
  <si>
    <t>Частичная разгерметизация→ разрушение ниже уровня жидкости→отсутствие мгновенного воспламенения→ликвидация аварии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</si>
  <si>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токсическое поражение</t>
  </si>
  <si>
    <t>Частичная разгерметизация→ разрушение ниже уровня жидкости→отсутствие мгновенного воспламенения→токсисческое поражение</t>
  </si>
  <si>
    <t>Полное разрушение→ отсутствие мгновенного воспламенения→отсутствие образования взрывоопасного облака→ отсроченное воспламенение → пожар пролива</t>
  </si>
  <si>
    <t>Полное разрушение→ отсутствие мгновенного воспламенения→отсутствие образования взрывоопасного облака→ отсутствие отсроченного воспламенения → ликвидация аварии</t>
  </si>
  <si>
    <t>Кол-во погибших, чел</t>
  </si>
  <si>
    <t>Организация</t>
  </si>
  <si>
    <t>Ф.И.О. руководителя</t>
  </si>
  <si>
    <t>Должность руководителя</t>
  </si>
  <si>
    <t xml:space="preserve">Форма </t>
  </si>
  <si>
    <t>Юр. Адрес</t>
  </si>
  <si>
    <t>Телефон</t>
  </si>
  <si>
    <t>Факс</t>
  </si>
  <si>
    <t>Email</t>
  </si>
  <si>
    <t>Лицензия</t>
  </si>
  <si>
    <t>Дата лицензии</t>
  </si>
  <si>
    <t>Объект ОПО</t>
  </si>
  <si>
    <t>Адрес объекта ОПО</t>
  </si>
  <si>
    <t>Рег. № ОПО</t>
  </si>
  <si>
    <t>Класс ОПО</t>
  </si>
  <si>
    <t>Шифр проекта</t>
  </si>
  <si>
    <t>Шифр ДПБ</t>
  </si>
  <si>
    <t>Шифр РПЗ</t>
  </si>
  <si>
    <t>Шифр ИФЛ</t>
  </si>
  <si>
    <t>Шифр ГОЧС</t>
  </si>
  <si>
    <t>Шифр ПБ</t>
  </si>
  <si>
    <t>Наименование проекта</t>
  </si>
  <si>
    <t>II</t>
  </si>
  <si>
    <t>Name_org</t>
  </si>
  <si>
    <t>Name_org_full</t>
  </si>
  <si>
    <t>Name_director</t>
  </si>
  <si>
    <t>Director</t>
  </si>
  <si>
    <t>Fax</t>
  </si>
  <si>
    <t>License</t>
  </si>
  <si>
    <t>Date_get_license</t>
  </si>
  <si>
    <t>Jur_adress</t>
  </si>
  <si>
    <t>Telephone</t>
  </si>
  <si>
    <t>Address_opo</t>
  </si>
  <si>
    <t>Class_opo</t>
  </si>
  <si>
    <t>Reg_number_opo</t>
  </si>
  <si>
    <t>Name_opo</t>
  </si>
  <si>
    <t>Code_dpb</t>
  </si>
  <si>
    <t>Code_rpz</t>
  </si>
  <si>
    <t>Code_fire_safety</t>
  </si>
  <si>
    <t>Code_gochs</t>
  </si>
  <si>
    <t>Code_ifl</t>
  </si>
  <si>
    <t>Code_project</t>
  </si>
  <si>
    <t>Name_project</t>
  </si>
  <si>
    <t>Расход, т/сут</t>
  </si>
  <si>
    <t>Трубопровод вакуумный газойль 
Рег.№ТТ-491</t>
  </si>
  <si>
    <t>Трубопровод СУГ</t>
  </si>
  <si>
    <t>Трубопровод СУГ+токси</t>
  </si>
  <si>
    <t>Полное-огненный шар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</si>
  <si>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огненный шар</t>
  </si>
  <si>
    <t>Полное-факельное горение</t>
  </si>
  <si>
    <t>Емкость СУГ</t>
  </si>
  <si>
    <t>Емкость СУГ+токси</t>
  </si>
  <si>
    <t>Полное разрушение→ мгновенное воспламенение→ огненный шар</t>
  </si>
  <si>
    <t>Полное-огенный шар</t>
  </si>
  <si>
    <t>Полное разрушение при воздействии внешнего источника горения→ образование огненного шара с последующим пожаром пролива</t>
  </si>
  <si>
    <t>Полное-шар+пожар пролива</t>
  </si>
  <si>
    <t>Трубопровод Сера</t>
  </si>
  <si>
    <t>Разрыв трубопровода на сечение→ мгновенное воспламенение→ пожар пролива+токсическое поражение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</si>
  <si>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</si>
  <si>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Полное-пожар+токси</t>
  </si>
  <si>
    <t>Частичная разгерметизация трубопровода→ мгновенное воспламенение→ пожар пролива+токсическое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</si>
  <si>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</si>
  <si>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Трубопровод ТОКСИ</t>
  </si>
  <si>
    <t>Полное разрушение→ токсическое поражение</t>
  </si>
  <si>
    <t>Полное разрушение→→ токсическое поражение</t>
  </si>
  <si>
    <t>Sт</t>
  </si>
  <si>
    <t>P=28</t>
  </si>
  <si>
    <t>P=53</t>
  </si>
  <si>
    <t>№</t>
  </si>
  <si>
    <t>Дата и место аварии</t>
  </si>
  <si>
    <t xml:space="preserve">Вид аварии </t>
  </si>
  <si>
    <t>Описание аварии и основные причины</t>
  </si>
  <si>
    <t>Масштабы развития аварии</t>
  </si>
  <si>
    <t>Ущерб</t>
  </si>
  <si>
    <t>Взрыв</t>
  </si>
  <si>
    <t>2 человека погибло</t>
  </si>
  <si>
    <t>Взрыв и пожар</t>
  </si>
  <si>
    <t>Уничтожен резервуар</t>
  </si>
  <si>
    <t>1 человек пострадал</t>
  </si>
  <si>
    <t>Пожар, теракт</t>
  </si>
  <si>
    <t xml:space="preserve">В поселке Волна Темрюкского района Краснодарского края произошло возгорание резервуара с нефтепродуктами. Причиной пожара стала атака беспилотника. </t>
  </si>
  <si>
    <t>Площадь возгорания составила 1,2 тыс. кв. м.</t>
  </si>
  <si>
    <t>Взрыв на Талинском нефтяном месторождении в Нягани в Ханты-Мансийском АО произошел из-за нарушения правил безопасности при проведении ремонтно-восстановительных работ, в результате чего воспламенилась нефть.</t>
  </si>
  <si>
    <t>Пожар</t>
  </si>
  <si>
    <t>1 человек погиб
6 человек пострадало</t>
  </si>
  <si>
    <t>Пожар произошел на резервуаре РВС-5000 на установке предварительного сброса воды (УПСВ) дожимной насосной станции (ДНС-7) Возейского нефтяного месторождения ТПП ЛУКОЙЛ-Усинскнефтегаз, входящего в ЛУКОЙЛ-Коми. Возгорание произошло при проведении работ подрядной организацией Эколайф на выведенном из эксплуатации резервуаре.</t>
  </si>
  <si>
    <t>17.03.2024г.(г. Орел)</t>
  </si>
  <si>
    <t>Утечка нефти из трубопровода с последующим пожаром</t>
  </si>
  <si>
    <t>Утечка нефти из трубопровода</t>
  </si>
  <si>
    <t xml:space="preserve">Трубопровод прорвало на Спорышевском нефтяном месторождении в Ямало-Ненецком АО. </t>
  </si>
  <si>
    <t>Площадь разлива составила 500 кв. м. МЧС не привлекалось, последствия устраняют представители организации.</t>
  </si>
  <si>
    <t>Пожар на трубопроводе под Нижневартовском могли спровоцировать охотники. По предварительной версии, возгорание произошло в результате искры от снегохода "Буран", на котором передвигались охотники.</t>
  </si>
  <si>
    <t>Площадь разлива составила 350 кв. м.</t>
  </si>
  <si>
    <t>1 человек пострадал.</t>
  </si>
  <si>
    <t>Утечка нефти из трубопровода с последующим взрывом и пожаром</t>
  </si>
  <si>
    <t>Взрыв прогремел на нефтепроводе в городе Кахраманмараш на юго-востоке Турции. Произошел пожар, из-за которого движение по находящейся вблизи междугородней трассе было перекрыто.</t>
  </si>
  <si>
    <t>Площадь разлива составила 950 кв. м.</t>
  </si>
  <si>
    <t>Терракт на нефтепроводе</t>
  </si>
  <si>
    <t>Подрыв произошел на крупном нефтепроводе Киркук-Джейхан, соединяющем Ирак и Турцию. Турецкая компания-оператор трубопровода Botas объявила, что взрыв произошел на востоке Турции. Из-за этого работу нефтепровода приостановили, на месте происшествия работают пожарные.</t>
  </si>
  <si>
    <t>В результате происшествия никто не пострадал.</t>
  </si>
  <si>
    <t>На месторождении произошла разгерметизация трубопровода с последующим возгоранием. При прорыве нефтепровода, оператор остановил часть скважин.</t>
  </si>
  <si>
    <t>Сильный пожар на месте ЧП долго не могли потушить. Взрыв произошел на месте незаконной врезки в трубу при попытке похитить нефть.</t>
  </si>
  <si>
    <t>При взрыве на нефтепроводе погибли 15 человек.</t>
  </si>
  <si>
    <t>31.01.2024 г. (межпромысловая труба ППСН «Ярега» — ПСП «Ухта», Республика Коми)</t>
  </si>
  <si>
    <t>4.03.2023 г. (Нигерия)</t>
  </si>
  <si>
    <t>7.11.2022 г. (Нефтепровод «Газпром нефти» на Еты-Пуровском месторождении нефти)</t>
  </si>
  <si>
    <t>19.01.2022 г. (нефтепровод Киркук-Джейхан, Турция)</t>
  </si>
  <si>
    <t>18.01.2022 г. (г. Кахраманмараш на юго-востоке Турции)</t>
  </si>
  <si>
    <t>6.03.2021 г. (близ г. Нижневартовска)</t>
  </si>
  <si>
    <t>28.02.2021 г. (Спорышевское нефтяное месторождении в Ямало-Ненецком АО)</t>
  </si>
  <si>
    <t>Обнаружено и место утечки — межпромысловая труба ППСН «Ярега» — ПСП «Ухта». Перекачку нефти по аварийному трубопроводу остановили. Приняты меры по недопущению попадания нефти в акватории рек.</t>
  </si>
  <si>
    <t>Загрязнение нефтью на площади почти 600 кв. метров, вылилось 0,4 кубометра нефти</t>
  </si>
  <si>
    <t>Погиб 1 и пострадали 2 сотрудников компании Эколайф</t>
  </si>
  <si>
    <t>Возгорание на площади 550 кв.м, аварийное оборудование уничтожено.</t>
  </si>
  <si>
    <t>Взрыв и пожар внутри емкостного оборудования. При зачистке произошло возгорание остатков нефти.</t>
  </si>
  <si>
    <t>На Восточно-Уренгойском месторождение в резервуарном парке произошло возгорание в Пуровском районе в районе 3 ГКП в 35 км на северо-восток от города Новый Уренгой. В тушении пожара были задействованы 24 человека личного состава и5 единиц спецтехники МЧС</t>
  </si>
  <si>
    <t xml:space="preserve">Двое рабочих 47 и 36 лет обследовали емкость для повторного заполнения нефтепродуктами. Последовало возгорание и взрыв. </t>
  </si>
  <si>
    <t>Пожар произошел на площадке первичной подготовки нефти врезультате атаки дрона.</t>
  </si>
  <si>
    <t>05.12.2019  г.
НПС «Калейкино» «Транснефть – Прикамье»</t>
  </si>
  <si>
    <t>03.12.2021  г.
Восточно-Уренгойское ме-сторождение АО «Роспан интернешнл</t>
  </si>
  <si>
    <t>03.05.2023  г.
АО «Таманьнефтегаз»</t>
  </si>
  <si>
    <t>30.07.2023  г.
«Елховнефть» (ПАО «Татнефть»</t>
  </si>
  <si>
    <t>14.08.2023  г.
Талинское месторождение (ХМАО)</t>
  </si>
  <si>
    <t>30.10.2023  г.
УПСВ ДНС-7 Возейского месторождения (ПАО «Лукойл»)</t>
  </si>
  <si>
    <t>Дата</t>
  </si>
  <si>
    <t>Максимальная</t>
  </si>
  <si>
    <t>температура</t>
  </si>
  <si>
    <t>Минимальная</t>
  </si>
  <si>
    <t>Средняя</t>
  </si>
  <si>
    <t>Атмосферное</t>
  </si>
  <si>
    <t>давление</t>
  </si>
  <si>
    <t>Скорость</t>
  </si>
  <si>
    <t>ветра</t>
  </si>
  <si>
    <t>Осадки</t>
  </si>
  <si>
    <t>Эффективная</t>
  </si>
  <si>
    <t>дек.</t>
  </si>
  <si>
    <t>янв.</t>
  </si>
  <si>
    <t>февр.</t>
  </si>
  <si>
    <t>март</t>
  </si>
  <si>
    <t>апр.</t>
  </si>
  <si>
    <t>май</t>
  </si>
  <si>
    <t>июнь</t>
  </si>
  <si>
    <t>июль</t>
  </si>
  <si>
    <t>авг.</t>
  </si>
  <si>
    <t>сент.</t>
  </si>
  <si>
    <t>окт.</t>
  </si>
  <si>
    <t>нояб.</t>
  </si>
  <si>
    <t>Полное разрушение при воздействии внешнего источника горения→ образование огненного шара+горение пролива</t>
  </si>
  <si>
    <t>Частичное-шар+пожар</t>
  </si>
  <si>
    <t>Емкость DP ЛВЖ+тоеси</t>
  </si>
  <si>
    <t>Оборудование, характеристики аварии</t>
  </si>
  <si>
    <t>P=70</t>
  </si>
  <si>
    <t>Р=2</t>
  </si>
  <si>
    <t>Р=14</t>
  </si>
  <si>
    <t>Общее количество человек на ОПО</t>
  </si>
  <si>
    <t>Sum_men</t>
  </si>
  <si>
    <t>АО «Шешмаойл»</t>
  </si>
  <si>
    <t>Акционерное общество  «Шешмаойл»</t>
  </si>
  <si>
    <t>Генеральный директор 
ООО Управляющая Компания «Шешмаойл»</t>
  </si>
  <si>
    <t>Р.Ш. Тахаутдинов</t>
  </si>
  <si>
    <t>423458, РФ, РТ, г. Альметьевск, отделение почтовой связи № 8, а/я 192.</t>
  </si>
  <si>
    <t>(8553) 39-39-01</t>
  </si>
  <si>
    <t>(8553) 39-39-81, 39-39-80</t>
  </si>
  <si>
    <t>sheshmaoil@tatais.ru</t>
  </si>
  <si>
    <t>№ ВХ-00-016055</t>
  </si>
  <si>
    <t>«Обустройство кустов скважин №№ 4070, 4074, 4079 Летнего нефтяного месторождения АО "Шешмаойл"»</t>
  </si>
  <si>
    <t>4831.24-ЛТк-П</t>
  </si>
  <si>
    <t>4831.24-ЛТк-П-ДПБ1</t>
  </si>
  <si>
    <t>4831.24-ЛТк-П-ДПБ2</t>
  </si>
  <si>
    <t>4831.24-ЛТк-П-ДПБ3</t>
  </si>
  <si>
    <t>4831.24-ЛТк-П-ГОЧС</t>
  </si>
  <si>
    <t>4831.24-ЛТк-П-ПБ</t>
  </si>
  <si>
    <t>Система промысловых трубопроводов Летнего месторождения нефти</t>
  </si>
  <si>
    <t>Новошешминский муниципальный район</t>
  </si>
  <si>
    <t>А43-00114-0028</t>
  </si>
  <si>
    <t>Плотность газа при давлении</t>
  </si>
  <si>
    <t>М</t>
  </si>
  <si>
    <t>кг/кмоль</t>
  </si>
  <si>
    <t>г.ф.</t>
  </si>
  <si>
    <t>Система промысловых трубопроводов Урганчинского месторождения нефти</t>
  </si>
  <si>
    <t>ж.ф.</t>
  </si>
  <si>
    <t>+5…+40</t>
  </si>
  <si>
    <t>Давление</t>
  </si>
  <si>
    <t>МПа</t>
  </si>
  <si>
    <t>Температура</t>
  </si>
  <si>
    <t>град.С</t>
  </si>
  <si>
    <t>Плотность</t>
  </si>
  <si>
    <t>кг/м3</t>
  </si>
  <si>
    <t>ООО "Трансойл"</t>
  </si>
  <si>
    <t>Общество с ограниченной отвественностью "Трансойл"</t>
  </si>
  <si>
    <t>Генеральный директор</t>
  </si>
  <si>
    <t>Р.Р. Зубеиров</t>
  </si>
  <si>
    <t>423520, РТ, г.Заинск, ул. Тавлина, д.4а</t>
  </si>
  <si>
    <t>(8553) 39-43-00</t>
  </si>
  <si>
    <t>№ ВХ-00-017601</t>
  </si>
  <si>
    <t>Республика Татарстан, Новошешминский район, д.Зиреклы</t>
  </si>
  <si>
    <t>А43-01106-0002</t>
  </si>
  <si>
    <t>VALEEVA@SMPNEFTEGAZ.RU</t>
  </si>
  <si>
    <t>Система промысловых трубопроводов Кузайкинского месторождения нефти</t>
  </si>
  <si>
    <t>Акционерное общество "Татойлгаз"</t>
  </si>
  <si>
    <t>423464, Республика Татарстан (татарстан), р-н Альметьевский, г. Альметьевск, ул. Тухватуллина, д.2а</t>
  </si>
  <si>
    <t>(8553) 314-110</t>
  </si>
  <si>
    <t>(8553) 314-218</t>
  </si>
  <si>
    <t>reception@tatoilgas.ru</t>
  </si>
  <si>
    <t>ВХ-43-005714</t>
  </si>
  <si>
    <t>Альметьевский муниципальный район</t>
  </si>
  <si>
    <t>А43-01109-0006</t>
  </si>
  <si>
    <t>115-22</t>
  </si>
  <si>
    <t>115-22-ДПБ1</t>
  </si>
  <si>
    <t>115-22-ДПБ2</t>
  </si>
  <si>
    <t>115-22-ДПБ3</t>
  </si>
  <si>
    <t>115-22-ГОЧС</t>
  </si>
  <si>
    <t>115-22-ПБ</t>
  </si>
  <si>
    <t>Обустройство скважин Кузайкинского месторождения К-2089/5</t>
  </si>
  <si>
    <t>АО "Татойлгаз"</t>
  </si>
  <si>
    <t>АО "СМП-Нефтегаз"</t>
  </si>
  <si>
    <t>Акционерное общество "СМП-Нефтегаз"</t>
  </si>
  <si>
    <t>Комаров Р.Ф.</t>
  </si>
  <si>
    <t>general@smpneftegaz.ru</t>
  </si>
  <si>
    <t>+7 (8553) 394-300</t>
  </si>
  <si>
    <t>ВХ-00-016915</t>
  </si>
  <si>
    <t>Участок предварительной подготовки нефти</t>
  </si>
  <si>
    <t>Республика Татарстан, Заинский район, д. Сарапала</t>
  </si>
  <si>
    <t>А43-01246-0033</t>
  </si>
  <si>
    <t>I</t>
  </si>
  <si>
    <t>Емкость буферная
ГЭЭ 1-200-1,0 (Е-103), нефть</t>
  </si>
  <si>
    <t xml:space="preserve">Система измерений количества и показателей качества нефти (СИКНС) </t>
  </si>
  <si>
    <t>Частичное-вспышка</t>
  </si>
  <si>
    <t>Разрушение отводящего трубопровода→ отсуствие возможности образования капельной смеси→отсуствие мгновенного воспламенения → отсроченное воспламенение → пожар вспышка</t>
  </si>
  <si>
    <t>"Пункт подготовки и сбора нефти" (Приемо-сдаточный пункт сырой нефти АО "Шешмаойл")</t>
  </si>
  <si>
    <t>Республика Татарстан, Черемшанский муниципальный район, Кутеминского СП, территория Новошешминского нефтяного месторождения</t>
  </si>
  <si>
    <t>А43-00144-0033</t>
  </si>
  <si>
    <t>Акционерное общество "Геотех"</t>
  </si>
  <si>
    <t>АО "Геотех"</t>
  </si>
  <si>
    <t>423452, Республика Татарстан, район Альметьевский, город Альметьевск, улица Ленина, 15</t>
  </si>
  <si>
    <t>ВХ-00-017196</t>
  </si>
  <si>
    <t>"Площадка насосной станции (ДНС "Заречная" с предварительным сбросом воды)"</t>
  </si>
  <si>
    <t>Республика Татарстан, Черемшанский муниципальный район, земли СПК "Победа", территория заречного месторождения нефти</t>
  </si>
  <si>
    <t>А43-00720-0012</t>
  </si>
  <si>
    <t>Система промысловых трубопроводов Урустамакского месторождения нефти</t>
  </si>
  <si>
    <t>А43-01109-0005</t>
  </si>
  <si>
    <t>Бавлинский муниципальный район</t>
  </si>
  <si>
    <t>116-22</t>
  </si>
  <si>
    <t>116-22-ДПБ1</t>
  </si>
  <si>
    <t>116-22-ДПБ2</t>
  </si>
  <si>
    <t>116-22-ДПБ3</t>
  </si>
  <si>
    <t>116-22-ГОЧС</t>
  </si>
  <si>
    <t>116-22-ПБ</t>
  </si>
  <si>
    <t>Обустройство скважин Урустамакского месторождения К-265/3, К-217/3, К-256/3</t>
  </si>
  <si>
    <t>Фассахов Р.Х.</t>
  </si>
  <si>
    <t>423464, Республика Татарстан (Татарстан), р-н Альметьевский, г. Альметьевск, ул. Тухватуллина, д.2а</t>
  </si>
  <si>
    <t>423461, Республика Татарстан (Татарстан), р-н Альметьевский, г. Альметьевск, пр. Строителей, д.57</t>
  </si>
  <si>
    <t>ООО «ППН-Сервис»</t>
  </si>
  <si>
    <t>Общество с ограниченной отвественностью</t>
  </si>
  <si>
    <t>Директор</t>
  </si>
  <si>
    <t>Магалимов Айрат Абрекович</t>
  </si>
  <si>
    <t xml:space="preserve">423452, Республика Татарстан, Альметьевский район, город Альметьевск, ул. Белоглазова, д. 26а, офис 314 </t>
  </si>
  <si>
    <t>8 (8553) 30-57-32</t>
  </si>
  <si>
    <t>ppnservis@mail.ru</t>
  </si>
  <si>
    <t>ВХ-00-015646</t>
  </si>
  <si>
    <t>08.10.2015 г.</t>
  </si>
  <si>
    <t>Пункт подготовки и сбора нефти</t>
  </si>
  <si>
    <t>Республика Татарстан, Черемшанский район, вблизи с.Кутема УКПН «Шешма»</t>
  </si>
  <si>
    <t>А43-06890-0002</t>
  </si>
  <si>
    <t>20.02.2024 г. (ООО "РИТЭК" ТПП "Волгограднефтегаз")</t>
  </si>
  <si>
    <t>ООО "РИТЭК" ТПП "Волгограднефтегаз" сообщило разгерметизации действующего нефтепровода ЦДНГ №3 "Котовский", система промысловых трубопроводов Антиповско-Балыклейского месторождения Камышинского района Волгоградской области.</t>
  </si>
  <si>
    <t>В ходе осмотра было зафиксировано загрязнение почвы нефтепродуктами, площадь составила более 800 кв.м</t>
  </si>
  <si>
    <t>Никто не пострадал, работники смогли предотвратить угрозу разлива нефти.</t>
  </si>
  <si>
    <t>По данным «Транснефти», устранение последствий атаки займет до двух месяцев. Снижение объемов поставки нефти может достичь 30%.</t>
  </si>
  <si>
    <t>17.02.2025г.(г. Краснодар)</t>
  </si>
  <si>
    <t>Теракт</t>
  </si>
  <si>
    <t xml:space="preserve">Нефтеперекачивающая станция (НПС) «Кропоткинская» Каспийского трубопроводного консорциума (КТК) подверглась атаке семи беспилотников, начиненных поражающими элементами. </t>
  </si>
  <si>
    <t>Составляющая</t>
  </si>
  <si>
    <t>C1</t>
  </si>
  <si>
    <t>№ Сценария</t>
  </si>
  <si>
    <t>C2</t>
  </si>
  <si>
    <t>C3</t>
  </si>
  <si>
    <t>C4</t>
  </si>
  <si>
    <t>C5</t>
  </si>
  <si>
    <t>C6</t>
  </si>
  <si>
    <t>C57</t>
  </si>
  <si>
    <t>C58</t>
  </si>
  <si>
    <t>C59</t>
  </si>
  <si>
    <t>C60</t>
  </si>
  <si>
    <t>C61</t>
  </si>
  <si>
    <t>C62</t>
  </si>
  <si>
    <t>Инд.риск погибшие, чел/год</t>
  </si>
  <si>
    <t>Инд.риск пострадавшие, чел/год</t>
  </si>
  <si>
    <t>Кол-во пог., чел</t>
  </si>
  <si>
    <t>Кол-во постр., чел</t>
  </si>
  <si>
    <t>Ост. стоимость, млн.руб</t>
  </si>
  <si>
    <t>Стоимость в-а, млн.руб/т</t>
  </si>
  <si>
    <t>ВХ-00-015657</t>
  </si>
  <si>
    <t>09.10.2015 г.</t>
  </si>
  <si>
    <t>ООО «Башнефть-Добыча»</t>
  </si>
  <si>
    <t>Нонява Сергей Александрович</t>
  </si>
  <si>
    <t xml:space="preserve">450052, Республика Башкортостан, г. Уфа, ул. Карла Маркса, д. 30/1 </t>
  </si>
  <si>
    <t>8 (347) 262-26-07</t>
  </si>
  <si>
    <t>8 (347) 262-24-56</t>
  </si>
  <si>
    <t>info_bn@bn.rosneft.ru</t>
  </si>
  <si>
    <t>попутный нефтяной газ</t>
  </si>
  <si>
    <t>нефтешлам</t>
  </si>
  <si>
    <t>окр.ср.</t>
  </si>
  <si>
    <t>Компрессор ГК№1-4, попутный нефтяной газ</t>
  </si>
  <si>
    <t>Разрыв трубопровода компрессора на сечение→ мгновенное воспламенение→ факельное горение</t>
  </si>
  <si>
    <t>Разрыв трубопровода  компрессора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</si>
  <si>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Разрыв трубопровода  компрессора на сечение→ отсутствие мгновенного воспламенения→возможность образования взрывоопасного облака→ отсроченное воспламенение → пожар-вспышка</t>
  </si>
  <si>
    <t>Разрыв трубопровода м на сечение→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</si>
  <si>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трубопровода  компрессора→ мгновенное воспламенение→ факельное горение</t>
  </si>
  <si>
    <t>Частичная разгерметизация трубопровода  компрессора→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</si>
  <si>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Частичная разгерметизация трубопровода  компрессора→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</si>
  <si>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трубопровода компрессора→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</si>
  <si>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</si>
  <si>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</si>
  <si>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</si>
  <si>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</si>
  <si>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</si>
  <si>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</si>
  <si>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</si>
  <si>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</si>
  <si>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</si>
  <si>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C63</t>
  </si>
  <si>
    <t>C64</t>
  </si>
  <si>
    <t>C65</t>
  </si>
  <si>
    <t>Полное разрушение 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</si>
  <si>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Республика Башкортостан, Кармышевский сельский совет, Альшеевский район</t>
  </si>
  <si>
    <t>А41-05127-0389</t>
  </si>
  <si>
    <t>Участок предварительной подготовки нефти (Установка подготовки нефти УПН «Раевка»)</t>
  </si>
  <si>
    <t>Резервуар вертикальный стальной №1н  РВС-5000, нефть</t>
  </si>
  <si>
    <t>Резервуар вертикальный стальной№2н, нефть</t>
  </si>
  <si>
    <t>Резервуар вертикальный стальной№3н, нефть</t>
  </si>
  <si>
    <t>Резервуар вертикальный стальной№4н, нефть</t>
  </si>
  <si>
    <t>Резервуар вертикальный стальной №1в, нефть</t>
  </si>
  <si>
    <t>Резервуар вертикальный стальной №2в, нефть</t>
  </si>
  <si>
    <t xml:space="preserve">Сепаратор нефтегазовый С-2.1 НГС I-6-2600-16ГС, нефть, попутный газ </t>
  </si>
  <si>
    <t>Сепаратор нефтегазовый С-2.2 НГС I-6-2600-16ГС, нефть, попутный газ</t>
  </si>
  <si>
    <t>Сепаратор нефтегазовый С-2.3 НГС I-6-2600-16ГС, нефть, попутный газ</t>
  </si>
  <si>
    <t>Сепаратор нефтегазовый С-2.4 НГС I-6-2600-16ГС,  нефть, попутный газ</t>
  </si>
  <si>
    <t>Сепаратор газовый СГ-1, нефть, попутный газ</t>
  </si>
  <si>
    <t>Экспортный напорный резервуар С-1 (сепаратор), нефть, попутный газ</t>
  </si>
  <si>
    <t>Сосуд горизонтальный e z 22856 БЕ-2.1, нефть,  попутный газ</t>
  </si>
  <si>
    <t>Сосуд горизонтальный e z 22856 БЕ-2.2, нефть,  попутный газ</t>
  </si>
  <si>
    <t>Электродегидратор ЭГ-1.1, нефть</t>
  </si>
  <si>
    <t>Электродегидратор ЭГ-1.2, нефть</t>
  </si>
  <si>
    <t>Трубчатая печь ПТБ-5-40Э№1, нефть, попутный нефтяной газ</t>
  </si>
  <si>
    <t>Трубчатая печь ПТБ-5-40Э№2, нефть, попутный нефтяной газ</t>
  </si>
  <si>
    <t>Теплообменник Т – 1, нефть</t>
  </si>
  <si>
    <t>Теплообменник Т – 2, нефть</t>
  </si>
  <si>
    <t>Теплообменник Т – 3, нефть</t>
  </si>
  <si>
    <t>Теплообменник Т – 4, нефть</t>
  </si>
  <si>
    <t>Емкость ингибиторная  ЕИ-1, реагент</t>
  </si>
  <si>
    <t>Емкость ингибиторная  ЕИ-3, реагент</t>
  </si>
  <si>
    <t>Емкость ингибиторная  ЕИ-4, реагент</t>
  </si>
  <si>
    <t>Емкость реагентная ЕР-2, поглотитель сероводорода</t>
  </si>
  <si>
    <t>Емкость реагентная ЕР-3, поглотитель сероводорода</t>
  </si>
  <si>
    <t>Емкость реагентная ЕР-4, реагент</t>
  </si>
  <si>
    <t>Емкость дренажная ЕД-1, нефть</t>
  </si>
  <si>
    <t>Емкость дренажная ЕД-2, нефть</t>
  </si>
  <si>
    <t>Емкость дренажная ЕД-3, нефть</t>
  </si>
  <si>
    <t>Емкость дренажная ЕД-4, нефть</t>
  </si>
  <si>
    <t>Подземная емкость ЕД-5, нефть</t>
  </si>
  <si>
    <t>Емкость слива ЕС, нефть</t>
  </si>
  <si>
    <t>Конденсатосборник  КС, попутный газ, газоконденсат</t>
  </si>
  <si>
    <t xml:space="preserve">Емкость ЕП 8-2000-1600-2, нефть            </t>
  </si>
  <si>
    <t>Фильтр сетчатый, нефть</t>
  </si>
  <si>
    <t>Фильтр жидкостный, нефть</t>
  </si>
  <si>
    <t>Насос поршневой НБ-32, нефть</t>
  </si>
  <si>
    <t>Насос поршневой 9МГР, нефть</t>
  </si>
  <si>
    <t>Насос центробежный ЦНС 180х128 №1, нефть</t>
  </si>
  <si>
    <t>Насос центробежный ЦНС 180х128 №2, нефть</t>
  </si>
  <si>
    <t>Насос центробежный ЦНС 105х98 №3, нефть</t>
  </si>
  <si>
    <t>Насос центробежный 180х340 №1, нефть</t>
  </si>
  <si>
    <t>Насос центробежный 180х340 №3, нефть</t>
  </si>
  <si>
    <t>Насос полупогружной АХП 45х31, нефть</t>
  </si>
  <si>
    <t>Насос полупогружной НВ50х50, нефть</t>
  </si>
  <si>
    <t>Насос полупогружной НВ-Мт-Е-50/80-3,3-А-У1, нефть</t>
  </si>
  <si>
    <t>Насос дозировочный поршневой РАХ32х38, деэмульгатор</t>
  </si>
  <si>
    <t>Насос дозировочный НД25х40, реагент</t>
  </si>
  <si>
    <t>Насос дозировочный НД-1,0 Р250/25 К14МВ, поглотитель сероводорода</t>
  </si>
  <si>
    <t>Насос шестеренчатый НМШ 5/25-4/4, реагент</t>
  </si>
  <si>
    <t>Насос шестеренчатый НМШ-32-10-18/6, поглотитель сероводорода</t>
  </si>
  <si>
    <t>Блок дозирования реагентов БДР-250/2, деэмульгатор</t>
  </si>
  <si>
    <t>Блок дозирования реагентов БР-2,5, реагент</t>
  </si>
  <si>
    <t>Шламонакопитель, нефтешлам</t>
  </si>
  <si>
    <t>Пункт слива и набора нефти, нефть</t>
  </si>
  <si>
    <t>Установка факельная Ф-1, попутный нефтяной газ</t>
  </si>
  <si>
    <t>Установка факельная Ф-2, попутный нефтяной газ</t>
  </si>
  <si>
    <t>Трубопровод сырой нефти на УПН от задвижки №1 через расширитель, сепаратор С-1, до буферных емкостей БЕ-2.1, БЕ-2.2, нефть</t>
  </si>
  <si>
    <t>Трубопровод сырой нефти от  БЕ-2.1, БЕ-2.2  через насосы внутренней перекачки на вход  теплообменников, до  С-2.3, 2.4, нефть</t>
  </si>
  <si>
    <t>Трубопровод сырой нефти из теплообменников в печи, вы-ход из печей, нефть</t>
  </si>
  <si>
    <t>Трубопровод выхода нефти после печей, подача нефти в дегидраторы и теплообменники, нефть</t>
  </si>
  <si>
    <t>Трубопровод топливного газа от гребенки РГ "РАЕВ-КА" до  печей  ПТБ-10, за-пальника  факельной системы, попутный нефтяной газ</t>
  </si>
  <si>
    <t>Трубопровод по газу с предохранительных клапанов всех аппаратов - через конденсатосборник, гидрозатвор, до факельной системы, попутный нефтяной газ</t>
  </si>
  <si>
    <t>Трубопровод по попутному газу БЕ, С-1, концевых сепа-раторов - КС-5"Р", попутный нефтяной газ</t>
  </si>
  <si>
    <t>Трубопровод товарной нефти с РВС №1н,2н,3н -  прием насосов внешней перекачки до УУН Кор-Мас, нефть</t>
  </si>
  <si>
    <t>Трубопровод подготовлен-ной  нефти от теплообменни-ков через сепараторы  С-2, 1;2,2 до  РВС № 1н,2н,3н, нефтеналивной эстакады, нефть</t>
  </si>
  <si>
    <t>Трубопровод сырой нефти от  С-2,3; 2.4  до  РВС № 3н, 4н, 2в, 1в, нефть</t>
  </si>
  <si>
    <t>Трубопровод сырой нефти от РВС № 4н, 3н до фильтра  насосов внутренней перекач-ки, нефть</t>
  </si>
  <si>
    <t>Трубопровод входа нефти на печи ПТБ-5Э №1, 2
Инв.№ 124000047903, нефть</t>
  </si>
  <si>
    <t>Трубопровод выхода нефти от печей ПТБ-5Э №1, 2, нефть</t>
  </si>
  <si>
    <t>Дренажный трубопровод от печей ПТБ-5Э №1, 2 до емко-сти АЕН-1, нефть</t>
  </si>
  <si>
    <t>Трубопровод топливного газа на печи ПТБ-5Э №1, 2, попутный нефтяной газ</t>
  </si>
  <si>
    <t>Трубопровод откачки уловленной нефти с РВС №№1в,2в, опорожнения резервуаров РВС  №1в,2в,4н через насосы промливневых стоков на прием фильтра  насосов внутренней перекачки, нефть</t>
  </si>
  <si>
    <t>Трубопровод опорожнения печей в аварийную емкость АЕ, нефть</t>
  </si>
  <si>
    <t>Трубопровод подачи ингибитора, ингибитор коррозии</t>
  </si>
  <si>
    <t>Трубопровод подачи реагента, деэмульгатор</t>
  </si>
  <si>
    <t xml:space="preserve">Трубопровод сброса конденсата с СГ-1 в С-1, попутный нефтяной газ,              газовый конденсат                </t>
  </si>
  <si>
    <t>Трубопровод откачки нефте-содержащей жидкости с ЕД-2 на трубопровод дренажной воды с ЭГ-1.1,1.2, нефть</t>
  </si>
  <si>
    <t>Трубопровод откачки жидкости с АЕ и КС в трубопровод дренажной воды с ЭГ-1,1, 1,2, нефть</t>
  </si>
  <si>
    <t>Трубопровод дренажной воды с ЭГ-1.1, 1.2 на вход в БЕ-2.1, 2.2, нефть</t>
  </si>
  <si>
    <t>Трубопровод от ЕС до трубопровода сырой нефти от  С-2,3; 2.4  до  РВС № 3н, 4н, 2в, 1в, нефть</t>
  </si>
  <si>
    <t>Трубопровод от ЕС на приемную гребенку АкЦДНГ-3, нефть</t>
  </si>
  <si>
    <t>Сеть промышленной канализации, нефть, газовый конденсат</t>
  </si>
  <si>
    <t>Трубопровод подачи поглотителя сероводорода, поглотитель сероводорода</t>
  </si>
  <si>
    <t xml:space="preserve">Приемный сепаратор С-1  Марка: ГС 2-1-1200-2-И-Т, попутный нефтяной газ        </t>
  </si>
  <si>
    <t xml:space="preserve">Выкидной сепаратор С-2, попутный нефтяной газ        </t>
  </si>
  <si>
    <t>Маслоотделитель   БКУ-1, попутный нефтяной газ, компрессорное масло</t>
  </si>
  <si>
    <t xml:space="preserve">Сепаратор газовый БКУ-1 Марка: ДФА-50-1,6-40, попутный нефтяной газ        </t>
  </si>
  <si>
    <t xml:space="preserve">Фильтр маслоотделитель БКУ-1, попутный нефтяной газ        </t>
  </si>
  <si>
    <t>Маслоотделитель   БКУ-2, попутный нефтяной газ, компрессорное масло</t>
  </si>
  <si>
    <t xml:space="preserve">Сепаратор газовый БКУ-2, попутный нефтяной газ        </t>
  </si>
  <si>
    <t xml:space="preserve">Фильтр маслоотделитель БКУ-2, попутный нефтяной газ        </t>
  </si>
  <si>
    <t>Маслоотделитель   БКУ-3, попутный нефтяной газ, компрессорное масло</t>
  </si>
  <si>
    <t xml:space="preserve">Сепаратор газовый БКУ-3, попутный нефтяной газ        </t>
  </si>
  <si>
    <t xml:space="preserve">Фильтр маслоотделитель БКУ-3, попутный нефтяной газ  </t>
  </si>
  <si>
    <t>Компрессорная установка ТАКАТ 42.05 М3УХЛ1БКУ-1, попутный нефтяной газ, компрессорное масло</t>
  </si>
  <si>
    <t>Компрессорная установка ТАКАТ 42.05 М3УХЛ1 БКУ-2, попутный нефтяной газ, компрессорное масло</t>
  </si>
  <si>
    <t>Компрессорная установка ТАКАТ 42.05 М3УХЛ1 БКУ-3, попутный нефтяной газ, компрессорное масло</t>
  </si>
  <si>
    <t>Аппарат воздушного охла-ждения газа  (АВО-1), попутный нефтяной газ</t>
  </si>
  <si>
    <t>Аппарат воздушного охла-ждения газа  (АВО-2), попутный нефтяной газ</t>
  </si>
  <si>
    <t>Аппарат воздушного охла-ждения газа  (АВО-3), попутный нефтяной газ</t>
  </si>
  <si>
    <t xml:space="preserve">Емкость сбора конденсата ЕК, попутный нефтяной газ, газовый конденсат                      </t>
  </si>
  <si>
    <t>Технологический трубопро-вод  КС «Раевка» «Линия приема газа на КС», попутный нефтяной газ</t>
  </si>
  <si>
    <t>Технологический трубопро-вод КС «Раевка» «Линия выкида газа от КС», попутный нефтяной газ</t>
  </si>
  <si>
    <t>Технологический трубопро-вод КС «Раевка» «Линия сброса от СППК», попутный нефтяной газ</t>
  </si>
  <si>
    <t>Технологический трубопро-вод  КС «Раевка» «Дренажная линия», попутный нефтяной газ</t>
  </si>
  <si>
    <t xml:space="preserve">Газопровод «1 ступень УПН  - РГ Раевка», попутный нефтяной газ             </t>
  </si>
  <si>
    <t xml:space="preserve">Газопровод «2 ступень УПН - РГ Раевка», попутный нефтяной газ               </t>
  </si>
  <si>
    <t xml:space="preserve">Сепаратор газовый 1 ступени ГС-1, нефть, попутный нефтяной газ   </t>
  </si>
  <si>
    <t xml:space="preserve">Сепаратор газовый 2 ступени ГС-2, нефть, попутный нефтяной газ   </t>
  </si>
  <si>
    <t>Горелка Г-1,0, природный газ</t>
  </si>
  <si>
    <t xml:space="preserve">Пункт газорегуляторный шкафной ША-03Х2-04К-160ГО, природный газ </t>
  </si>
  <si>
    <t>Газопровод наружный диа-метром от 57 до 114 мм трубопроводы: стальные металлические трубы, полиэтиленовые трубы, природный газ</t>
  </si>
  <si>
    <t>Газопровод внутренний диаметром от 20 до 108 мм трубопроводы: стальные ме-таллические трубы,  природный газ</t>
  </si>
  <si>
    <t>Насос шестеренный Марка: Ш 5-25, масло индустриальное И-20А</t>
  </si>
  <si>
    <t>КС "Раевка"</t>
  </si>
  <si>
    <t>КНС "Раевка"</t>
  </si>
  <si>
    <t>Котельная промбазы "Раевка"</t>
  </si>
  <si>
    <t>УПН "Раевка"</t>
  </si>
  <si>
    <t>г.ж.ф.</t>
  </si>
  <si>
    <t>атм.</t>
  </si>
  <si>
    <t>реагент</t>
  </si>
  <si>
    <t>поглотитель сероводорода</t>
  </si>
  <si>
    <t xml:space="preserve">попутный нефтяной газ        </t>
  </si>
  <si>
    <t>природный газ</t>
  </si>
  <si>
    <t>масло индустриальное И-20А</t>
  </si>
  <si>
    <t>компрессорное масло</t>
  </si>
  <si>
    <t xml:space="preserve">попутный нефтяной газ            </t>
  </si>
  <si>
    <t xml:space="preserve">нефть   </t>
  </si>
  <si>
    <t>РВС №1н-3н, нефть</t>
  </si>
  <si>
    <t>РВС №4н, 1в-2в, нефть, пластовая вода</t>
  </si>
  <si>
    <t>Сепаратор нефтегазовый С-2.1 НГС I-6-2600-16ГС, нефть, попутный нефтяной газ</t>
  </si>
  <si>
    <t>Сепаратор нефтегазовый С-2.3-2.4 НГС I-6-2600-16ГС, нефть, попутный нефтяной газ</t>
  </si>
  <si>
    <t>Экспортный напорный резервуар С-1 (сепаратор), нефть, попутный нефтяной газ</t>
  </si>
  <si>
    <t>Сосуд горизонтальный БЕ-2.1-2.2, нефть, попутный нефтяной газ, пластовая вода</t>
  </si>
  <si>
    <t>Электродегидратор ЭГ-1.1-1.2, нефть, попутный нефтяной газ, пластовая вода</t>
  </si>
  <si>
    <t>Трубчатая печь ПТБ-5-40Э№1-2, нефть, попутный нефтяной газ</t>
  </si>
  <si>
    <t>Теплообменник Т – 1-4, нефть, попутный нефтяной газ</t>
  </si>
  <si>
    <t>Дренажные емкости УПН, нефть</t>
  </si>
  <si>
    <t>Перелив емкости→ мгновенное воспламенение→ пожар пролива</t>
  </si>
  <si>
    <t>Перелив емкости→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</si>
  <si>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Перелив емкости→ отсутствие мгновенного воспламенения→возможность образования взрывоопасного облака→ отсутствие отсроченного воспламенения → ликвидация аварии</t>
  </si>
  <si>
    <t>Насосное оборудование УПН, нефть</t>
  </si>
  <si>
    <t>C66</t>
  </si>
  <si>
    <t>C67</t>
  </si>
  <si>
    <t>C68</t>
  </si>
  <si>
    <t>Насосное оборудование УПН,реагент</t>
  </si>
  <si>
    <t>C101</t>
  </si>
  <si>
    <t>C102</t>
  </si>
  <si>
    <t>C103</t>
  </si>
  <si>
    <t>C104</t>
  </si>
  <si>
    <t>C105</t>
  </si>
  <si>
    <t>C106</t>
  </si>
  <si>
    <t>Трубопровод сырой нефти на УПН от задвижки №1 че-рез расширитель, сепаратор С-1, до буферных емкостей БЕ-2.1, БЕ-2.2, нефть</t>
  </si>
  <si>
    <t>Трубопровод сырой нефти из теплообменников в печи, выход из печей, нефть</t>
  </si>
  <si>
    <t>Трубопровод выхода нефти после печей, подача нефти в дегидраторы и теплообменники , нефть</t>
  </si>
  <si>
    <t>Трубопровод подготовленной  нефти от теплообменников через сепараторы  С-2, 1;2,2 до  РВС № 1н,2н,3н, нефть</t>
  </si>
  <si>
    <t>Трубопровод сырой нефти от РВС № 4н, 3н до фильтра  насосов внутренней перекачки, нефть</t>
  </si>
  <si>
    <t>C113</t>
  </si>
  <si>
    <t>C114</t>
  </si>
  <si>
    <t>C115</t>
  </si>
  <si>
    <t>C116</t>
  </si>
  <si>
    <t>C117</t>
  </si>
  <si>
    <t>C118</t>
  </si>
  <si>
    <t>C119</t>
  </si>
  <si>
    <t>C120</t>
  </si>
  <si>
    <t>Сепаратор С-1,2, попутный нефтяной газ</t>
  </si>
  <si>
    <t>Сепаратор газовый БКУ-1-3, попутный нефтяной газ</t>
  </si>
  <si>
    <t>C141</t>
  </si>
  <si>
    <t>C142</t>
  </si>
  <si>
    <t>C143</t>
  </si>
  <si>
    <t>C144</t>
  </si>
  <si>
    <t>C145</t>
  </si>
  <si>
    <t>C146</t>
  </si>
  <si>
    <t>C147</t>
  </si>
  <si>
    <t>C148</t>
  </si>
  <si>
    <t>Компрессорная установка, попутный нефтяной газ</t>
  </si>
  <si>
    <t>C149</t>
  </si>
  <si>
    <t>C150</t>
  </si>
  <si>
    <t>C151</t>
  </si>
  <si>
    <t>C152</t>
  </si>
  <si>
    <t>C153</t>
  </si>
  <si>
    <t>C154</t>
  </si>
  <si>
    <t>C155</t>
  </si>
  <si>
    <t>C156</t>
  </si>
  <si>
    <t>Технологический трубопровод  КС «Раевка» «Линия приема газа на КС», попутный нефтяной газ</t>
  </si>
  <si>
    <t>Технологический трубопровод КС «Раевка» «Линия выкида газа от КС», попутный нефтяной газ</t>
  </si>
  <si>
    <t>Газопровод «1 ступень УПН  - РГ Раевка», попутный нефтяной газ</t>
  </si>
  <si>
    <t>C121</t>
  </si>
  <si>
    <t>C122</t>
  </si>
  <si>
    <t>C123</t>
  </si>
  <si>
    <t>C124</t>
  </si>
  <si>
    <t>C125</t>
  </si>
  <si>
    <t>C126</t>
  </si>
  <si>
    <t>C127</t>
  </si>
  <si>
    <t>C128</t>
  </si>
  <si>
    <t>Сепаратор газовый ГС-1,2,нефть, попутный нефтяной газ</t>
  </si>
  <si>
    <t>Газопровод наружный,  природный газ</t>
  </si>
  <si>
    <t>Газопровод внутренний,  природный газ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</si>
  <si>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</si>
  <si>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</si>
  <si>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</si>
  <si>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</si>
  <si>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</si>
  <si>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</si>
  <si>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</si>
  <si>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</si>
  <si>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</si>
  <si>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</si>
  <si>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</si>
  <si>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</si>
  <si>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</si>
  <si>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</si>
  <si>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</si>
  <si>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</si>
  <si>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</si>
  <si>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</si>
  <si>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</si>
  <si>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</si>
  <si>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</si>
  <si>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</si>
  <si>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</si>
  <si>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</si>
  <si>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</si>
  <si>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</si>
  <si>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</si>
  <si>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</si>
  <si>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</si>
  <si>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</si>
  <si>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</si>
  <si>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</si>
  <si>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</si>
  <si>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</si>
  <si>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</si>
  <si>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</si>
  <si>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</si>
  <si>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</si>
  <si>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</si>
  <si>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</si>
  <si>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</si>
  <si>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</si>
  <si>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</si>
  <si>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</si>
  <si>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</si>
  <si>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</si>
  <si>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</si>
  <si>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</si>
  <si>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</si>
  <si>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</si>
  <si>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</si>
  <si>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</si>
  <si>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</si>
  <si>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</si>
  <si>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</si>
  <si>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</si>
  <si>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</si>
  <si>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</si>
  <si>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</si>
  <si>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</si>
  <si>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</si>
  <si>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</si>
  <si>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</si>
  <si>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</si>
  <si>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</si>
  <si>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</si>
  <si>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</si>
  <si>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</si>
  <si>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</si>
  <si>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</si>
  <si>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</si>
  <si>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</si>
  <si>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</si>
  <si>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C107</t>
  </si>
  <si>
    <t>C108</t>
  </si>
  <si>
    <t>C109</t>
  </si>
  <si>
    <t>C110</t>
  </si>
  <si>
    <t>C111</t>
  </si>
  <si>
    <t>C112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</si>
  <si>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</si>
  <si>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</si>
  <si>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</si>
  <si>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</si>
  <si>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</si>
  <si>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</si>
  <si>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</si>
  <si>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</si>
  <si>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</si>
  <si>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</si>
  <si>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</si>
  <si>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</si>
  <si>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</si>
  <si>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</si>
  <si>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</si>
  <si>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</si>
  <si>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</si>
  <si>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</si>
  <si>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</si>
  <si>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</si>
  <si>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</si>
  <si>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</si>
  <si>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</si>
  <si>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</si>
  <si>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</si>
  <si>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</si>
  <si>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</si>
  <si>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</si>
  <si>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</si>
  <si>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</si>
  <si>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</si>
  <si>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</si>
  <si>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</si>
  <si>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</si>
  <si>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</si>
  <si>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</si>
  <si>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</si>
  <si>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</si>
  <si>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</si>
  <si>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</si>
  <si>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</si>
  <si>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</si>
  <si>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</si>
  <si>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</si>
  <si>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</si>
  <si>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</si>
  <si>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</si>
  <si>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</si>
  <si>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</si>
  <si>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</si>
  <si>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</si>
  <si>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</si>
  <si>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</si>
  <si>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</si>
  <si>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</si>
  <si>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</si>
  <si>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</si>
  <si>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</si>
  <si>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</si>
  <si>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</si>
  <si>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→пожар-вспшка</t>
  </si>
  <si>
    <t>Полное-пожар-вспышка</t>
  </si>
  <si>
    <t>Трубопровод ЛВЖ_откр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</si>
</sst>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31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1"/>
      <color theme="1"/>
      <name val="Arial Narrow"/>
      <family val="2"/>
      <charset val="204"/>
    </font>
    <font>
      <sz val="11"/>
      <color theme="1"/>
      <name val="Arial Narrow"/>
      <family val="2"/>
      <charset val="204"/>
    </font>
    <font>
      <sz val="11"/>
      <name val="Arial Narrow"/>
      <family val="2"/>
      <charset val="204"/>
    </font>
    <font>
      <sz val="12"/>
      <color rgb="FF000000"/>
      <name val="Times New Roman"/>
      <family val="1"/>
      <charset val="204"/>
    </font>
    <font>
      <vertAlign val="subscript"/>
      <sz val="12"/>
      <color rgb="FF000000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vertAlign val="superscript"/>
      <sz val="14"/>
      <color rgb="FF000000"/>
      <name val="Times New Roman"/>
      <family val="1"/>
      <charset val="204"/>
    </font>
    <font>
      <b/>
      <sz val="11"/>
      <name val="Arial Narrow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rgb="FFFF0000"/>
      <name val="Arial Narrow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color rgb="FF000000"/>
      <name val="Arial Narrow"/>
      <family val="2"/>
      <charset val="204"/>
    </font>
    <font>
      <b/>
      <sz val="11"/>
      <color rgb="FFFF00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9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9.5"/>
      <color theme="1"/>
      <name val="Times New Roman"/>
      <family val="1"/>
      <charset val="204"/>
    </font>
    <font>
      <sz val="9"/>
      <color rgb="FFFF0000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11"/>
      <color rgb="FFFF0000"/>
      <name val="Arial Narrow"/>
      <family val="2"/>
      <charset val="204"/>
    </font>
    <font>
      <sz val="10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</fonts>
  <fills count="1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thick">
        <color rgb="FF6666FF"/>
      </right>
      <top style="thick">
        <color rgb="FF6666FF"/>
      </top>
      <bottom/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thick">
        <color rgb="FF6666FF"/>
      </bottom>
      <diagonal/>
    </border>
    <border>
      <left style="thick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/>
      <bottom style="thick">
        <color rgb="FF6666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9" fillId="0" borderId="0"/>
    <xf numFmtId="0" fontId="20" fillId="0" borderId="0" applyNumberFormat="0" applyFill="0" applyBorder="0" applyAlignment="0" applyProtection="0"/>
  </cellStyleXfs>
  <cellXfs count="40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2" fontId="0" fillId="0" borderId="0" xfId="0" applyNumberFormat="1"/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0" fontId="0" fillId="0" borderId="0" xfId="0" applyAlignment="1">
      <alignment wrapText="1"/>
    </xf>
    <xf numFmtId="0" fontId="5" fillId="5" borderId="1" xfId="0" applyFont="1" applyFill="1" applyBorder="1"/>
    <xf numFmtId="0" fontId="0" fillId="5" borderId="1" xfId="0" applyFill="1" applyBorder="1" applyAlignment="1">
      <alignment wrapText="1"/>
    </xf>
    <xf numFmtId="11" fontId="5" fillId="5" borderId="1" xfId="0" applyNumberFormat="1" applyFont="1" applyFill="1" applyBorder="1"/>
    <xf numFmtId="0" fontId="0" fillId="2" borderId="1" xfId="0" applyFill="1" applyBorder="1"/>
    <xf numFmtId="0" fontId="5" fillId="5" borderId="0" xfId="0" applyFont="1" applyFill="1"/>
    <xf numFmtId="0" fontId="0" fillId="4" borderId="1" xfId="0" applyFill="1" applyBorder="1"/>
    <xf numFmtId="0" fontId="6" fillId="0" borderId="0" xfId="0" applyFont="1"/>
    <xf numFmtId="0" fontId="4" fillId="6" borderId="0" xfId="0" applyFont="1" applyFill="1"/>
    <xf numFmtId="0" fontId="0" fillId="4" borderId="7" xfId="0" applyFill="1" applyBorder="1"/>
    <xf numFmtId="0" fontId="0" fillId="2" borderId="7" xfId="0" applyFill="1" applyBorder="1"/>
    <xf numFmtId="0" fontId="4" fillId="6" borderId="0" xfId="0" applyFont="1" applyFill="1" applyAlignment="1">
      <alignment wrapText="1"/>
    </xf>
    <xf numFmtId="0" fontId="0" fillId="0" borderId="12" xfId="0" applyBorder="1"/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7" fillId="0" borderId="13" xfId="0" applyFont="1" applyBorder="1" applyAlignment="1">
      <alignment vertical="center"/>
    </xf>
    <xf numFmtId="0" fontId="7" fillId="0" borderId="13" xfId="0" applyFont="1" applyBorder="1" applyAlignment="1">
      <alignment horizontal="center" vertical="center"/>
    </xf>
    <xf numFmtId="166" fontId="7" fillId="0" borderId="13" xfId="0" applyNumberFormat="1" applyFont="1" applyBorder="1" applyAlignment="1">
      <alignment horizontal="center" vertical="center"/>
    </xf>
    <xf numFmtId="0" fontId="0" fillId="0" borderId="10" xfId="0" applyBorder="1"/>
    <xf numFmtId="0" fontId="0" fillId="0" borderId="11" xfId="0" applyBorder="1"/>
    <xf numFmtId="166" fontId="7" fillId="0" borderId="2" xfId="0" applyNumberFormat="1" applyFont="1" applyBorder="1" applyAlignment="1">
      <alignment horizontal="center" vertical="center"/>
    </xf>
    <xf numFmtId="0" fontId="9" fillId="0" borderId="0" xfId="0" applyFont="1" applyAlignment="1">
      <alignment wrapText="1"/>
    </xf>
    <xf numFmtId="0" fontId="0" fillId="5" borderId="0" xfId="0" applyFill="1"/>
    <xf numFmtId="165" fontId="5" fillId="5" borderId="0" xfId="0" applyNumberFormat="1" applyFont="1" applyFill="1"/>
    <xf numFmtId="2" fontId="5" fillId="5" borderId="0" xfId="0" applyNumberFormat="1" applyFont="1" applyFill="1"/>
    <xf numFmtId="11" fontId="5" fillId="5" borderId="0" xfId="0" applyNumberFormat="1" applyFont="1" applyFill="1"/>
    <xf numFmtId="0" fontId="5" fillId="3" borderId="0" xfId="0" applyFont="1" applyFill="1"/>
    <xf numFmtId="2" fontId="5" fillId="3" borderId="0" xfId="0" applyNumberFormat="1" applyFont="1" applyFill="1"/>
    <xf numFmtId="11" fontId="0" fillId="0" borderId="0" xfId="0" applyNumberFormat="1"/>
    <xf numFmtId="11" fontId="3" fillId="0" borderId="16" xfId="0" applyNumberFormat="1" applyFont="1" applyBorder="1" applyAlignment="1">
      <alignment horizontal="center" vertical="center" wrapText="1"/>
    </xf>
    <xf numFmtId="11" fontId="3" fillId="0" borderId="17" xfId="0" applyNumberFormat="1" applyFont="1" applyBorder="1" applyAlignment="1">
      <alignment horizontal="center" vertical="center" wrapText="1"/>
    </xf>
    <xf numFmtId="0" fontId="0" fillId="0" borderId="22" xfId="0" applyBorder="1"/>
    <xf numFmtId="0" fontId="0" fillId="4" borderId="25" xfId="0" applyFill="1" applyBorder="1"/>
    <xf numFmtId="0" fontId="0" fillId="0" borderId="26" xfId="0" applyBorder="1"/>
    <xf numFmtId="0" fontId="0" fillId="0" borderId="15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30" xfId="0" applyBorder="1" applyAlignment="1">
      <alignment wrapText="1"/>
    </xf>
    <xf numFmtId="0" fontId="0" fillId="2" borderId="18" xfId="0" applyFill="1" applyBorder="1"/>
    <xf numFmtId="0" fontId="0" fillId="2" borderId="19" xfId="0" applyFill="1" applyBorder="1" applyAlignment="1">
      <alignment wrapText="1"/>
    </xf>
    <xf numFmtId="0" fontId="0" fillId="7" borderId="19" xfId="0" applyFill="1" applyBorder="1"/>
    <xf numFmtId="2" fontId="0" fillId="6" borderId="18" xfId="0" applyNumberFormat="1" applyFill="1" applyBorder="1"/>
    <xf numFmtId="0" fontId="0" fillId="7" borderId="7" xfId="0" applyFill="1" applyBorder="1"/>
    <xf numFmtId="0" fontId="0" fillId="4" borderId="24" xfId="0" applyFill="1" applyBorder="1"/>
    <xf numFmtId="0" fontId="0" fillId="4" borderId="6" xfId="0" applyFill="1" applyBorder="1"/>
    <xf numFmtId="0" fontId="0" fillId="4" borderId="5" xfId="0" applyFill="1" applyBorder="1"/>
    <xf numFmtId="0" fontId="0" fillId="0" borderId="32" xfId="0" applyBorder="1"/>
    <xf numFmtId="0" fontId="0" fillId="0" borderId="25" xfId="0" applyBorder="1"/>
    <xf numFmtId="0" fontId="0" fillId="2" borderId="25" xfId="0" applyFill="1" applyBorder="1"/>
    <xf numFmtId="0" fontId="4" fillId="0" borderId="0" xfId="0" applyFont="1" applyAlignment="1">
      <alignment horizontal="left" wrapText="1"/>
    </xf>
    <xf numFmtId="2" fontId="4" fillId="0" borderId="0" xfId="0" applyNumberFormat="1" applyFont="1" applyAlignment="1">
      <alignment wrapText="1"/>
    </xf>
    <xf numFmtId="2" fontId="4" fillId="0" borderId="0" xfId="0" applyNumberFormat="1" applyFont="1"/>
    <xf numFmtId="2" fontId="5" fillId="0" borderId="0" xfId="0" applyNumberFormat="1" applyFont="1"/>
    <xf numFmtId="2" fontId="5" fillId="5" borderId="1" xfId="0" applyNumberFormat="1" applyFont="1" applyFill="1" applyBorder="1"/>
    <xf numFmtId="0" fontId="14" fillId="5" borderId="1" xfId="0" applyFont="1" applyFill="1" applyBorder="1"/>
    <xf numFmtId="2" fontId="14" fillId="5" borderId="1" xfId="0" applyNumberFormat="1" applyFont="1" applyFill="1" applyBorder="1"/>
    <xf numFmtId="0" fontId="13" fillId="5" borderId="0" xfId="0" applyFont="1" applyFill="1"/>
    <xf numFmtId="11" fontId="14" fillId="5" borderId="1" xfId="0" applyNumberFormat="1" applyFont="1" applyFill="1" applyBorder="1"/>
    <xf numFmtId="11" fontId="6" fillId="5" borderId="1" xfId="0" applyNumberFormat="1" applyFont="1" applyFill="1" applyBorder="1"/>
    <xf numFmtId="0" fontId="6" fillId="5" borderId="1" xfId="0" applyFont="1" applyFill="1" applyBorder="1"/>
    <xf numFmtId="2" fontId="5" fillId="5" borderId="9" xfId="0" applyNumberFormat="1" applyFont="1" applyFill="1" applyBorder="1"/>
    <xf numFmtId="0" fontId="14" fillId="5" borderId="9" xfId="0" applyFont="1" applyFill="1" applyBorder="1"/>
    <xf numFmtId="0" fontId="5" fillId="5" borderId="9" xfId="0" applyFont="1" applyFill="1" applyBorder="1"/>
    <xf numFmtId="2" fontId="5" fillId="5" borderId="33" xfId="0" applyNumberFormat="1" applyFont="1" applyFill="1" applyBorder="1"/>
    <xf numFmtId="0" fontId="5" fillId="5" borderId="20" xfId="0" applyFont="1" applyFill="1" applyBorder="1"/>
    <xf numFmtId="2" fontId="5" fillId="5" borderId="20" xfId="0" applyNumberFormat="1" applyFont="1" applyFill="1" applyBorder="1"/>
    <xf numFmtId="0" fontId="5" fillId="5" borderId="35" xfId="0" applyFont="1" applyFill="1" applyBorder="1"/>
    <xf numFmtId="0" fontId="5" fillId="5" borderId="36" xfId="0" applyFont="1" applyFill="1" applyBorder="1"/>
    <xf numFmtId="0" fontId="14" fillId="5" borderId="34" xfId="0" applyFont="1" applyFill="1" applyBorder="1"/>
    <xf numFmtId="0" fontId="14" fillId="5" borderId="21" xfId="0" applyFont="1" applyFill="1" applyBorder="1"/>
    <xf numFmtId="0" fontId="0" fillId="5" borderId="1" xfId="0" applyFill="1" applyBorder="1"/>
    <xf numFmtId="2" fontId="6" fillId="5" borderId="9" xfId="0" applyNumberFormat="1" applyFont="1" applyFill="1" applyBorder="1"/>
    <xf numFmtId="0" fontId="14" fillId="5" borderId="36" xfId="0" applyFont="1" applyFill="1" applyBorder="1"/>
    <xf numFmtId="0" fontId="5" fillId="8" borderId="1" xfId="0" applyFont="1" applyFill="1" applyBorder="1"/>
    <xf numFmtId="0" fontId="14" fillId="8" borderId="1" xfId="0" applyFont="1" applyFill="1" applyBorder="1"/>
    <xf numFmtId="0" fontId="0" fillId="8" borderId="1" xfId="0" applyFill="1" applyBorder="1"/>
    <xf numFmtId="0" fontId="0" fillId="8" borderId="1" xfId="0" applyFill="1" applyBorder="1" applyAlignment="1">
      <alignment wrapText="1"/>
    </xf>
    <xf numFmtId="11" fontId="14" fillId="8" borderId="1" xfId="0" applyNumberFormat="1" applyFont="1" applyFill="1" applyBorder="1"/>
    <xf numFmtId="11" fontId="5" fillId="8" borderId="1" xfId="0" applyNumberFormat="1" applyFont="1" applyFill="1" applyBorder="1"/>
    <xf numFmtId="2" fontId="14" fillId="8" borderId="1" xfId="0" applyNumberFormat="1" applyFont="1" applyFill="1" applyBorder="1"/>
    <xf numFmtId="2" fontId="5" fillId="8" borderId="9" xfId="0" applyNumberFormat="1" applyFont="1" applyFill="1" applyBorder="1"/>
    <xf numFmtId="2" fontId="5" fillId="8" borderId="33" xfId="0" applyNumberFormat="1" applyFont="1" applyFill="1" applyBorder="1"/>
    <xf numFmtId="0" fontId="14" fillId="8" borderId="34" xfId="0" applyFont="1" applyFill="1" applyBorder="1"/>
    <xf numFmtId="0" fontId="0" fillId="8" borderId="0" xfId="0" applyFill="1"/>
    <xf numFmtId="0" fontId="5" fillId="8" borderId="0" xfId="0" applyFont="1" applyFill="1"/>
    <xf numFmtId="0" fontId="13" fillId="8" borderId="0" xfId="0" applyFont="1" applyFill="1"/>
    <xf numFmtId="165" fontId="5" fillId="8" borderId="0" xfId="0" applyNumberFormat="1" applyFont="1" applyFill="1"/>
    <xf numFmtId="2" fontId="5" fillId="8" borderId="0" xfId="0" applyNumberFormat="1" applyFont="1" applyFill="1"/>
    <xf numFmtId="11" fontId="5" fillId="8" borderId="0" xfId="0" applyNumberFormat="1" applyFont="1" applyFill="1"/>
    <xf numFmtId="11" fontId="6" fillId="8" borderId="1" xfId="0" applyNumberFormat="1" applyFont="1" applyFill="1" applyBorder="1"/>
    <xf numFmtId="0" fontId="6" fillId="8" borderId="1" xfId="0" applyFont="1" applyFill="1" applyBorder="1"/>
    <xf numFmtId="2" fontId="5" fillId="8" borderId="1" xfId="0" applyNumberFormat="1" applyFont="1" applyFill="1" applyBorder="1"/>
    <xf numFmtId="0" fontId="14" fillId="8" borderId="9" xfId="0" applyFont="1" applyFill="1" applyBorder="1"/>
    <xf numFmtId="0" fontId="5" fillId="8" borderId="9" xfId="0" applyFont="1" applyFill="1" applyBorder="1"/>
    <xf numFmtId="2" fontId="5" fillId="8" borderId="20" xfId="0" applyNumberFormat="1" applyFont="1" applyFill="1" applyBorder="1"/>
    <xf numFmtId="0" fontId="14" fillId="8" borderId="21" xfId="0" applyFont="1" applyFill="1" applyBorder="1"/>
    <xf numFmtId="0" fontId="5" fillId="8" borderId="35" xfId="0" applyFont="1" applyFill="1" applyBorder="1"/>
    <xf numFmtId="0" fontId="5" fillId="2" borderId="1" xfId="0" applyFont="1" applyFill="1" applyBorder="1"/>
    <xf numFmtId="0" fontId="14" fillId="2" borderId="1" xfId="0" applyFont="1" applyFill="1" applyBorder="1"/>
    <xf numFmtId="0" fontId="0" fillId="2" borderId="1" xfId="0" applyFill="1" applyBorder="1" applyAlignment="1">
      <alignment wrapText="1"/>
    </xf>
    <xf numFmtId="11" fontId="14" fillId="2" borderId="1" xfId="0" applyNumberFormat="1" applyFont="1" applyFill="1" applyBorder="1"/>
    <xf numFmtId="11" fontId="5" fillId="2" borderId="1" xfId="0" applyNumberFormat="1" applyFont="1" applyFill="1" applyBorder="1"/>
    <xf numFmtId="2" fontId="14" fillId="2" borderId="1" xfId="0" applyNumberFormat="1" applyFont="1" applyFill="1" applyBorder="1"/>
    <xf numFmtId="2" fontId="5" fillId="2" borderId="9" xfId="0" applyNumberFormat="1" applyFont="1" applyFill="1" applyBorder="1"/>
    <xf numFmtId="2" fontId="5" fillId="2" borderId="33" xfId="0" applyNumberFormat="1" applyFont="1" applyFill="1" applyBorder="1"/>
    <xf numFmtId="0" fontId="14" fillId="2" borderId="34" xfId="0" applyFont="1" applyFill="1" applyBorder="1"/>
    <xf numFmtId="0" fontId="0" fillId="2" borderId="0" xfId="0" applyFill="1"/>
    <xf numFmtId="0" fontId="5" fillId="2" borderId="0" xfId="0" applyFont="1" applyFill="1"/>
    <xf numFmtId="0" fontId="13" fillId="2" borderId="0" xfId="0" applyFont="1" applyFill="1"/>
    <xf numFmtId="165" fontId="5" fillId="2" borderId="0" xfId="0" applyNumberFormat="1" applyFont="1" applyFill="1"/>
    <xf numFmtId="2" fontId="5" fillId="2" borderId="0" xfId="0" applyNumberFormat="1" applyFont="1" applyFill="1"/>
    <xf numFmtId="11" fontId="5" fillId="2" borderId="0" xfId="0" applyNumberFormat="1" applyFont="1" applyFill="1"/>
    <xf numFmtId="11" fontId="6" fillId="2" borderId="1" xfId="0" applyNumberFormat="1" applyFont="1" applyFill="1" applyBorder="1"/>
    <xf numFmtId="0" fontId="6" fillId="2" borderId="1" xfId="0" applyFont="1" applyFill="1" applyBorder="1"/>
    <xf numFmtId="2" fontId="5" fillId="2" borderId="1" xfId="0" applyNumberFormat="1" applyFont="1" applyFill="1" applyBorder="1"/>
    <xf numFmtId="0" fontId="14" fillId="2" borderId="9" xfId="0" applyFont="1" applyFill="1" applyBorder="1"/>
    <xf numFmtId="0" fontId="5" fillId="2" borderId="9" xfId="0" applyFont="1" applyFill="1" applyBorder="1"/>
    <xf numFmtId="2" fontId="5" fillId="2" borderId="20" xfId="0" applyNumberFormat="1" applyFont="1" applyFill="1" applyBorder="1"/>
    <xf numFmtId="0" fontId="14" fillId="2" borderId="21" xfId="0" applyFont="1" applyFill="1" applyBorder="1"/>
    <xf numFmtId="0" fontId="5" fillId="2" borderId="35" xfId="0" applyFont="1" applyFill="1" applyBorder="1"/>
    <xf numFmtId="0" fontId="6" fillId="2" borderId="36" xfId="0" applyFont="1" applyFill="1" applyBorder="1"/>
    <xf numFmtId="0" fontId="6" fillId="5" borderId="21" xfId="0" applyFont="1" applyFill="1" applyBorder="1"/>
    <xf numFmtId="0" fontId="5" fillId="4" borderId="1" xfId="0" applyFont="1" applyFill="1" applyBorder="1"/>
    <xf numFmtId="0" fontId="14" fillId="4" borderId="1" xfId="0" applyFont="1" applyFill="1" applyBorder="1"/>
    <xf numFmtId="0" fontId="0" fillId="4" borderId="1" xfId="0" applyFill="1" applyBorder="1" applyAlignment="1">
      <alignment wrapText="1"/>
    </xf>
    <xf numFmtId="11" fontId="14" fillId="4" borderId="1" xfId="0" applyNumberFormat="1" applyFont="1" applyFill="1" applyBorder="1"/>
    <xf numFmtId="11" fontId="5" fillId="4" borderId="1" xfId="0" applyNumberFormat="1" applyFont="1" applyFill="1" applyBorder="1"/>
    <xf numFmtId="2" fontId="14" fillId="4" borderId="1" xfId="0" applyNumberFormat="1" applyFont="1" applyFill="1" applyBorder="1"/>
    <xf numFmtId="2" fontId="5" fillId="4" borderId="9" xfId="0" applyNumberFormat="1" applyFont="1" applyFill="1" applyBorder="1"/>
    <xf numFmtId="2" fontId="5" fillId="4" borderId="33" xfId="0" applyNumberFormat="1" applyFont="1" applyFill="1" applyBorder="1"/>
    <xf numFmtId="0" fontId="14" fillId="4" borderId="34" xfId="0" applyFont="1" applyFill="1" applyBorder="1"/>
    <xf numFmtId="0" fontId="0" fillId="4" borderId="0" xfId="0" applyFill="1"/>
    <xf numFmtId="0" fontId="5" fillId="4" borderId="0" xfId="0" applyFont="1" applyFill="1"/>
    <xf numFmtId="0" fontId="13" fillId="4" borderId="0" xfId="0" applyFont="1" applyFill="1"/>
    <xf numFmtId="165" fontId="5" fillId="4" borderId="0" xfId="0" applyNumberFormat="1" applyFont="1" applyFill="1"/>
    <xf numFmtId="2" fontId="5" fillId="4" borderId="0" xfId="0" applyNumberFormat="1" applyFont="1" applyFill="1"/>
    <xf numFmtId="11" fontId="5" fillId="4" borderId="0" xfId="0" applyNumberFormat="1" applyFont="1" applyFill="1"/>
    <xf numFmtId="11" fontId="6" fillId="4" borderId="1" xfId="0" applyNumberFormat="1" applyFont="1" applyFill="1" applyBorder="1"/>
    <xf numFmtId="0" fontId="6" fillId="4" borderId="1" xfId="0" applyFont="1" applyFill="1" applyBorder="1"/>
    <xf numFmtId="2" fontId="5" fillId="4" borderId="1" xfId="0" applyNumberFormat="1" applyFont="1" applyFill="1" applyBorder="1"/>
    <xf numFmtId="2" fontId="5" fillId="4" borderId="20" xfId="0" applyNumberFormat="1" applyFont="1" applyFill="1" applyBorder="1"/>
    <xf numFmtId="0" fontId="14" fillId="4" borderId="21" xfId="0" applyFont="1" applyFill="1" applyBorder="1"/>
    <xf numFmtId="0" fontId="5" fillId="4" borderId="9" xfId="0" applyFont="1" applyFill="1" applyBorder="1"/>
    <xf numFmtId="0" fontId="5" fillId="4" borderId="20" xfId="0" applyFont="1" applyFill="1" applyBorder="1"/>
    <xf numFmtId="0" fontId="6" fillId="4" borderId="21" xfId="0" applyFont="1" applyFill="1" applyBorder="1"/>
    <xf numFmtId="0" fontId="5" fillId="4" borderId="35" xfId="0" applyFont="1" applyFill="1" applyBorder="1"/>
    <xf numFmtId="0" fontId="5" fillId="4" borderId="36" xfId="0" applyFont="1" applyFill="1" applyBorder="1"/>
    <xf numFmtId="2" fontId="14" fillId="4" borderId="9" xfId="0" applyNumberFormat="1" applyFont="1" applyFill="1" applyBorder="1"/>
    <xf numFmtId="0" fontId="17" fillId="4" borderId="2" xfId="0" applyFont="1" applyFill="1" applyBorder="1" applyAlignment="1">
      <alignment horizontal="right" vertical="center"/>
    </xf>
    <xf numFmtId="0" fontId="0" fillId="0" borderId="15" xfId="0" applyBorder="1"/>
    <xf numFmtId="0" fontId="0" fillId="0" borderId="2" xfId="0" applyBorder="1"/>
    <xf numFmtId="0" fontId="0" fillId="4" borderId="37" xfId="0" applyFill="1" applyBorder="1"/>
    <xf numFmtId="0" fontId="0" fillId="2" borderId="38" xfId="0" applyFill="1" applyBorder="1"/>
    <xf numFmtId="0" fontId="0" fillId="2" borderId="39" xfId="0" applyFill="1" applyBorder="1"/>
    <xf numFmtId="0" fontId="1" fillId="0" borderId="0" xfId="0" applyFont="1" applyAlignment="1">
      <alignment vertical="center"/>
    </xf>
    <xf numFmtId="0" fontId="18" fillId="10" borderId="27" xfId="0" applyFont="1" applyFill="1" applyBorder="1" applyAlignment="1">
      <alignment vertical="center"/>
    </xf>
    <xf numFmtId="0" fontId="18" fillId="10" borderId="28" xfId="0" applyFont="1" applyFill="1" applyBorder="1" applyAlignment="1">
      <alignment vertical="center"/>
    </xf>
    <xf numFmtId="0" fontId="6" fillId="4" borderId="36" xfId="0" applyFont="1" applyFill="1" applyBorder="1"/>
    <xf numFmtId="0" fontId="0" fillId="5" borderId="0" xfId="0" applyFill="1" applyAlignment="1">
      <alignment wrapText="1"/>
    </xf>
    <xf numFmtId="11" fontId="6" fillId="5" borderId="0" xfId="0" applyNumberFormat="1" applyFont="1" applyFill="1"/>
    <xf numFmtId="0" fontId="6" fillId="5" borderId="0" xfId="0" applyFont="1" applyFill="1"/>
    <xf numFmtId="0" fontId="5" fillId="5" borderId="40" xfId="0" applyFont="1" applyFill="1" applyBorder="1"/>
    <xf numFmtId="0" fontId="0" fillId="5" borderId="40" xfId="0" applyFill="1" applyBorder="1"/>
    <xf numFmtId="0" fontId="0" fillId="5" borderId="40" xfId="0" applyFill="1" applyBorder="1" applyAlignment="1">
      <alignment wrapText="1"/>
    </xf>
    <xf numFmtId="11" fontId="6" fillId="5" borderId="40" xfId="0" applyNumberFormat="1" applyFont="1" applyFill="1" applyBorder="1"/>
    <xf numFmtId="0" fontId="6" fillId="5" borderId="40" xfId="0" applyFont="1" applyFill="1" applyBorder="1"/>
    <xf numFmtId="11" fontId="5" fillId="5" borderId="40" xfId="0" applyNumberFormat="1" applyFont="1" applyFill="1" applyBorder="1"/>
    <xf numFmtId="2" fontId="5" fillId="5" borderId="40" xfId="0" applyNumberFormat="1" applyFont="1" applyFill="1" applyBorder="1"/>
    <xf numFmtId="0" fontId="5" fillId="5" borderId="4" xfId="0" applyFont="1" applyFill="1" applyBorder="1"/>
    <xf numFmtId="0" fontId="5" fillId="5" borderId="41" xfId="0" applyFont="1" applyFill="1" applyBorder="1"/>
    <xf numFmtId="0" fontId="6" fillId="5" borderId="42" xfId="0" applyFont="1" applyFill="1" applyBorder="1"/>
    <xf numFmtId="0" fontId="0" fillId="0" borderId="1" xfId="0" applyBorder="1"/>
    <xf numFmtId="0" fontId="0" fillId="2" borderId="0" xfId="0" applyFill="1" applyAlignment="1">
      <alignment wrapText="1"/>
    </xf>
    <xf numFmtId="11" fontId="6" fillId="2" borderId="0" xfId="0" applyNumberFormat="1" applyFont="1" applyFill="1"/>
    <xf numFmtId="0" fontId="6" fillId="2" borderId="0" xfId="0" applyFont="1" applyFill="1"/>
    <xf numFmtId="0" fontId="0" fillId="8" borderId="0" xfId="0" applyFill="1" applyAlignment="1">
      <alignment wrapText="1"/>
    </xf>
    <xf numFmtId="11" fontId="6" fillId="8" borderId="0" xfId="0" applyNumberFormat="1" applyFont="1" applyFill="1"/>
    <xf numFmtId="0" fontId="6" fillId="8" borderId="0" xfId="0" applyFont="1" applyFill="1"/>
    <xf numFmtId="0" fontId="0" fillId="4" borderId="0" xfId="0" applyFill="1" applyAlignment="1">
      <alignment wrapText="1"/>
    </xf>
    <xf numFmtId="11" fontId="6" fillId="4" borderId="0" xfId="0" applyNumberFormat="1" applyFont="1" applyFill="1"/>
    <xf numFmtId="0" fontId="6" fillId="4" borderId="0" xfId="0" applyFont="1" applyFill="1"/>
    <xf numFmtId="164" fontId="14" fillId="8" borderId="1" xfId="0" applyNumberFormat="1" applyFont="1" applyFill="1" applyBorder="1"/>
    <xf numFmtId="0" fontId="5" fillId="5" borderId="8" xfId="0" applyFont="1" applyFill="1" applyBorder="1"/>
    <xf numFmtId="0" fontId="14" fillId="5" borderId="4" xfId="0" applyFont="1" applyFill="1" applyBorder="1"/>
    <xf numFmtId="2" fontId="6" fillId="4" borderId="9" xfId="0" applyNumberFormat="1" applyFont="1" applyFill="1" applyBorder="1"/>
    <xf numFmtId="0" fontId="5" fillId="4" borderId="1" xfId="1" applyFont="1" applyFill="1" applyBorder="1"/>
    <xf numFmtId="11" fontId="14" fillId="4" borderId="1" xfId="1" applyNumberFormat="1" applyFont="1" applyFill="1" applyBorder="1"/>
    <xf numFmtId="11" fontId="5" fillId="4" borderId="1" xfId="1" applyNumberFormat="1" applyFont="1" applyFill="1" applyBorder="1"/>
    <xf numFmtId="2" fontId="5" fillId="4" borderId="1" xfId="1" applyNumberFormat="1" applyFont="1" applyFill="1" applyBorder="1"/>
    <xf numFmtId="0" fontId="19" fillId="4" borderId="0" xfId="1" applyFill="1"/>
    <xf numFmtId="165" fontId="5" fillId="4" borderId="0" xfId="1" applyNumberFormat="1" applyFont="1" applyFill="1"/>
    <xf numFmtId="2" fontId="5" fillId="4" borderId="0" xfId="1" applyNumberFormat="1" applyFont="1" applyFill="1"/>
    <xf numFmtId="11" fontId="5" fillId="4" borderId="0" xfId="1" applyNumberFormat="1" applyFont="1" applyFill="1"/>
    <xf numFmtId="0" fontId="0" fillId="3" borderId="0" xfId="0" applyFill="1"/>
    <xf numFmtId="14" fontId="0" fillId="0" borderId="0" xfId="0" applyNumberFormat="1" applyAlignment="1">
      <alignment horizontal="left"/>
    </xf>
    <xf numFmtId="0" fontId="0" fillId="11" borderId="19" xfId="0" applyFill="1" applyBorder="1"/>
    <xf numFmtId="0" fontId="0" fillId="11" borderId="12" xfId="0" applyFill="1" applyBorder="1"/>
    <xf numFmtId="0" fontId="5" fillId="9" borderId="0" xfId="0" applyFont="1" applyFill="1" applyAlignment="1">
      <alignment wrapText="1"/>
    </xf>
    <xf numFmtId="0" fontId="21" fillId="0" borderId="2" xfId="0" applyFont="1" applyBorder="1" applyAlignment="1">
      <alignment horizontal="center" vertical="center" wrapText="1"/>
    </xf>
    <xf numFmtId="0" fontId="21" fillId="0" borderId="15" xfId="0" applyFont="1" applyBorder="1" applyAlignment="1">
      <alignment horizontal="center" vertical="center" wrapText="1"/>
    </xf>
    <xf numFmtId="0" fontId="22" fillId="0" borderId="13" xfId="0" applyFont="1" applyBorder="1" applyAlignment="1">
      <alignment horizontal="center" vertical="center" wrapText="1"/>
    </xf>
    <xf numFmtId="0" fontId="22" fillId="0" borderId="3" xfId="0" applyFont="1" applyBorder="1" applyAlignment="1">
      <alignment horizontal="center" vertical="center" wrapText="1"/>
    </xf>
    <xf numFmtId="0" fontId="22" fillId="0" borderId="2" xfId="0" applyFont="1" applyBorder="1" applyAlignment="1">
      <alignment horizontal="center" vertical="center" wrapText="1"/>
    </xf>
    <xf numFmtId="0" fontId="22" fillId="0" borderId="15" xfId="0" applyFont="1" applyBorder="1" applyAlignment="1">
      <alignment horizontal="center" vertical="center" wrapText="1"/>
    </xf>
    <xf numFmtId="0" fontId="22" fillId="0" borderId="15" xfId="0" applyFont="1" applyBorder="1" applyAlignment="1">
      <alignment horizontal="justify" vertical="center" wrapText="1"/>
    </xf>
    <xf numFmtId="0" fontId="23" fillId="0" borderId="45" xfId="0" applyFont="1" applyBorder="1" applyAlignment="1">
      <alignment horizontal="center" vertical="center" wrapText="1"/>
    </xf>
    <xf numFmtId="0" fontId="23" fillId="0" borderId="46" xfId="0" applyFont="1" applyBorder="1" applyAlignment="1">
      <alignment horizontal="center" vertical="center" wrapText="1"/>
    </xf>
    <xf numFmtId="2" fontId="24" fillId="0" borderId="43" xfId="0" applyNumberFormat="1" applyFont="1" applyBorder="1" applyAlignment="1">
      <alignment vertical="center" wrapText="1"/>
    </xf>
    <xf numFmtId="49" fontId="24" fillId="0" borderId="47" xfId="0" applyNumberFormat="1" applyFont="1" applyBorder="1" applyAlignment="1">
      <alignment vertical="center" wrapText="1"/>
    </xf>
    <xf numFmtId="49" fontId="24" fillId="0" borderId="49" xfId="0" applyNumberFormat="1" applyFont="1" applyBorder="1" applyAlignment="1">
      <alignment vertical="center" wrapText="1"/>
    </xf>
    <xf numFmtId="49" fontId="0" fillId="0" borderId="0" xfId="0" applyNumberFormat="1"/>
    <xf numFmtId="0" fontId="23" fillId="0" borderId="53" xfId="0" applyFont="1" applyBorder="1" applyAlignment="1">
      <alignment horizontal="center" vertical="center" wrapText="1"/>
    </xf>
    <xf numFmtId="0" fontId="23" fillId="0" borderId="54" xfId="0" applyFont="1" applyBorder="1" applyAlignment="1">
      <alignment horizontal="center" vertical="center" wrapText="1"/>
    </xf>
    <xf numFmtId="2" fontId="24" fillId="0" borderId="48" xfId="0" applyNumberFormat="1" applyFont="1" applyBorder="1" applyAlignment="1">
      <alignment vertical="center" wrapText="1"/>
    </xf>
    <xf numFmtId="2" fontId="24" fillId="0" borderId="50" xfId="0" applyNumberFormat="1" applyFont="1" applyBorder="1" applyAlignment="1">
      <alignment vertical="center" wrapText="1"/>
    </xf>
    <xf numFmtId="2" fontId="24" fillId="0" borderId="51" xfId="0" applyNumberFormat="1" applyFont="1" applyBorder="1" applyAlignment="1">
      <alignment vertical="center" wrapText="1"/>
    </xf>
    <xf numFmtId="0" fontId="24" fillId="0" borderId="43" xfId="0" applyFont="1" applyBorder="1" applyAlignment="1">
      <alignment vertical="center" wrapText="1"/>
    </xf>
    <xf numFmtId="0" fontId="24" fillId="0" borderId="50" xfId="0" applyFont="1" applyBorder="1" applyAlignment="1">
      <alignment vertical="center" wrapText="1"/>
    </xf>
    <xf numFmtId="0" fontId="5" fillId="12" borderId="1" xfId="0" applyFont="1" applyFill="1" applyBorder="1"/>
    <xf numFmtId="0" fontId="14" fillId="12" borderId="1" xfId="0" applyFont="1" applyFill="1" applyBorder="1"/>
    <xf numFmtId="0" fontId="0" fillId="12" borderId="1" xfId="0" applyFill="1" applyBorder="1"/>
    <xf numFmtId="0" fontId="0" fillId="12" borderId="1" xfId="0" applyFill="1" applyBorder="1" applyAlignment="1">
      <alignment wrapText="1"/>
    </xf>
    <xf numFmtId="11" fontId="14" fillId="12" borderId="1" xfId="0" applyNumberFormat="1" applyFont="1" applyFill="1" applyBorder="1"/>
    <xf numFmtId="11" fontId="5" fillId="12" borderId="1" xfId="0" applyNumberFormat="1" applyFont="1" applyFill="1" applyBorder="1"/>
    <xf numFmtId="2" fontId="14" fillId="12" borderId="1" xfId="0" applyNumberFormat="1" applyFont="1" applyFill="1" applyBorder="1"/>
    <xf numFmtId="2" fontId="5" fillId="12" borderId="9" xfId="0" applyNumberFormat="1" applyFont="1" applyFill="1" applyBorder="1"/>
    <xf numFmtId="2" fontId="5" fillId="12" borderId="33" xfId="0" applyNumberFormat="1" applyFont="1" applyFill="1" applyBorder="1"/>
    <xf numFmtId="0" fontId="14" fillId="12" borderId="34" xfId="0" applyFont="1" applyFill="1" applyBorder="1"/>
    <xf numFmtId="0" fontId="0" fillId="12" borderId="0" xfId="0" applyFill="1"/>
    <xf numFmtId="0" fontId="5" fillId="12" borderId="0" xfId="0" applyFont="1" applyFill="1"/>
    <xf numFmtId="0" fontId="13" fillId="12" borderId="0" xfId="0" applyFont="1" applyFill="1"/>
    <xf numFmtId="165" fontId="5" fillId="12" borderId="0" xfId="0" applyNumberFormat="1" applyFont="1" applyFill="1"/>
    <xf numFmtId="2" fontId="5" fillId="12" borderId="0" xfId="0" applyNumberFormat="1" applyFont="1" applyFill="1"/>
    <xf numFmtId="11" fontId="5" fillId="12" borderId="0" xfId="0" applyNumberFormat="1" applyFont="1" applyFill="1"/>
    <xf numFmtId="11" fontId="6" fillId="12" borderId="1" xfId="0" applyNumberFormat="1" applyFont="1" applyFill="1" applyBorder="1"/>
    <xf numFmtId="0" fontId="6" fillId="12" borderId="1" xfId="0" applyFont="1" applyFill="1" applyBorder="1"/>
    <xf numFmtId="2" fontId="5" fillId="12" borderId="1" xfId="0" applyNumberFormat="1" applyFont="1" applyFill="1" applyBorder="1"/>
    <xf numFmtId="2" fontId="14" fillId="12" borderId="9" xfId="0" applyNumberFormat="1" applyFont="1" applyFill="1" applyBorder="1"/>
    <xf numFmtId="2" fontId="5" fillId="12" borderId="20" xfId="0" applyNumberFormat="1" applyFont="1" applyFill="1" applyBorder="1"/>
    <xf numFmtId="0" fontId="14" fillId="12" borderId="21" xfId="0" applyFont="1" applyFill="1" applyBorder="1"/>
    <xf numFmtId="0" fontId="5" fillId="12" borderId="20" xfId="0" applyFont="1" applyFill="1" applyBorder="1"/>
    <xf numFmtId="0" fontId="6" fillId="12" borderId="21" xfId="0" applyFont="1" applyFill="1" applyBorder="1"/>
    <xf numFmtId="0" fontId="5" fillId="12" borderId="35" xfId="0" applyFont="1" applyFill="1" applyBorder="1"/>
    <xf numFmtId="0" fontId="5" fillId="12" borderId="36" xfId="0" applyFont="1" applyFill="1" applyBorder="1"/>
    <xf numFmtId="0" fontId="5" fillId="12" borderId="1" xfId="1" applyFont="1" applyFill="1" applyBorder="1"/>
    <xf numFmtId="11" fontId="14" fillId="12" borderId="1" xfId="1" applyNumberFormat="1" applyFont="1" applyFill="1" applyBorder="1"/>
    <xf numFmtId="11" fontId="5" fillId="12" borderId="1" xfId="1" applyNumberFormat="1" applyFont="1" applyFill="1" applyBorder="1"/>
    <xf numFmtId="2" fontId="5" fillId="12" borderId="1" xfId="1" applyNumberFormat="1" applyFont="1" applyFill="1" applyBorder="1"/>
    <xf numFmtId="0" fontId="19" fillId="12" borderId="0" xfId="1" applyFill="1"/>
    <xf numFmtId="165" fontId="5" fillId="12" borderId="0" xfId="1" applyNumberFormat="1" applyFont="1" applyFill="1"/>
    <xf numFmtId="2" fontId="5" fillId="12" borderId="0" xfId="1" applyNumberFormat="1" applyFont="1" applyFill="1"/>
    <xf numFmtId="11" fontId="5" fillId="12" borderId="0" xfId="1" applyNumberFormat="1" applyFont="1" applyFill="1"/>
    <xf numFmtId="164" fontId="14" fillId="12" borderId="1" xfId="0" applyNumberFormat="1" applyFont="1" applyFill="1" applyBorder="1"/>
    <xf numFmtId="164" fontId="5" fillId="12" borderId="1" xfId="0" applyNumberFormat="1" applyFont="1" applyFill="1" applyBorder="1"/>
    <xf numFmtId="164" fontId="5" fillId="12" borderId="9" xfId="0" applyNumberFormat="1" applyFont="1" applyFill="1" applyBorder="1"/>
    <xf numFmtId="0" fontId="6" fillId="12" borderId="36" xfId="0" applyFont="1" applyFill="1" applyBorder="1"/>
    <xf numFmtId="0" fontId="0" fillId="2" borderId="19" xfId="0" quotePrefix="1" applyFill="1" applyBorder="1"/>
    <xf numFmtId="0" fontId="0" fillId="0" borderId="7" xfId="0" applyBorder="1"/>
    <xf numFmtId="0" fontId="0" fillId="13" borderId="30" xfId="0" applyFill="1" applyBorder="1"/>
    <xf numFmtId="0" fontId="0" fillId="13" borderId="14" xfId="0" applyFill="1" applyBorder="1"/>
    <xf numFmtId="0" fontId="0" fillId="13" borderId="15" xfId="0" applyFill="1" applyBorder="1"/>
    <xf numFmtId="2" fontId="0" fillId="2" borderId="7" xfId="0" applyNumberFormat="1" applyFill="1" applyBorder="1"/>
    <xf numFmtId="0" fontId="20" fillId="0" borderId="0" xfId="2" applyAlignment="1">
      <alignment wrapText="1"/>
    </xf>
    <xf numFmtId="14" fontId="0" fillId="0" borderId="0" xfId="0" applyNumberFormat="1" applyAlignment="1">
      <alignment horizontal="left" wrapText="1"/>
    </xf>
    <xf numFmtId="49" fontId="0" fillId="0" borderId="7" xfId="0" applyNumberFormat="1" applyBorder="1"/>
    <xf numFmtId="164" fontId="0" fillId="0" borderId="32" xfId="0" applyNumberFormat="1" applyBorder="1"/>
    <xf numFmtId="2" fontId="14" fillId="5" borderId="9" xfId="0" applyNumberFormat="1" applyFont="1" applyFill="1" applyBorder="1"/>
    <xf numFmtId="0" fontId="1" fillId="2" borderId="19" xfId="0" quotePrefix="1" applyFont="1" applyFill="1" applyBorder="1"/>
    <xf numFmtId="0" fontId="1" fillId="2" borderId="25" xfId="0" applyFont="1" applyFill="1" applyBorder="1"/>
    <xf numFmtId="164" fontId="0" fillId="0" borderId="0" xfId="0" applyNumberFormat="1"/>
    <xf numFmtId="0" fontId="19" fillId="2" borderId="21" xfId="1" applyFill="1" applyBorder="1" applyAlignment="1">
      <alignment wrapText="1"/>
    </xf>
    <xf numFmtId="0" fontId="19" fillId="2" borderId="20" xfId="1" applyFill="1" applyBorder="1"/>
    <xf numFmtId="0" fontId="19" fillId="2" borderId="18" xfId="1" applyFill="1" applyBorder="1"/>
    <xf numFmtId="0" fontId="19" fillId="4" borderId="24" xfId="1" applyFill="1" applyBorder="1"/>
    <xf numFmtId="0" fontId="19" fillId="4" borderId="6" xfId="1" applyFill="1" applyBorder="1"/>
    <xf numFmtId="0" fontId="19" fillId="4" borderId="7" xfId="1" applyFill="1" applyBorder="1"/>
    <xf numFmtId="0" fontId="19" fillId="4" borderId="5" xfId="1" applyFill="1" applyBorder="1"/>
    <xf numFmtId="0" fontId="0" fillId="2" borderId="18" xfId="0" applyFont="1" applyFill="1" applyBorder="1"/>
    <xf numFmtId="2" fontId="0" fillId="0" borderId="7" xfId="0" applyNumberFormat="1" applyFont="1" applyBorder="1"/>
    <xf numFmtId="0" fontId="12" fillId="4" borderId="21" xfId="0" applyFont="1" applyFill="1" applyBorder="1"/>
    <xf numFmtId="2" fontId="12" fillId="5" borderId="20" xfId="0" applyNumberFormat="1" applyFont="1" applyFill="1" applyBorder="1"/>
    <xf numFmtId="11" fontId="0" fillId="4" borderId="0" xfId="0" applyNumberFormat="1" applyFill="1"/>
    <xf numFmtId="0" fontId="4" fillId="6" borderId="0" xfId="0" applyFont="1" applyFill="1" applyAlignment="1">
      <alignment textRotation="90"/>
    </xf>
    <xf numFmtId="0" fontId="4" fillId="0" borderId="0" xfId="0" applyFont="1" applyAlignment="1">
      <alignment textRotation="90"/>
    </xf>
    <xf numFmtId="0" fontId="4" fillId="0" borderId="0" xfId="0" applyFont="1" applyAlignment="1">
      <alignment textRotation="90" wrapText="1"/>
    </xf>
    <xf numFmtId="0" fontId="4" fillId="6" borderId="0" xfId="0" applyFont="1" applyFill="1" applyAlignment="1">
      <alignment textRotation="90" wrapText="1"/>
    </xf>
    <xf numFmtId="0" fontId="1" fillId="0" borderId="0" xfId="0" applyFont="1" applyAlignment="1">
      <alignment textRotation="90" wrapText="1"/>
    </xf>
    <xf numFmtId="0" fontId="0" fillId="14" borderId="0" xfId="0" applyFill="1" applyAlignment="1">
      <alignment wrapText="1"/>
    </xf>
    <xf numFmtId="0" fontId="20" fillId="14" borderId="0" xfId="2" applyFill="1" applyAlignment="1">
      <alignment wrapText="1"/>
    </xf>
    <xf numFmtId="0" fontId="0" fillId="14" borderId="0" xfId="0" applyFill="1"/>
    <xf numFmtId="0" fontId="25" fillId="0" borderId="0" xfId="0" applyFont="1"/>
    <xf numFmtId="2" fontId="25" fillId="0" borderId="0" xfId="0" applyNumberFormat="1" applyFont="1"/>
    <xf numFmtId="0" fontId="26" fillId="0" borderId="2" xfId="0" applyFont="1" applyBorder="1" applyAlignment="1">
      <alignment horizontal="center" vertical="center" wrapText="1"/>
    </xf>
    <xf numFmtId="0" fontId="26" fillId="0" borderId="3" xfId="0" applyFont="1" applyBorder="1" applyAlignment="1">
      <alignment horizontal="center" vertical="center" wrapText="1"/>
    </xf>
    <xf numFmtId="0" fontId="27" fillId="0" borderId="0" xfId="0" applyFont="1"/>
    <xf numFmtId="0" fontId="0" fillId="15" borderId="1" xfId="0" applyFill="1" applyBorder="1" applyAlignment="1">
      <alignment wrapText="1"/>
    </xf>
    <xf numFmtId="0" fontId="0" fillId="0" borderId="1" xfId="0" applyBorder="1" applyAlignment="1">
      <alignment wrapText="1"/>
    </xf>
    <xf numFmtId="2" fontId="0" fillId="0" borderId="7" xfId="0" applyNumberFormat="1" applyBorder="1"/>
    <xf numFmtId="0" fontId="0" fillId="14" borderId="19" xfId="0" quotePrefix="1" applyFill="1" applyBorder="1"/>
    <xf numFmtId="0" fontId="1" fillId="2" borderId="18" xfId="0" applyFont="1" applyFill="1" applyBorder="1"/>
    <xf numFmtId="164" fontId="0" fillId="0" borderId="7" xfId="0" applyNumberFormat="1" applyBorder="1"/>
    <xf numFmtId="164" fontId="3" fillId="0" borderId="21" xfId="0" applyNumberFormat="1" applyFont="1" applyBorder="1"/>
    <xf numFmtId="0" fontId="0" fillId="14" borderId="25" xfId="0" applyFill="1" applyBorder="1"/>
    <xf numFmtId="165" fontId="0" fillId="0" borderId="7" xfId="0" applyNumberFormat="1" applyBorder="1"/>
    <xf numFmtId="0" fontId="0" fillId="2" borderId="20" xfId="0" applyFill="1" applyBorder="1"/>
    <xf numFmtId="0" fontId="0" fillId="15" borderId="1" xfId="0" applyFill="1" applyBorder="1"/>
    <xf numFmtId="2" fontId="0" fillId="0" borderId="1" xfId="0" applyNumberFormat="1" applyBorder="1"/>
    <xf numFmtId="0" fontId="0" fillId="2" borderId="1" xfId="0" quotePrefix="1" applyFill="1" applyBorder="1"/>
    <xf numFmtId="0" fontId="0" fillId="0" borderId="55" xfId="0" applyBorder="1"/>
    <xf numFmtId="0" fontId="0" fillId="0" borderId="56" xfId="0" applyBorder="1"/>
    <xf numFmtId="0" fontId="1" fillId="0" borderId="22" xfId="0" applyFont="1" applyBorder="1"/>
    <xf numFmtId="0" fontId="1" fillId="2" borderId="19" xfId="0" applyFont="1" applyFill="1" applyBorder="1" applyAlignment="1">
      <alignment wrapText="1"/>
    </xf>
    <xf numFmtId="0" fontId="1" fillId="2" borderId="20" xfId="0" applyFont="1" applyFill="1" applyBorder="1"/>
    <xf numFmtId="165" fontId="1" fillId="0" borderId="7" xfId="0" applyNumberFormat="1" applyFont="1" applyBorder="1"/>
    <xf numFmtId="0" fontId="1" fillId="2" borderId="1" xfId="0" applyFont="1" applyFill="1" applyBorder="1"/>
    <xf numFmtId="2" fontId="1" fillId="6" borderId="18" xfId="0" applyNumberFormat="1" applyFont="1" applyFill="1" applyBorder="1"/>
    <xf numFmtId="0" fontId="1" fillId="7" borderId="7" xfId="0" applyFont="1" applyFill="1" applyBorder="1"/>
    <xf numFmtId="0" fontId="1" fillId="7" borderId="19" xfId="0" applyFont="1" applyFill="1" applyBorder="1"/>
    <xf numFmtId="0" fontId="1" fillId="11" borderId="19" xfId="0" applyFont="1" applyFill="1" applyBorder="1"/>
    <xf numFmtId="0" fontId="1" fillId="4" borderId="24" xfId="1" applyFont="1" applyFill="1" applyBorder="1"/>
    <xf numFmtId="0" fontId="1" fillId="4" borderId="6" xfId="1" applyFont="1" applyFill="1" applyBorder="1"/>
    <xf numFmtId="0" fontId="1" fillId="4" borderId="7" xfId="1" applyFont="1" applyFill="1" applyBorder="1"/>
    <xf numFmtId="0" fontId="1" fillId="4" borderId="5" xfId="1" applyFont="1" applyFill="1" applyBorder="1"/>
    <xf numFmtId="0" fontId="1" fillId="4" borderId="5" xfId="0" applyFont="1" applyFill="1" applyBorder="1"/>
    <xf numFmtId="0" fontId="0" fillId="2" borderId="25" xfId="0" applyFont="1" applyFill="1" applyBorder="1"/>
    <xf numFmtId="164" fontId="28" fillId="4" borderId="1" xfId="0" applyNumberFormat="1" applyFont="1" applyFill="1" applyBorder="1"/>
    <xf numFmtId="2" fontId="4" fillId="4" borderId="20" xfId="0" applyNumberFormat="1" applyFont="1" applyFill="1" applyBorder="1"/>
    <xf numFmtId="0" fontId="5" fillId="0" borderId="0" xfId="0" applyFont="1" applyFill="1"/>
    <xf numFmtId="0" fontId="0" fillId="0" borderId="0" xfId="0" applyFill="1"/>
    <xf numFmtId="0" fontId="0" fillId="0" borderId="0" xfId="0" applyFill="1" applyAlignment="1">
      <alignment wrapText="1"/>
    </xf>
    <xf numFmtId="11" fontId="6" fillId="0" borderId="0" xfId="0" applyNumberFormat="1" applyFont="1" applyFill="1"/>
    <xf numFmtId="0" fontId="6" fillId="0" borderId="0" xfId="0" applyFont="1" applyFill="1"/>
    <xf numFmtId="11" fontId="5" fillId="0" borderId="0" xfId="0" applyNumberFormat="1" applyFont="1" applyFill="1"/>
    <xf numFmtId="2" fontId="5" fillId="0" borderId="0" xfId="0" applyNumberFormat="1" applyFont="1" applyFill="1"/>
    <xf numFmtId="165" fontId="5" fillId="0" borderId="0" xfId="0" applyNumberFormat="1" applyFont="1" applyFill="1"/>
    <xf numFmtId="0" fontId="29" fillId="0" borderId="2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 wrapText="1"/>
    </xf>
    <xf numFmtId="0" fontId="30" fillId="0" borderId="0" xfId="0" applyFont="1"/>
    <xf numFmtId="0" fontId="5" fillId="16" borderId="1" xfId="0" applyFont="1" applyFill="1" applyBorder="1"/>
    <xf numFmtId="0" fontId="14" fillId="16" borderId="1" xfId="0" applyFont="1" applyFill="1" applyBorder="1"/>
    <xf numFmtId="0" fontId="0" fillId="16" borderId="1" xfId="0" applyFill="1" applyBorder="1"/>
    <xf numFmtId="0" fontId="0" fillId="16" borderId="1" xfId="0" applyFill="1" applyBorder="1" applyAlignment="1">
      <alignment wrapText="1"/>
    </xf>
    <xf numFmtId="11" fontId="14" fillId="16" borderId="1" xfId="0" applyNumberFormat="1" applyFont="1" applyFill="1" applyBorder="1"/>
    <xf numFmtId="11" fontId="5" fillId="16" borderId="1" xfId="0" applyNumberFormat="1" applyFont="1" applyFill="1" applyBorder="1"/>
    <xf numFmtId="2" fontId="14" fillId="16" borderId="1" xfId="0" applyNumberFormat="1" applyFont="1" applyFill="1" applyBorder="1"/>
    <xf numFmtId="2" fontId="5" fillId="16" borderId="9" xfId="0" applyNumberFormat="1" applyFont="1" applyFill="1" applyBorder="1"/>
    <xf numFmtId="2" fontId="5" fillId="16" borderId="33" xfId="0" applyNumberFormat="1" applyFont="1" applyFill="1" applyBorder="1"/>
    <xf numFmtId="0" fontId="14" fillId="16" borderId="34" xfId="0" applyFont="1" applyFill="1" applyBorder="1"/>
    <xf numFmtId="0" fontId="0" fillId="16" borderId="0" xfId="0" applyFill="1"/>
    <xf numFmtId="0" fontId="5" fillId="16" borderId="0" xfId="0" applyFont="1" applyFill="1"/>
    <xf numFmtId="0" fontId="13" fillId="16" borderId="0" xfId="0" applyFont="1" applyFill="1"/>
    <xf numFmtId="165" fontId="5" fillId="16" borderId="0" xfId="0" applyNumberFormat="1" applyFont="1" applyFill="1"/>
    <xf numFmtId="2" fontId="5" fillId="16" borderId="0" xfId="0" applyNumberFormat="1" applyFont="1" applyFill="1"/>
    <xf numFmtId="11" fontId="5" fillId="16" borderId="0" xfId="0" applyNumberFormat="1" applyFont="1" applyFill="1"/>
    <xf numFmtId="11" fontId="0" fillId="16" borderId="0" xfId="0" applyNumberFormat="1" applyFill="1"/>
    <xf numFmtId="11" fontId="6" fillId="16" borderId="1" xfId="0" applyNumberFormat="1" applyFont="1" applyFill="1" applyBorder="1"/>
    <xf numFmtId="0" fontId="6" fillId="16" borderId="1" xfId="0" applyFont="1" applyFill="1" applyBorder="1"/>
    <xf numFmtId="2" fontId="5" fillId="16" borderId="1" xfId="0" applyNumberFormat="1" applyFont="1" applyFill="1" applyBorder="1"/>
    <xf numFmtId="0" fontId="14" fillId="16" borderId="9" xfId="0" applyFont="1" applyFill="1" applyBorder="1"/>
    <xf numFmtId="0" fontId="5" fillId="16" borderId="9" xfId="0" applyFont="1" applyFill="1" applyBorder="1"/>
    <xf numFmtId="2" fontId="5" fillId="16" borderId="20" xfId="0" applyNumberFormat="1" applyFont="1" applyFill="1" applyBorder="1"/>
    <xf numFmtId="0" fontId="14" fillId="16" borderId="21" xfId="0" applyFont="1" applyFill="1" applyBorder="1"/>
    <xf numFmtId="0" fontId="5" fillId="16" borderId="40" xfId="0" applyFont="1" applyFill="1" applyBorder="1"/>
    <xf numFmtId="0" fontId="0" fillId="16" borderId="40" xfId="0" applyFill="1" applyBorder="1"/>
    <xf numFmtId="0" fontId="0" fillId="16" borderId="40" xfId="0" applyFill="1" applyBorder="1" applyAlignment="1">
      <alignment wrapText="1"/>
    </xf>
    <xf numFmtId="11" fontId="6" fillId="16" borderId="40" xfId="0" applyNumberFormat="1" applyFont="1" applyFill="1" applyBorder="1"/>
    <xf numFmtId="0" fontId="6" fillId="16" borderId="40" xfId="0" applyFont="1" applyFill="1" applyBorder="1"/>
    <xf numFmtId="11" fontId="5" fillId="16" borderId="40" xfId="0" applyNumberFormat="1" applyFont="1" applyFill="1" applyBorder="1"/>
    <xf numFmtId="2" fontId="5" fillId="16" borderId="40" xfId="0" applyNumberFormat="1" applyFont="1" applyFill="1" applyBorder="1"/>
    <xf numFmtId="0" fontId="5" fillId="16" borderId="4" xfId="0" applyFont="1" applyFill="1" applyBorder="1"/>
    <xf numFmtId="0" fontId="5" fillId="16" borderId="41" xfId="0" applyFont="1" applyFill="1" applyBorder="1"/>
    <xf numFmtId="0" fontId="6" fillId="16" borderId="42" xfId="0" applyFont="1" applyFill="1" applyBorder="1"/>
    <xf numFmtId="2" fontId="14" fillId="16" borderId="9" xfId="0" applyNumberFormat="1" applyFont="1" applyFill="1" applyBorder="1"/>
    <xf numFmtId="0" fontId="0" fillId="0" borderId="23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27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27" xfId="0" applyBorder="1" applyAlignment="1">
      <alignment horizontal="center" wrapText="1"/>
    </xf>
    <xf numFmtId="0" fontId="0" fillId="0" borderId="29" xfId="0" applyBorder="1" applyAlignment="1">
      <alignment horizontal="center" wrapText="1"/>
    </xf>
    <xf numFmtId="0" fontId="0" fillId="0" borderId="28" xfId="0" applyBorder="1" applyAlignment="1">
      <alignment horizontal="center" wrapText="1"/>
    </xf>
    <xf numFmtId="0" fontId="0" fillId="0" borderId="29" xfId="0" applyBorder="1" applyAlignment="1">
      <alignment horizontal="center" vertical="center" wrapText="1"/>
    </xf>
    <xf numFmtId="0" fontId="0" fillId="0" borderId="23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31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11" borderId="23" xfId="0" applyFill="1" applyBorder="1" applyAlignment="1">
      <alignment horizontal="center" vertical="top" wrapText="1"/>
    </xf>
    <xf numFmtId="0" fontId="0" fillId="11" borderId="3" xfId="0" applyFill="1" applyBorder="1" applyAlignment="1">
      <alignment horizontal="center" vertical="top" wrapText="1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0" fillId="0" borderId="14" xfId="0" applyBorder="1" applyAlignment="1">
      <alignment horizontal="right"/>
    </xf>
    <xf numFmtId="0" fontId="0" fillId="0" borderId="15" xfId="0" applyBorder="1" applyAlignment="1">
      <alignment horizontal="right"/>
    </xf>
    <xf numFmtId="0" fontId="23" fillId="0" borderId="44" xfId="0" applyFont="1" applyBorder="1" applyAlignment="1">
      <alignment horizontal="center" vertical="center" wrapText="1"/>
    </xf>
    <xf numFmtId="0" fontId="23" fillId="0" borderId="52" xfId="0" applyFont="1" applyBorder="1" applyAlignment="1">
      <alignment horizontal="center" vertical="center" wrapText="1"/>
    </xf>
    <xf numFmtId="0" fontId="23" fillId="0" borderId="45" xfId="0" applyFont="1" applyBorder="1" applyAlignment="1">
      <alignment horizontal="center" vertical="center" wrapText="1"/>
    </xf>
    <xf numFmtId="0" fontId="23" fillId="0" borderId="53" xfId="0" applyFont="1" applyBorder="1" applyAlignment="1">
      <alignment horizontal="center" vertical="center" wrapText="1"/>
    </xf>
  </cellXfs>
  <cellStyles count="3">
    <cellStyle name="Гиперссылка" xfId="2" builtinId="8"/>
    <cellStyle name="Обычный" xfId="0" builtinId="0"/>
    <cellStyle name="Обычный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38913" name="Скрыть" hidden="1">
              <a:extLst>
                <a:ext uri="{63B3BB69-23CF-44E3-9099-C40C66FF867C}">
                  <a14:compatExt spid="_x0000_s38913"/>
                </a:ext>
                <a:ext uri="{FF2B5EF4-FFF2-40B4-BE49-F238E27FC236}">
                  <a16:creationId xmlns:a16="http://schemas.microsoft.com/office/drawing/2014/main" id="{00000000-0008-0000-0200-000001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0</xdr:row>
          <xdr:rowOff>609600</xdr:rowOff>
        </xdr:to>
        <xdr:sp macro="" textlink="">
          <xdr:nvSpPr>
            <xdr:cNvPr id="38914" name="Показать" hidden="1">
              <a:extLst>
                <a:ext uri="{63B3BB69-23CF-44E3-9099-C40C66FF867C}">
                  <a14:compatExt spid="_x0000_s38914"/>
                </a:ext>
                <a:ext uri="{FF2B5EF4-FFF2-40B4-BE49-F238E27FC236}">
                  <a16:creationId xmlns:a16="http://schemas.microsoft.com/office/drawing/2014/main" id="{00000000-0008-0000-0200-000002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403870</xdr:colOff>
      <xdr:row>25</xdr:row>
      <xdr:rowOff>150884</xdr:rowOff>
    </xdr:to>
    <xdr:pic>
      <xdr:nvPicPr>
        <xdr:cNvPr id="9" name="FN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8094" y="869576"/>
          <a:ext cx="5280670" cy="391606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24</xdr:col>
      <xdr:colOff>403870</xdr:colOff>
      <xdr:row>25</xdr:row>
      <xdr:rowOff>150884</xdr:rowOff>
    </xdr:to>
    <xdr:pic>
      <xdr:nvPicPr>
        <xdr:cNvPr id="11" name="F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4494" y="869576"/>
          <a:ext cx="5280670" cy="39160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0</xdr:row>
      <xdr:rowOff>60960</xdr:rowOff>
    </xdr:from>
    <xdr:to>
      <xdr:col>9</xdr:col>
      <xdr:colOff>274320</xdr:colOff>
      <xdr:row>31</xdr:row>
      <xdr:rowOff>75636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60960"/>
          <a:ext cx="5623560" cy="568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297181</xdr:colOff>
      <xdr:row>30</xdr:row>
      <xdr:rowOff>121920</xdr:rowOff>
    </xdr:from>
    <xdr:to>
      <xdr:col>8</xdr:col>
      <xdr:colOff>373381</xdr:colOff>
      <xdr:row>34</xdr:row>
      <xdr:rowOff>39088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1" y="5608320"/>
          <a:ext cx="4953000" cy="648688"/>
        </a:xfrm>
        <a:prstGeom prst="rect">
          <a:avLst/>
        </a:prstGeom>
      </xdr:spPr>
    </xdr:pic>
    <xdr:clientData/>
  </xdr:twoCellAnchor>
  <xdr:twoCellAnchor editAs="oneCell">
    <xdr:from>
      <xdr:col>9</xdr:col>
      <xdr:colOff>525780</xdr:colOff>
      <xdr:row>1</xdr:row>
      <xdr:rowOff>7620</xdr:rowOff>
    </xdr:from>
    <xdr:to>
      <xdr:col>19</xdr:col>
      <xdr:colOff>562703</xdr:colOff>
      <xdr:row>34</xdr:row>
      <xdr:rowOff>53340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2180" y="190500"/>
          <a:ext cx="6132923" cy="608076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304801</xdr:colOff>
      <xdr:row>1</xdr:row>
      <xdr:rowOff>106680</xdr:rowOff>
    </xdr:from>
    <xdr:to>
      <xdr:col>28</xdr:col>
      <xdr:colOff>601981</xdr:colOff>
      <xdr:row>35</xdr:row>
      <xdr:rowOff>88829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96801" y="289560"/>
          <a:ext cx="5173980" cy="6200069"/>
        </a:xfrm>
        <a:prstGeom prst="rect">
          <a:avLst/>
        </a:prstGeom>
      </xdr:spPr>
    </xdr:pic>
    <xdr:clientData/>
  </xdr:twoCellAnchor>
  <xdr:twoCellAnchor editAs="oneCell">
    <xdr:from>
      <xdr:col>29</xdr:col>
      <xdr:colOff>426720</xdr:colOff>
      <xdr:row>2</xdr:row>
      <xdr:rowOff>22860</xdr:rowOff>
    </xdr:from>
    <xdr:to>
      <xdr:col>39</xdr:col>
      <xdr:colOff>25904</xdr:colOff>
      <xdr:row>28</xdr:row>
      <xdr:rowOff>59378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05120" y="388620"/>
          <a:ext cx="5695184" cy="47913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28</xdr:row>
      <xdr:rowOff>161925</xdr:rowOff>
    </xdr:from>
    <xdr:to>
      <xdr:col>14</xdr:col>
      <xdr:colOff>2515480</xdr:colOff>
      <xdr:row>46</xdr:row>
      <xdr:rowOff>152877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075" y="8401050"/>
          <a:ext cx="6306430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1409700</xdr:colOff>
      <xdr:row>20</xdr:row>
      <xdr:rowOff>114300</xdr:rowOff>
    </xdr:from>
    <xdr:to>
      <xdr:col>9</xdr:col>
      <xdr:colOff>248513</xdr:colOff>
      <xdr:row>47</xdr:row>
      <xdr:rowOff>38859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300" y="6477000"/>
          <a:ext cx="6182588" cy="543953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YandexDisk/&#1056;&#1072;&#1073;&#1086;&#1090;&#1072;/&#1040;&#1088;&#1093;&#1080;&#1074;/2025/&#1044;&#1055;&#1041;%20&#1041;&#1040;&#1064;&#1053;&#1045;&#1060;&#1058;&#1068;/&#1056;&#1072;&#1079;&#1088;&#1072;&#1073;&#1086;&#1090;&#1082;&#1072;/&#1044;&#1055;&#1041;%20392%20&#1059;&#1055;&#1053;%20&#1059;&#1088;&#1096;&#1072;&#1082;%20(2025)/ris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"/>
      <sheetName val="Масса ОВ"/>
      <sheetName val="Расчет"/>
      <sheetName val="FN_FG"/>
      <sheetName val="Масса исп."/>
      <sheetName val="Сценарии"/>
      <sheetName val="Частоты аварий"/>
      <sheetName val="дБR, ppm"/>
      <sheetName val="Погода 2023 (Казань)"/>
      <sheetName val="Статистика аварий"/>
    </sheetNames>
    <sheetDataSet>
      <sheetData sheetId="0">
        <row r="23">
          <cell r="B23">
            <v>830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info_bn@bn.rosneft.ru" TargetMode="External"/><Relationship Id="rId3" Type="http://schemas.openxmlformats.org/officeDocument/2006/relationships/hyperlink" Target="mailto:reception@tatoilgas.ru" TargetMode="External"/><Relationship Id="rId7" Type="http://schemas.openxmlformats.org/officeDocument/2006/relationships/hyperlink" Target="mailto:reception@tatoilgas.ru" TargetMode="External"/><Relationship Id="rId2" Type="http://schemas.openxmlformats.org/officeDocument/2006/relationships/hyperlink" Target="mailto:VALEEVA@SMPNEFTEGAZ.RU" TargetMode="External"/><Relationship Id="rId1" Type="http://schemas.openxmlformats.org/officeDocument/2006/relationships/hyperlink" Target="mailto:sheshmaoil@tatais.ru" TargetMode="External"/><Relationship Id="rId6" Type="http://schemas.openxmlformats.org/officeDocument/2006/relationships/hyperlink" Target="mailto:sheshmaoil@tatais.ru" TargetMode="External"/><Relationship Id="rId5" Type="http://schemas.openxmlformats.org/officeDocument/2006/relationships/hyperlink" Target="mailto:sheshmaoil@tatais.ru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mailto:general@smpneftegaz.ru" TargetMode="External"/><Relationship Id="rId9" Type="http://schemas.openxmlformats.org/officeDocument/2006/relationships/hyperlink" Target="mailto:ppnservis@mail.ru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6">
    <tabColor rgb="FFFFC000"/>
  </sheetPr>
  <dimension ref="A2:M24"/>
  <sheetViews>
    <sheetView workbookViewId="0">
      <selection activeCell="B13" sqref="B13"/>
    </sheetView>
  </sheetViews>
  <sheetFormatPr defaultRowHeight="14.4" x14ac:dyDescent="0.3"/>
  <cols>
    <col min="1" max="1" width="32.88671875" customWidth="1"/>
    <col min="2" max="2" width="119.33203125" customWidth="1"/>
    <col min="3" max="3" width="17.109375" customWidth="1"/>
    <col min="6" max="6" width="24.33203125" customWidth="1"/>
    <col min="7" max="7" width="26" customWidth="1"/>
    <col min="8" max="8" width="25.6640625" customWidth="1"/>
    <col min="9" max="9" width="21.6640625" customWidth="1"/>
    <col min="10" max="10" width="26.44140625" customWidth="1"/>
    <col min="11" max="11" width="21.33203125" customWidth="1"/>
    <col min="12" max="12" width="18.6640625" customWidth="1"/>
    <col min="13" max="13" width="15.88671875" customWidth="1"/>
  </cols>
  <sheetData>
    <row r="2" spans="1:13" ht="28.8" x14ac:dyDescent="0.3">
      <c r="A2" s="139" t="s">
        <v>195</v>
      </c>
      <c r="B2" s="295" t="s">
        <v>488</v>
      </c>
      <c r="C2" t="s">
        <v>217</v>
      </c>
      <c r="F2" s="7" t="s">
        <v>350</v>
      </c>
      <c r="G2" s="7" t="s">
        <v>382</v>
      </c>
      <c r="H2" s="7" t="s">
        <v>408</v>
      </c>
      <c r="I2" s="7" t="s">
        <v>409</v>
      </c>
      <c r="J2" s="7" t="s">
        <v>350</v>
      </c>
      <c r="K2" s="7" t="s">
        <v>427</v>
      </c>
      <c r="L2" s="7" t="s">
        <v>408</v>
      </c>
      <c r="M2" s="7" t="s">
        <v>446</v>
      </c>
    </row>
    <row r="3" spans="1:13" ht="57.6" x14ac:dyDescent="0.3">
      <c r="A3" s="139" t="s">
        <v>198</v>
      </c>
      <c r="B3" s="295" t="s">
        <v>447</v>
      </c>
      <c r="C3" t="s">
        <v>218</v>
      </c>
      <c r="F3" s="7" t="s">
        <v>351</v>
      </c>
      <c r="G3" s="7" t="s">
        <v>383</v>
      </c>
      <c r="H3" s="7" t="s">
        <v>393</v>
      </c>
      <c r="I3" s="7" t="s">
        <v>410</v>
      </c>
      <c r="J3" s="7" t="s">
        <v>351</v>
      </c>
      <c r="K3" s="7" t="s">
        <v>426</v>
      </c>
      <c r="L3" s="7" t="s">
        <v>393</v>
      </c>
      <c r="M3" s="7" t="s">
        <v>447</v>
      </c>
    </row>
    <row r="4" spans="1:13" ht="57.6" x14ac:dyDescent="0.3">
      <c r="A4" s="139" t="s">
        <v>197</v>
      </c>
      <c r="B4" s="295" t="s">
        <v>384</v>
      </c>
      <c r="C4" t="s">
        <v>220</v>
      </c>
      <c r="F4" s="7" t="s">
        <v>352</v>
      </c>
      <c r="G4" s="7" t="s">
        <v>384</v>
      </c>
      <c r="H4" s="7" t="s">
        <v>384</v>
      </c>
      <c r="I4" s="7" t="s">
        <v>384</v>
      </c>
      <c r="J4" s="7" t="s">
        <v>352</v>
      </c>
      <c r="K4" s="7" t="s">
        <v>352</v>
      </c>
      <c r="L4" s="7" t="s">
        <v>384</v>
      </c>
      <c r="M4" s="7" t="s">
        <v>448</v>
      </c>
    </row>
    <row r="5" spans="1:13" ht="28.8" x14ac:dyDescent="0.3">
      <c r="A5" s="139" t="s">
        <v>196</v>
      </c>
      <c r="B5" s="295" t="s">
        <v>489</v>
      </c>
      <c r="C5" t="s">
        <v>219</v>
      </c>
      <c r="F5" s="7" t="s">
        <v>353</v>
      </c>
      <c r="G5" s="7" t="s">
        <v>385</v>
      </c>
      <c r="H5" s="7" t="s">
        <v>443</v>
      </c>
      <c r="I5" s="7" t="s">
        <v>411</v>
      </c>
      <c r="J5" s="7" t="s">
        <v>353</v>
      </c>
      <c r="K5" s="7" t="s">
        <v>353</v>
      </c>
      <c r="L5" s="7" t="s">
        <v>443</v>
      </c>
      <c r="M5" s="7" t="s">
        <v>449</v>
      </c>
    </row>
    <row r="6" spans="1:13" ht="115.2" x14ac:dyDescent="0.3">
      <c r="A6" s="139" t="s">
        <v>199</v>
      </c>
      <c r="B6" s="295" t="s">
        <v>490</v>
      </c>
      <c r="C6" t="s">
        <v>224</v>
      </c>
      <c r="F6" s="7" t="s">
        <v>354</v>
      </c>
      <c r="G6" s="7" t="s">
        <v>386</v>
      </c>
      <c r="H6" s="7" t="s">
        <v>394</v>
      </c>
      <c r="I6" s="7" t="s">
        <v>445</v>
      </c>
      <c r="J6" s="7" t="s">
        <v>354</v>
      </c>
      <c r="K6" s="7" t="s">
        <v>428</v>
      </c>
      <c r="L6" s="7" t="s">
        <v>444</v>
      </c>
      <c r="M6" s="7" t="s">
        <v>450</v>
      </c>
    </row>
    <row r="7" spans="1:13" x14ac:dyDescent="0.3">
      <c r="A7" s="139" t="s">
        <v>200</v>
      </c>
      <c r="B7" s="295" t="s">
        <v>491</v>
      </c>
      <c r="C7" t="s">
        <v>225</v>
      </c>
      <c r="F7" s="7" t="s">
        <v>355</v>
      </c>
      <c r="G7" s="7" t="s">
        <v>387</v>
      </c>
      <c r="H7" s="7" t="s">
        <v>395</v>
      </c>
      <c r="I7" s="7" t="s">
        <v>413</v>
      </c>
      <c r="J7" s="7" t="s">
        <v>355</v>
      </c>
      <c r="K7" s="7" t="s">
        <v>355</v>
      </c>
      <c r="L7" s="7" t="s">
        <v>395</v>
      </c>
      <c r="M7" s="7" t="s">
        <v>451</v>
      </c>
    </row>
    <row r="8" spans="1:13" ht="28.8" x14ac:dyDescent="0.3">
      <c r="A8" s="139" t="s">
        <v>201</v>
      </c>
      <c r="B8" s="295" t="s">
        <v>492</v>
      </c>
      <c r="C8" t="s">
        <v>221</v>
      </c>
      <c r="F8" s="7" t="s">
        <v>356</v>
      </c>
      <c r="G8" s="7" t="s">
        <v>387</v>
      </c>
      <c r="H8" s="7" t="s">
        <v>396</v>
      </c>
      <c r="I8" s="7" t="s">
        <v>413</v>
      </c>
      <c r="J8" s="7" t="s">
        <v>356</v>
      </c>
      <c r="K8" s="7" t="s">
        <v>356</v>
      </c>
      <c r="L8" s="7" t="s">
        <v>396</v>
      </c>
      <c r="M8" s="7" t="s">
        <v>451</v>
      </c>
    </row>
    <row r="9" spans="1:13" ht="28.8" x14ac:dyDescent="0.3">
      <c r="A9" s="139" t="s">
        <v>202</v>
      </c>
      <c r="B9" s="296" t="s">
        <v>493</v>
      </c>
      <c r="C9" t="s">
        <v>202</v>
      </c>
      <c r="F9" s="270" t="s">
        <v>357</v>
      </c>
      <c r="G9" s="270" t="s">
        <v>391</v>
      </c>
      <c r="H9" s="7" t="s">
        <v>397</v>
      </c>
      <c r="I9" s="7" t="s">
        <v>412</v>
      </c>
      <c r="J9" s="270" t="s">
        <v>357</v>
      </c>
      <c r="K9" s="270" t="s">
        <v>357</v>
      </c>
      <c r="L9" s="7" t="s">
        <v>397</v>
      </c>
      <c r="M9" s="270" t="s">
        <v>452</v>
      </c>
    </row>
    <row r="10" spans="1:13" x14ac:dyDescent="0.3">
      <c r="A10" s="139" t="s">
        <v>203</v>
      </c>
      <c r="B10" s="295" t="s">
        <v>486</v>
      </c>
      <c r="C10" t="s">
        <v>222</v>
      </c>
      <c r="F10" s="7" t="s">
        <v>358</v>
      </c>
      <c r="G10" s="7" t="s">
        <v>388</v>
      </c>
      <c r="H10" s="7" t="s">
        <v>398</v>
      </c>
      <c r="I10" s="7" t="s">
        <v>414</v>
      </c>
      <c r="J10" s="7" t="s">
        <v>358</v>
      </c>
      <c r="K10" s="7" t="s">
        <v>429</v>
      </c>
      <c r="L10" s="7" t="s">
        <v>398</v>
      </c>
      <c r="M10" s="7" t="s">
        <v>453</v>
      </c>
    </row>
    <row r="11" spans="1:13" x14ac:dyDescent="0.3">
      <c r="A11" s="139" t="s">
        <v>204</v>
      </c>
      <c r="B11" s="295" t="s">
        <v>487</v>
      </c>
      <c r="C11" t="s">
        <v>223</v>
      </c>
      <c r="F11" s="271">
        <v>42545</v>
      </c>
      <c r="G11" s="271">
        <v>43854</v>
      </c>
      <c r="H11" s="202">
        <v>42242</v>
      </c>
      <c r="I11" s="7">
        <v>43083</v>
      </c>
      <c r="J11" s="271">
        <v>42545</v>
      </c>
      <c r="K11" s="271">
        <v>43367</v>
      </c>
      <c r="L11" s="202">
        <v>42242</v>
      </c>
      <c r="M11" s="7" t="s">
        <v>454</v>
      </c>
    </row>
    <row r="12" spans="1:13" ht="86.4" x14ac:dyDescent="0.3">
      <c r="A12" s="201" t="s">
        <v>205</v>
      </c>
      <c r="B12" s="295" t="s">
        <v>521</v>
      </c>
      <c r="C12" t="s">
        <v>229</v>
      </c>
      <c r="F12" s="7" t="s">
        <v>366</v>
      </c>
      <c r="G12" s="7" t="s">
        <v>373</v>
      </c>
      <c r="H12" s="7" t="s">
        <v>392</v>
      </c>
      <c r="I12" s="7" t="s">
        <v>415</v>
      </c>
      <c r="J12" s="7" t="s">
        <v>423</v>
      </c>
      <c r="K12" s="7" t="s">
        <v>430</v>
      </c>
      <c r="L12" s="7" t="s">
        <v>433</v>
      </c>
      <c r="M12" s="7" t="s">
        <v>455</v>
      </c>
    </row>
    <row r="13" spans="1:13" ht="100.8" x14ac:dyDescent="0.3">
      <c r="A13" s="201" t="s">
        <v>206</v>
      </c>
      <c r="B13" s="295" t="s">
        <v>519</v>
      </c>
      <c r="C13" t="s">
        <v>226</v>
      </c>
      <c r="F13" s="7" t="s">
        <v>367</v>
      </c>
      <c r="G13" s="7" t="s">
        <v>389</v>
      </c>
      <c r="H13" s="7" t="s">
        <v>399</v>
      </c>
      <c r="I13" s="7" t="s">
        <v>416</v>
      </c>
      <c r="J13" s="7" t="s">
        <v>424</v>
      </c>
      <c r="K13" s="7" t="s">
        <v>431</v>
      </c>
      <c r="L13" s="7" t="s">
        <v>435</v>
      </c>
      <c r="M13" s="7" t="s">
        <v>456</v>
      </c>
    </row>
    <row r="14" spans="1:13" x14ac:dyDescent="0.3">
      <c r="A14" s="201" t="s">
        <v>207</v>
      </c>
      <c r="B14" s="295" t="s">
        <v>520</v>
      </c>
      <c r="C14" t="s">
        <v>228</v>
      </c>
      <c r="F14" s="7" t="s">
        <v>368</v>
      </c>
      <c r="G14" s="7" t="s">
        <v>390</v>
      </c>
      <c r="H14" s="7" t="s">
        <v>400</v>
      </c>
      <c r="I14" s="7" t="s">
        <v>417</v>
      </c>
      <c r="J14" t="s">
        <v>425</v>
      </c>
      <c r="K14" t="s">
        <v>432</v>
      </c>
      <c r="L14" s="7" t="s">
        <v>434</v>
      </c>
      <c r="M14" s="7" t="s">
        <v>457</v>
      </c>
    </row>
    <row r="15" spans="1:13" x14ac:dyDescent="0.3">
      <c r="A15" s="201" t="s">
        <v>208</v>
      </c>
      <c r="B15" s="295" t="s">
        <v>418</v>
      </c>
      <c r="C15" t="s">
        <v>227</v>
      </c>
      <c r="F15" s="7" t="s">
        <v>216</v>
      </c>
      <c r="G15" s="7" t="s">
        <v>216</v>
      </c>
      <c r="H15" s="7" t="s">
        <v>216</v>
      </c>
      <c r="I15" s="7" t="s">
        <v>418</v>
      </c>
      <c r="J15" t="s">
        <v>418</v>
      </c>
      <c r="K15" t="s">
        <v>216</v>
      </c>
      <c r="L15" s="7" t="s">
        <v>216</v>
      </c>
      <c r="M15" s="7" t="s">
        <v>418</v>
      </c>
    </row>
    <row r="16" spans="1:13" x14ac:dyDescent="0.3">
      <c r="A16" s="114" t="s">
        <v>209</v>
      </c>
      <c r="B16" s="297">
        <v>0</v>
      </c>
      <c r="C16" t="s">
        <v>235</v>
      </c>
      <c r="F16" s="7" t="s">
        <v>360</v>
      </c>
      <c r="G16" s="7">
        <v>0</v>
      </c>
      <c r="H16" t="s">
        <v>401</v>
      </c>
      <c r="I16" s="7">
        <v>0</v>
      </c>
      <c r="J16">
        <v>0</v>
      </c>
      <c r="K16">
        <v>0</v>
      </c>
      <c r="L16" t="s">
        <v>436</v>
      </c>
      <c r="M16">
        <v>0</v>
      </c>
    </row>
    <row r="17" spans="1:13" x14ac:dyDescent="0.3">
      <c r="A17" s="114" t="s">
        <v>210</v>
      </c>
      <c r="B17" s="297">
        <v>0</v>
      </c>
      <c r="C17" t="s">
        <v>230</v>
      </c>
      <c r="F17" s="7" t="s">
        <v>361</v>
      </c>
      <c r="G17" s="7">
        <v>0</v>
      </c>
      <c r="H17" t="s">
        <v>402</v>
      </c>
      <c r="I17" s="7">
        <v>0</v>
      </c>
      <c r="J17">
        <v>0</v>
      </c>
      <c r="K17">
        <v>0</v>
      </c>
      <c r="L17" t="s">
        <v>437</v>
      </c>
      <c r="M17">
        <v>0</v>
      </c>
    </row>
    <row r="18" spans="1:13" x14ac:dyDescent="0.3">
      <c r="A18" s="114" t="s">
        <v>211</v>
      </c>
      <c r="B18" s="297">
        <v>0</v>
      </c>
      <c r="C18" t="s">
        <v>231</v>
      </c>
      <c r="F18" s="7" t="s">
        <v>362</v>
      </c>
      <c r="G18" s="7">
        <v>0</v>
      </c>
      <c r="H18" t="s">
        <v>403</v>
      </c>
      <c r="I18" s="7">
        <v>0</v>
      </c>
      <c r="J18">
        <v>0</v>
      </c>
      <c r="K18">
        <v>0</v>
      </c>
      <c r="L18" t="s">
        <v>438</v>
      </c>
      <c r="M18">
        <v>0</v>
      </c>
    </row>
    <row r="19" spans="1:13" x14ac:dyDescent="0.3">
      <c r="A19" s="114" t="s">
        <v>212</v>
      </c>
      <c r="B19" s="297">
        <v>0</v>
      </c>
      <c r="C19" t="s">
        <v>234</v>
      </c>
      <c r="F19" s="7" t="s">
        <v>363</v>
      </c>
      <c r="G19" s="7">
        <v>0</v>
      </c>
      <c r="H19" t="s">
        <v>404</v>
      </c>
      <c r="I19" s="7">
        <v>0</v>
      </c>
      <c r="J19">
        <v>0</v>
      </c>
      <c r="K19">
        <v>0</v>
      </c>
      <c r="L19" t="s">
        <v>439</v>
      </c>
      <c r="M19">
        <v>0</v>
      </c>
    </row>
    <row r="20" spans="1:13" x14ac:dyDescent="0.3">
      <c r="A20" s="114" t="s">
        <v>213</v>
      </c>
      <c r="B20" s="297">
        <v>0</v>
      </c>
      <c r="C20" t="s">
        <v>233</v>
      </c>
      <c r="F20" s="7" t="s">
        <v>364</v>
      </c>
      <c r="G20" s="7">
        <v>0</v>
      </c>
      <c r="H20" t="s">
        <v>405</v>
      </c>
      <c r="I20" s="7">
        <v>0</v>
      </c>
      <c r="J20">
        <v>0</v>
      </c>
      <c r="K20">
        <v>0</v>
      </c>
      <c r="L20" t="s">
        <v>440</v>
      </c>
      <c r="M20">
        <v>0</v>
      </c>
    </row>
    <row r="21" spans="1:13" x14ac:dyDescent="0.3">
      <c r="A21" s="114" t="s">
        <v>214</v>
      </c>
      <c r="B21" s="297">
        <v>0</v>
      </c>
      <c r="C21" t="s">
        <v>232</v>
      </c>
      <c r="F21" s="7" t="s">
        <v>365</v>
      </c>
      <c r="G21" s="7">
        <v>0</v>
      </c>
      <c r="H21" t="s">
        <v>406</v>
      </c>
      <c r="I21" s="7">
        <v>0</v>
      </c>
      <c r="J21">
        <v>0</v>
      </c>
      <c r="K21">
        <v>0</v>
      </c>
      <c r="L21" t="s">
        <v>441</v>
      </c>
      <c r="M21">
        <v>0</v>
      </c>
    </row>
    <row r="22" spans="1:13" ht="86.4" x14ac:dyDescent="0.3">
      <c r="A22" s="114" t="s">
        <v>215</v>
      </c>
      <c r="B22" s="297">
        <v>0</v>
      </c>
      <c r="C22" t="s">
        <v>236</v>
      </c>
      <c r="F22" s="7" t="s">
        <v>359</v>
      </c>
      <c r="G22" s="7">
        <v>0</v>
      </c>
      <c r="H22" s="7" t="s">
        <v>407</v>
      </c>
      <c r="I22" s="7">
        <v>0</v>
      </c>
      <c r="J22">
        <v>0</v>
      </c>
      <c r="K22">
        <v>0</v>
      </c>
      <c r="L22" s="7" t="s">
        <v>442</v>
      </c>
      <c r="M22">
        <v>0</v>
      </c>
    </row>
    <row r="23" spans="1:13" x14ac:dyDescent="0.3">
      <c r="A23" s="114" t="s">
        <v>348</v>
      </c>
      <c r="B23" s="297">
        <v>830</v>
      </c>
      <c r="C23" t="s">
        <v>349</v>
      </c>
      <c r="F23" s="7">
        <v>5</v>
      </c>
      <c r="G23" s="7">
        <v>11</v>
      </c>
      <c r="H23">
        <v>11</v>
      </c>
      <c r="I23" s="7">
        <v>25</v>
      </c>
      <c r="J23">
        <v>25</v>
      </c>
      <c r="K23">
        <v>25</v>
      </c>
      <c r="L23">
        <v>11</v>
      </c>
      <c r="M23">
        <v>1952</v>
      </c>
    </row>
    <row r="24" spans="1:13" x14ac:dyDescent="0.3">
      <c r="A24" s="114"/>
    </row>
  </sheetData>
  <phoneticPr fontId="2" type="noConversion"/>
  <hyperlinks>
    <hyperlink ref="F9" r:id="rId1" xr:uid="{6CA932B9-E77B-469E-9969-32719F2AA3F7}"/>
    <hyperlink ref="G9" r:id="rId2" xr:uid="{C719F556-1A94-4D2C-8D21-39210A10E6BF}"/>
    <hyperlink ref="H9" r:id="rId3" xr:uid="{A4269A0E-9BC5-44A6-9BF6-8A21004E4EA1}"/>
    <hyperlink ref="I9" r:id="rId4" xr:uid="{E5576D00-93D1-45C4-988C-5FDCFCD5A1A2}"/>
    <hyperlink ref="J9" r:id="rId5" xr:uid="{2C0A25DB-31AB-4A2D-9592-7A3A8ECE0C74}"/>
    <hyperlink ref="K9" r:id="rId6" xr:uid="{743197B3-ED8F-4107-AAB7-D1A5A640C15E}"/>
    <hyperlink ref="L9" r:id="rId7" xr:uid="{3CCFEB95-7271-4EC3-9088-75F0FD49863B}"/>
    <hyperlink ref="B9" r:id="rId8" xr:uid="{8D79AFE3-B938-4B03-B805-34863D48A19B}"/>
    <hyperlink ref="M9" r:id="rId9" xr:uid="{229484D4-3E9C-4FE4-9010-586A8DE34F01}"/>
  </hyperlinks>
  <pageMargins left="0.7" right="0.7" top="0.75" bottom="0.75" header="0.3" footer="0.3"/>
  <pageSetup paperSize="9"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21">
    <tabColor theme="0" tint="-0.34998626667073579"/>
  </sheetPr>
  <dimension ref="A1:AS211"/>
  <sheetViews>
    <sheetView zoomScale="70" zoomScaleNormal="70" workbookViewId="0">
      <pane ySplit="1" topLeftCell="A128" activePane="bottomLeft" state="frozen"/>
      <selection pane="bottomLeft" activeCell="T131" sqref="T131"/>
    </sheetView>
  </sheetViews>
  <sheetFormatPr defaultRowHeight="14.4" x14ac:dyDescent="0.3"/>
  <cols>
    <col min="1" max="1" width="14.33203125" style="40" customWidth="1"/>
    <col min="2" max="2" width="32.33203125" style="19" customWidth="1"/>
    <col min="3" max="3" width="8.88671875" style="40"/>
    <col min="4" max="4" width="15.33203125" customWidth="1"/>
    <col min="5" max="5" width="11.88671875" style="19" customWidth="1"/>
    <col min="6" max="6" width="10.6640625" style="40" customWidth="1"/>
    <col min="7" max="7" width="10.5546875" customWidth="1"/>
    <col min="8" max="8" width="10.6640625" style="19" customWidth="1"/>
    <col min="9" max="9" width="15.6640625" style="40" customWidth="1"/>
    <col min="10" max="10" width="15.33203125" customWidth="1"/>
    <col min="11" max="11" width="17.109375" style="19" customWidth="1"/>
    <col min="12" max="12" width="17.109375" style="204" customWidth="1"/>
    <col min="13" max="13" width="13.109375" style="19" customWidth="1"/>
    <col min="14" max="14" width="12" style="42" customWidth="1"/>
    <col min="15" max="15" width="13.5546875" customWidth="1"/>
    <col min="16" max="16" width="17.44140625" customWidth="1"/>
    <col min="17" max="17" width="12.109375" customWidth="1"/>
    <col min="18" max="18" width="19.33203125" style="55" customWidth="1"/>
    <col min="20" max="20" width="20.88671875" customWidth="1"/>
    <col min="21" max="21" width="14.21875" customWidth="1"/>
    <col min="22" max="22" width="12.33203125" customWidth="1"/>
    <col min="23" max="23" width="11.5546875" bestFit="1" customWidth="1"/>
    <col min="24" max="24" width="35.5546875" customWidth="1"/>
    <col min="25" max="25" width="11.44140625" customWidth="1"/>
  </cols>
  <sheetData>
    <row r="1" spans="1:45" ht="62.4" customHeight="1" thickBot="1" x14ac:dyDescent="0.35">
      <c r="A1" s="383" t="s">
        <v>79</v>
      </c>
      <c r="B1" s="384"/>
      <c r="C1" s="385" t="s">
        <v>80</v>
      </c>
      <c r="D1" s="386"/>
      <c r="E1" s="387"/>
      <c r="F1" s="383" t="s">
        <v>81</v>
      </c>
      <c r="G1" s="388"/>
      <c r="H1" s="384"/>
      <c r="I1" s="381" t="s">
        <v>91</v>
      </c>
      <c r="J1" s="381" t="s">
        <v>92</v>
      </c>
      <c r="K1" s="381" t="s">
        <v>93</v>
      </c>
      <c r="L1" s="393" t="s">
        <v>237</v>
      </c>
      <c r="M1" s="381" t="s">
        <v>95</v>
      </c>
      <c r="N1" s="381" t="s">
        <v>94</v>
      </c>
      <c r="O1" s="389" t="s">
        <v>78</v>
      </c>
      <c r="P1" s="381" t="s">
        <v>82</v>
      </c>
      <c r="Q1" s="391" t="s">
        <v>96</v>
      </c>
      <c r="R1" s="54" t="s">
        <v>97</v>
      </c>
      <c r="T1" s="7" t="s">
        <v>99</v>
      </c>
    </row>
    <row r="2" spans="1:45" ht="43.8" thickBot="1" x14ac:dyDescent="0.35">
      <c r="A2" s="44" t="s">
        <v>83</v>
      </c>
      <c r="B2" s="44" t="s">
        <v>84</v>
      </c>
      <c r="C2" s="45" t="s">
        <v>85</v>
      </c>
      <c r="D2" s="44" t="s">
        <v>86</v>
      </c>
      <c r="E2" s="43" t="s">
        <v>87</v>
      </c>
      <c r="F2" s="45" t="s">
        <v>88</v>
      </c>
      <c r="G2" s="44" t="s">
        <v>89</v>
      </c>
      <c r="H2" s="43" t="s">
        <v>90</v>
      </c>
      <c r="I2" s="382"/>
      <c r="J2" s="382"/>
      <c r="K2" s="382"/>
      <c r="L2" s="394"/>
      <c r="M2" s="382"/>
      <c r="N2" s="382"/>
      <c r="O2" s="390"/>
      <c r="P2" s="382"/>
      <c r="Q2" s="392"/>
    </row>
    <row r="3" spans="1:45" ht="29.4" thickBot="1" x14ac:dyDescent="0.35">
      <c r="A3" s="40" t="s">
        <v>642</v>
      </c>
      <c r="B3" s="47" t="s">
        <v>522</v>
      </c>
      <c r="C3" s="46">
        <v>1</v>
      </c>
      <c r="D3" s="305">
        <v>3465</v>
      </c>
      <c r="E3" s="305">
        <v>3465</v>
      </c>
      <c r="F3" s="46" t="s">
        <v>374</v>
      </c>
      <c r="G3" s="306" t="s">
        <v>644</v>
      </c>
      <c r="H3" s="264" t="s">
        <v>496</v>
      </c>
      <c r="I3" s="49">
        <f t="shared" ref="I3:I4" si="0">PI()*(POWER(K3/1000,2)/4)*J3</f>
        <v>1.4137166941154067E-2</v>
      </c>
      <c r="J3" s="50">
        <v>20</v>
      </c>
      <c r="K3" s="48">
        <v>30</v>
      </c>
      <c r="L3" s="203">
        <v>0</v>
      </c>
      <c r="M3" s="281">
        <v>5.1999999999999998E-2</v>
      </c>
      <c r="N3" s="282">
        <v>0.86099999999999999</v>
      </c>
      <c r="O3" s="283">
        <v>25</v>
      </c>
      <c r="P3" s="284">
        <v>0.1</v>
      </c>
      <c r="Q3" s="53">
        <v>0</v>
      </c>
      <c r="R3" s="56" t="s">
        <v>98</v>
      </c>
      <c r="T3" s="56" t="s">
        <v>98</v>
      </c>
      <c r="U3" s="273">
        <f>SUMIF($R$3:$R$97,T3,$E$3:$E$97)</f>
        <v>17142.45499999998</v>
      </c>
      <c r="V3" s="277">
        <f>U3-12.22</f>
        <v>17130.234999999979</v>
      </c>
      <c r="AE3" s="266" t="s">
        <v>369</v>
      </c>
      <c r="AF3" s="267"/>
      <c r="AG3" s="268"/>
    </row>
    <row r="4" spans="1:45" ht="29.4" thickBot="1" x14ac:dyDescent="0.35">
      <c r="A4" s="40" t="s">
        <v>642</v>
      </c>
      <c r="B4" s="47" t="s">
        <v>523</v>
      </c>
      <c r="C4" s="46">
        <v>1</v>
      </c>
      <c r="D4" s="305">
        <v>3465</v>
      </c>
      <c r="E4" s="305">
        <v>3465</v>
      </c>
      <c r="F4" s="46" t="s">
        <v>374</v>
      </c>
      <c r="G4" s="306" t="s">
        <v>644</v>
      </c>
      <c r="H4" s="264" t="s">
        <v>496</v>
      </c>
      <c r="I4" s="49">
        <f t="shared" si="0"/>
        <v>1.4137166941154067E-2</v>
      </c>
      <c r="J4" s="50">
        <v>20</v>
      </c>
      <c r="K4" s="48">
        <v>30</v>
      </c>
      <c r="L4" s="203">
        <v>0</v>
      </c>
      <c r="M4" s="281">
        <v>5.1999999999999998E-2</v>
      </c>
      <c r="N4" s="282">
        <v>0.86099999999999999</v>
      </c>
      <c r="O4" s="283">
        <v>25</v>
      </c>
      <c r="P4" s="284">
        <v>0.1</v>
      </c>
      <c r="Q4" s="53">
        <v>0</v>
      </c>
      <c r="R4" s="56" t="s">
        <v>98</v>
      </c>
      <c r="T4" s="56" t="s">
        <v>645</v>
      </c>
      <c r="U4" s="273">
        <f>SUMIF($R$3:$R$97,T4,$E$3:$E$97)</f>
        <v>9.3999999999999986E-2</v>
      </c>
      <c r="W4" s="37"/>
      <c r="X4" s="37"/>
      <c r="AE4" s="265" t="s">
        <v>370</v>
      </c>
      <c r="AF4" s="16">
        <v>100</v>
      </c>
      <c r="AG4" s="265" t="s">
        <v>371</v>
      </c>
    </row>
    <row r="5" spans="1:45" ht="29.4" thickBot="1" x14ac:dyDescent="0.35">
      <c r="A5" s="40" t="s">
        <v>642</v>
      </c>
      <c r="B5" s="47" t="s">
        <v>524</v>
      </c>
      <c r="C5" s="46">
        <v>1</v>
      </c>
      <c r="D5" s="305">
        <v>3465</v>
      </c>
      <c r="E5" s="305">
        <v>3465</v>
      </c>
      <c r="F5" s="46" t="s">
        <v>374</v>
      </c>
      <c r="G5" s="306" t="s">
        <v>644</v>
      </c>
      <c r="H5" s="264" t="s">
        <v>496</v>
      </c>
      <c r="I5" s="49">
        <f>PI()*(POWER(K5/1000,2)/4)*J5</f>
        <v>1.4137166941154067E-2</v>
      </c>
      <c r="J5" s="50">
        <v>20</v>
      </c>
      <c r="K5" s="48">
        <v>30</v>
      </c>
      <c r="L5" s="203">
        <v>0</v>
      </c>
      <c r="M5" s="281">
        <v>5.1999999999999998E-2</v>
      </c>
      <c r="N5" s="282">
        <v>0.86099999999999999</v>
      </c>
      <c r="O5" s="283">
        <v>25</v>
      </c>
      <c r="P5" s="284">
        <v>0.1</v>
      </c>
      <c r="Q5" s="53">
        <v>0</v>
      </c>
      <c r="R5" s="56" t="s">
        <v>98</v>
      </c>
      <c r="T5" s="56" t="s">
        <v>646</v>
      </c>
      <c r="U5" s="273">
        <f>SUMIF($R$3:$R$97,T5,$E$3:$E$97)</f>
        <v>3.4000000000000002E-2</v>
      </c>
      <c r="AE5" s="265" t="s">
        <v>376</v>
      </c>
      <c r="AF5" s="16">
        <v>0.1</v>
      </c>
      <c r="AG5" s="265" t="s">
        <v>377</v>
      </c>
    </row>
    <row r="6" spans="1:45" ht="29.4" thickBot="1" x14ac:dyDescent="0.35">
      <c r="A6" s="40" t="s">
        <v>642</v>
      </c>
      <c r="B6" s="47" t="s">
        <v>525</v>
      </c>
      <c r="C6" s="46">
        <v>1</v>
      </c>
      <c r="D6" s="305">
        <v>2000</v>
      </c>
      <c r="E6" s="305">
        <v>2000</v>
      </c>
      <c r="F6" s="46" t="s">
        <v>374</v>
      </c>
      <c r="G6" s="306" t="s">
        <v>644</v>
      </c>
      <c r="H6" s="264" t="s">
        <v>496</v>
      </c>
      <c r="I6" s="49">
        <f t="shared" ref="I6:I30" si="1">PI()*(POWER(K6/1000,2)/4)*J6</f>
        <v>1.4137166941154067E-2</v>
      </c>
      <c r="J6" s="50">
        <v>20</v>
      </c>
      <c r="K6" s="48">
        <v>30</v>
      </c>
      <c r="L6" s="203">
        <v>0</v>
      </c>
      <c r="M6" s="281">
        <v>5.1999999999999998E-2</v>
      </c>
      <c r="N6" s="282">
        <v>0.86099999999999999</v>
      </c>
      <c r="O6" s="283">
        <v>25</v>
      </c>
      <c r="P6" s="284">
        <v>0.1</v>
      </c>
      <c r="Q6" s="53">
        <v>0</v>
      </c>
      <c r="R6" s="56" t="s">
        <v>98</v>
      </c>
      <c r="T6" s="56" t="s">
        <v>495</v>
      </c>
      <c r="U6" s="273">
        <f>SUMIF($R$3:$R$97,T6,$E$3:$E$97)</f>
        <v>994</v>
      </c>
      <c r="AE6" s="265" t="s">
        <v>378</v>
      </c>
      <c r="AF6" s="16">
        <v>30</v>
      </c>
      <c r="AG6" s="265" t="s">
        <v>379</v>
      </c>
    </row>
    <row r="7" spans="1:45" ht="29.4" thickBot="1" x14ac:dyDescent="0.35">
      <c r="A7" s="40" t="s">
        <v>642</v>
      </c>
      <c r="B7" s="47" t="s">
        <v>526</v>
      </c>
      <c r="C7" s="307">
        <v>1</v>
      </c>
      <c r="D7" s="305">
        <v>2000</v>
      </c>
      <c r="E7" s="305">
        <v>2000</v>
      </c>
      <c r="F7" s="46" t="s">
        <v>374</v>
      </c>
      <c r="G7" s="306" t="s">
        <v>644</v>
      </c>
      <c r="H7" s="264" t="s">
        <v>496</v>
      </c>
      <c r="I7" s="49">
        <f t="shared" si="1"/>
        <v>1.4137166941154067E-2</v>
      </c>
      <c r="J7" s="50">
        <v>20</v>
      </c>
      <c r="K7" s="48">
        <v>30</v>
      </c>
      <c r="L7" s="203">
        <v>0</v>
      </c>
      <c r="M7" s="281">
        <v>5.1999999999999998E-2</v>
      </c>
      <c r="N7" s="282">
        <v>0.86099999999999999</v>
      </c>
      <c r="O7" s="283">
        <v>25</v>
      </c>
      <c r="P7" s="284">
        <v>0.1</v>
      </c>
      <c r="Q7" s="53">
        <v>0</v>
      </c>
      <c r="R7" s="56" t="s">
        <v>98</v>
      </c>
      <c r="T7" s="56"/>
      <c r="U7" s="273">
        <f t="shared" ref="U7:U9" si="2">SUMIF($R$3:$R$170,T7,$E$3:$E$170)</f>
        <v>0</v>
      </c>
      <c r="Y7" s="343">
        <v>17151.081999999999</v>
      </c>
      <c r="AE7" s="265" t="s">
        <v>380</v>
      </c>
      <c r="AF7" s="269">
        <f>((AF4/1000)*AF5*POWER(10,6)/(8.31*(AF6+273)))</f>
        <v>3.9715162852025276</v>
      </c>
      <c r="AG7" s="265" t="s">
        <v>381</v>
      </c>
    </row>
    <row r="8" spans="1:45" ht="29.4" thickBot="1" x14ac:dyDescent="0.35">
      <c r="A8" s="40" t="s">
        <v>642</v>
      </c>
      <c r="B8" s="47" t="s">
        <v>527</v>
      </c>
      <c r="C8" s="307">
        <v>1</v>
      </c>
      <c r="D8" s="305">
        <v>2000</v>
      </c>
      <c r="E8" s="305">
        <v>2000</v>
      </c>
      <c r="F8" s="46" t="s">
        <v>374</v>
      </c>
      <c r="G8" s="306" t="s">
        <v>644</v>
      </c>
      <c r="H8" s="264" t="s">
        <v>496</v>
      </c>
      <c r="I8" s="49">
        <f t="shared" si="1"/>
        <v>1.4137166941154067E-2</v>
      </c>
      <c r="J8" s="50">
        <v>20</v>
      </c>
      <c r="K8" s="48">
        <v>30</v>
      </c>
      <c r="L8" s="203">
        <v>0</v>
      </c>
      <c r="M8" s="281">
        <v>5.1999999999999998E-2</v>
      </c>
      <c r="N8" s="282">
        <v>0.86099999999999999</v>
      </c>
      <c r="O8" s="283">
        <v>25</v>
      </c>
      <c r="P8" s="284">
        <v>0.1</v>
      </c>
      <c r="Q8" s="53">
        <v>0</v>
      </c>
      <c r="R8" s="56" t="s">
        <v>98</v>
      </c>
      <c r="T8" s="56"/>
      <c r="U8" s="273">
        <f t="shared" si="2"/>
        <v>0</v>
      </c>
      <c r="Y8" s="344">
        <v>0.128</v>
      </c>
    </row>
    <row r="9" spans="1:45" ht="29.4" thickBot="1" x14ac:dyDescent="0.35">
      <c r="A9" s="40" t="s">
        <v>642</v>
      </c>
      <c r="B9" s="47" t="s">
        <v>528</v>
      </c>
      <c r="C9" s="46">
        <v>1</v>
      </c>
      <c r="D9" s="305">
        <v>14.61</v>
      </c>
      <c r="E9" s="305">
        <v>14.61</v>
      </c>
      <c r="F9" s="46" t="s">
        <v>643</v>
      </c>
      <c r="G9" s="264">
        <v>0.4</v>
      </c>
      <c r="H9" s="264">
        <v>100</v>
      </c>
      <c r="I9" s="49">
        <f t="shared" si="1"/>
        <v>1.4137166941154067E-2</v>
      </c>
      <c r="J9" s="50">
        <v>20</v>
      </c>
      <c r="K9" s="48">
        <v>30</v>
      </c>
      <c r="L9" s="203">
        <v>0</v>
      </c>
      <c r="M9" s="281">
        <v>5.1999999999999998E-2</v>
      </c>
      <c r="N9" s="282">
        <v>0.86099999999999999</v>
      </c>
      <c r="O9" s="283">
        <v>25</v>
      </c>
      <c r="P9" s="284">
        <v>0.1</v>
      </c>
      <c r="Q9" s="53">
        <v>0</v>
      </c>
      <c r="R9" s="56" t="s">
        <v>98</v>
      </c>
      <c r="T9" s="56"/>
      <c r="U9" s="273">
        <f t="shared" si="2"/>
        <v>0</v>
      </c>
      <c r="W9" s="277"/>
      <c r="Y9" s="344">
        <v>994</v>
      </c>
    </row>
    <row r="10" spans="1:45" ht="30.6" customHeight="1" thickBot="1" x14ac:dyDescent="0.35">
      <c r="A10" s="40" t="s">
        <v>642</v>
      </c>
      <c r="B10" s="47" t="s">
        <v>529</v>
      </c>
      <c r="C10" s="46">
        <v>1</v>
      </c>
      <c r="D10" s="305">
        <v>14.61</v>
      </c>
      <c r="E10" s="305">
        <v>14.61</v>
      </c>
      <c r="F10" s="46" t="s">
        <v>643</v>
      </c>
      <c r="G10" s="264">
        <v>0.4</v>
      </c>
      <c r="H10" s="264">
        <v>100</v>
      </c>
      <c r="I10" s="49">
        <f t="shared" si="1"/>
        <v>1.4137166941154067E-2</v>
      </c>
      <c r="J10" s="50">
        <v>20</v>
      </c>
      <c r="K10" s="48">
        <v>30</v>
      </c>
      <c r="L10" s="203">
        <v>0</v>
      </c>
      <c r="M10" s="281">
        <v>5.1999999999999998E-2</v>
      </c>
      <c r="N10" s="282">
        <v>0.86099999999999999</v>
      </c>
      <c r="O10" s="283">
        <v>25</v>
      </c>
      <c r="P10" s="284">
        <v>0.1</v>
      </c>
      <c r="Q10" s="53">
        <v>0</v>
      </c>
      <c r="R10" s="56" t="s">
        <v>98</v>
      </c>
      <c r="T10" s="276"/>
      <c r="U10" s="273"/>
      <c r="Y10" s="3">
        <f>SUM(Y7:Y9)</f>
        <v>18145.21</v>
      </c>
    </row>
    <row r="11" spans="1:45" ht="46.2" customHeight="1" x14ac:dyDescent="0.3">
      <c r="A11" s="40" t="s">
        <v>642</v>
      </c>
      <c r="B11" s="47" t="s">
        <v>530</v>
      </c>
      <c r="C11" s="46">
        <v>1</v>
      </c>
      <c r="D11" s="308">
        <v>8.9469999999999992</v>
      </c>
      <c r="E11" s="308">
        <v>8.9469999999999992</v>
      </c>
      <c r="F11" s="46" t="s">
        <v>643</v>
      </c>
      <c r="G11" s="264">
        <v>0.4</v>
      </c>
      <c r="H11" s="264">
        <v>100</v>
      </c>
      <c r="I11" s="49">
        <f t="shared" si="1"/>
        <v>1.4137166941154067E-2</v>
      </c>
      <c r="J11" s="50">
        <v>20</v>
      </c>
      <c r="K11" s="48">
        <v>30</v>
      </c>
      <c r="L11" s="203">
        <v>0</v>
      </c>
      <c r="M11" s="281">
        <v>5.1999999999999998E-2</v>
      </c>
      <c r="N11" s="282">
        <v>0.86099999999999999</v>
      </c>
      <c r="O11" s="283">
        <v>25</v>
      </c>
      <c r="P11" s="284">
        <v>0.1</v>
      </c>
      <c r="Q11" s="53">
        <v>0</v>
      </c>
      <c r="R11" s="56" t="s">
        <v>98</v>
      </c>
      <c r="T11" s="276"/>
      <c r="U11" s="273"/>
      <c r="AC11" s="47" t="s">
        <v>419</v>
      </c>
      <c r="AD11" s="46">
        <v>1</v>
      </c>
      <c r="AE11" s="272">
        <f t="shared" ref="AE11" si="3">AP11*AQ11*AO11+AP11*(1-AQ11)*AN11+IF(AG11="г.ф.",AN11*AJ11,AO11*AJ11)</f>
        <v>148.94</v>
      </c>
      <c r="AF11" s="272">
        <f t="shared" ref="AF11" si="4">AE11*AD11</f>
        <v>148.94</v>
      </c>
      <c r="AG11" s="46" t="s">
        <v>372</v>
      </c>
      <c r="AH11" s="17">
        <v>1.6</v>
      </c>
      <c r="AI11" s="264" t="s">
        <v>375</v>
      </c>
      <c r="AJ11" s="49">
        <f>PI()*(POWER(AL11/1000,2)/4)*AK11</f>
        <v>0</v>
      </c>
      <c r="AK11" s="50">
        <v>0</v>
      </c>
      <c r="AL11" s="48">
        <v>0</v>
      </c>
      <c r="AM11" s="203">
        <v>0</v>
      </c>
      <c r="AN11" s="41">
        <v>3.5000000000000001E-3</v>
      </c>
      <c r="AO11" s="51">
        <v>0.93</v>
      </c>
      <c r="AP11" s="52">
        <v>200</v>
      </c>
      <c r="AQ11" s="16">
        <v>0.8</v>
      </c>
      <c r="AR11" s="53">
        <v>0</v>
      </c>
      <c r="AS11" s="56" t="s">
        <v>98</v>
      </c>
    </row>
    <row r="12" spans="1:45" ht="28.8" x14ac:dyDescent="0.3">
      <c r="A12" s="40" t="s">
        <v>642</v>
      </c>
      <c r="B12" s="47" t="s">
        <v>531</v>
      </c>
      <c r="C12" s="46">
        <v>1</v>
      </c>
      <c r="D12" s="308">
        <v>8.9469999999999992</v>
      </c>
      <c r="E12" s="308">
        <v>8.9469999999999992</v>
      </c>
      <c r="F12" s="46" t="s">
        <v>643</v>
      </c>
      <c r="G12" s="264">
        <v>0.4</v>
      </c>
      <c r="H12" s="264">
        <v>100</v>
      </c>
      <c r="I12" s="49">
        <f t="shared" si="1"/>
        <v>1.4137166941154067E-2</v>
      </c>
      <c r="J12" s="50">
        <v>20</v>
      </c>
      <c r="K12" s="48">
        <v>30</v>
      </c>
      <c r="L12" s="203">
        <v>0</v>
      </c>
      <c r="M12" s="281">
        <v>5.1999999999999998E-2</v>
      </c>
      <c r="N12" s="282">
        <v>0.86099999999999999</v>
      </c>
      <c r="O12" s="283">
        <v>25</v>
      </c>
      <c r="P12" s="284">
        <v>0.1</v>
      </c>
      <c r="Q12" s="53">
        <v>0</v>
      </c>
      <c r="R12" s="56" t="s">
        <v>98</v>
      </c>
      <c r="Y12" s="345">
        <v>18145.21</v>
      </c>
    </row>
    <row r="13" spans="1:45" ht="28.8" x14ac:dyDescent="0.3">
      <c r="A13" s="40" t="s">
        <v>642</v>
      </c>
      <c r="B13" s="47" t="s">
        <v>532</v>
      </c>
      <c r="C13" s="46">
        <v>1</v>
      </c>
      <c r="D13" s="308">
        <v>0.125</v>
      </c>
      <c r="E13" s="308">
        <v>0.125</v>
      </c>
      <c r="F13" s="46" t="s">
        <v>643</v>
      </c>
      <c r="G13" s="264">
        <v>0.9</v>
      </c>
      <c r="H13" s="264" t="s">
        <v>496</v>
      </c>
      <c r="I13" s="49">
        <f t="shared" si="1"/>
        <v>1.4137166941154067E-2</v>
      </c>
      <c r="J13" s="50">
        <v>20</v>
      </c>
      <c r="K13" s="48">
        <v>30</v>
      </c>
      <c r="L13" s="203">
        <v>0</v>
      </c>
      <c r="M13" s="281">
        <v>5.1999999999999998E-2</v>
      </c>
      <c r="N13" s="282">
        <v>0.86099999999999999</v>
      </c>
      <c r="O13" s="283">
        <v>25</v>
      </c>
      <c r="P13" s="284">
        <v>0.1</v>
      </c>
      <c r="Q13" s="53">
        <v>0</v>
      </c>
      <c r="R13" s="56" t="s">
        <v>98</v>
      </c>
    </row>
    <row r="14" spans="1:45" ht="28.8" x14ac:dyDescent="0.3">
      <c r="A14" s="40" t="s">
        <v>642</v>
      </c>
      <c r="B14" s="47" t="s">
        <v>533</v>
      </c>
      <c r="C14" s="46">
        <v>1</v>
      </c>
      <c r="D14" s="308">
        <v>18.123000000000001</v>
      </c>
      <c r="E14" s="308">
        <v>18.123000000000001</v>
      </c>
      <c r="F14" s="46" t="s">
        <v>643</v>
      </c>
      <c r="G14" s="264">
        <v>0.9</v>
      </c>
      <c r="H14" s="264">
        <v>100</v>
      </c>
      <c r="I14" s="49">
        <f t="shared" si="1"/>
        <v>1.4137166941154067E-2</v>
      </c>
      <c r="J14" s="50">
        <v>20</v>
      </c>
      <c r="K14" s="48">
        <v>30</v>
      </c>
      <c r="L14" s="203">
        <v>0</v>
      </c>
      <c r="M14" s="281">
        <v>5.1999999999999998E-2</v>
      </c>
      <c r="N14" s="282">
        <v>0.86099999999999999</v>
      </c>
      <c r="O14" s="283">
        <v>25</v>
      </c>
      <c r="P14" s="284">
        <v>0.1</v>
      </c>
      <c r="Q14" s="53">
        <v>0</v>
      </c>
      <c r="R14" s="56" t="s">
        <v>98</v>
      </c>
    </row>
    <row r="15" spans="1:45" ht="28.8" x14ac:dyDescent="0.3">
      <c r="A15" s="40" t="s">
        <v>642</v>
      </c>
      <c r="B15" s="47" t="s">
        <v>534</v>
      </c>
      <c r="C15" s="46">
        <v>1</v>
      </c>
      <c r="D15" s="308">
        <v>120.73099999999999</v>
      </c>
      <c r="E15" s="308">
        <v>120.73099999999999</v>
      </c>
      <c r="F15" s="46" t="s">
        <v>643</v>
      </c>
      <c r="G15" s="264">
        <v>0.74</v>
      </c>
      <c r="H15" s="264">
        <v>50</v>
      </c>
      <c r="I15" s="49">
        <f t="shared" si="1"/>
        <v>1.4137166941154067E-2</v>
      </c>
      <c r="J15" s="50">
        <v>20</v>
      </c>
      <c r="K15" s="48">
        <v>30</v>
      </c>
      <c r="L15" s="203">
        <v>0</v>
      </c>
      <c r="M15" s="281">
        <v>5.1999999999999998E-2</v>
      </c>
      <c r="N15" s="282">
        <v>0.86099999999999999</v>
      </c>
      <c r="O15" s="283">
        <v>25</v>
      </c>
      <c r="P15" s="284">
        <v>0.1</v>
      </c>
      <c r="Q15" s="53">
        <v>0</v>
      </c>
      <c r="R15" s="56" t="s">
        <v>98</v>
      </c>
    </row>
    <row r="16" spans="1:45" ht="28.8" x14ac:dyDescent="0.3">
      <c r="A16" s="40" t="s">
        <v>642</v>
      </c>
      <c r="B16" s="47" t="s">
        <v>535</v>
      </c>
      <c r="C16" s="46">
        <v>1</v>
      </c>
      <c r="D16" s="308">
        <v>120.73099999999999</v>
      </c>
      <c r="E16" s="308">
        <v>120.73099999999999</v>
      </c>
      <c r="F16" s="46" t="s">
        <v>643</v>
      </c>
      <c r="G16" s="264">
        <v>0.74</v>
      </c>
      <c r="H16" s="264">
        <v>50</v>
      </c>
      <c r="I16" s="49">
        <f t="shared" si="1"/>
        <v>1.4137166941154067E-2</v>
      </c>
      <c r="J16" s="50">
        <v>20</v>
      </c>
      <c r="K16" s="48">
        <v>30</v>
      </c>
      <c r="L16" s="203">
        <v>0</v>
      </c>
      <c r="M16" s="281">
        <v>5.1999999999999998E-2</v>
      </c>
      <c r="N16" s="282">
        <v>0.86099999999999999</v>
      </c>
      <c r="O16" s="283">
        <v>25</v>
      </c>
      <c r="P16" s="284">
        <v>0.1</v>
      </c>
      <c r="Q16" s="53">
        <v>0</v>
      </c>
      <c r="R16" s="56" t="s">
        <v>98</v>
      </c>
    </row>
    <row r="17" spans="1:25" x14ac:dyDescent="0.3">
      <c r="A17" s="40" t="s">
        <v>642</v>
      </c>
      <c r="B17" s="47" t="s">
        <v>536</v>
      </c>
      <c r="C17" s="46">
        <v>1</v>
      </c>
      <c r="D17" s="308">
        <v>123.592</v>
      </c>
      <c r="E17" s="308">
        <v>123.592</v>
      </c>
      <c r="F17" s="46" t="s">
        <v>374</v>
      </c>
      <c r="G17" s="264">
        <v>0.9</v>
      </c>
      <c r="H17" s="264">
        <v>50</v>
      </c>
      <c r="I17" s="49">
        <f t="shared" si="1"/>
        <v>1.4137166941154067E-2</v>
      </c>
      <c r="J17" s="50">
        <v>20</v>
      </c>
      <c r="K17" s="48">
        <v>30</v>
      </c>
      <c r="L17" s="203">
        <v>0</v>
      </c>
      <c r="M17" s="281">
        <v>5.1999999999999998E-2</v>
      </c>
      <c r="N17" s="282">
        <v>0.86099999999999999</v>
      </c>
      <c r="O17" s="283">
        <v>25</v>
      </c>
      <c r="P17" s="284">
        <v>0.1</v>
      </c>
      <c r="Q17" s="53">
        <v>0</v>
      </c>
      <c r="R17" s="56" t="s">
        <v>98</v>
      </c>
    </row>
    <row r="18" spans="1:25" x14ac:dyDescent="0.3">
      <c r="A18" s="40" t="s">
        <v>642</v>
      </c>
      <c r="B18" s="47" t="s">
        <v>537</v>
      </c>
      <c r="C18" s="46">
        <v>1</v>
      </c>
      <c r="D18" s="308">
        <v>123.592</v>
      </c>
      <c r="E18" s="308">
        <v>123.592</v>
      </c>
      <c r="F18" s="46" t="s">
        <v>374</v>
      </c>
      <c r="G18" s="264">
        <v>0.9</v>
      </c>
      <c r="H18" s="264">
        <v>50</v>
      </c>
      <c r="I18" s="49">
        <f t="shared" si="1"/>
        <v>1.4137166941154067E-2</v>
      </c>
      <c r="J18" s="50">
        <v>20</v>
      </c>
      <c r="K18" s="48">
        <v>30</v>
      </c>
      <c r="L18" s="203">
        <v>0</v>
      </c>
      <c r="M18" s="281">
        <v>5.1999999999999998E-2</v>
      </c>
      <c r="N18" s="282">
        <v>0.86099999999999999</v>
      </c>
      <c r="O18" s="283">
        <v>25</v>
      </c>
      <c r="P18" s="284">
        <v>0.1</v>
      </c>
      <c r="Q18" s="53">
        <v>0</v>
      </c>
      <c r="R18" s="56" t="s">
        <v>98</v>
      </c>
      <c r="Y18" s="7"/>
    </row>
    <row r="19" spans="1:25" ht="28.8" x14ac:dyDescent="0.3">
      <c r="A19" s="40" t="s">
        <v>642</v>
      </c>
      <c r="B19" s="47" t="s">
        <v>538</v>
      </c>
      <c r="C19" s="46">
        <v>1</v>
      </c>
      <c r="D19" s="308">
        <v>2.8849999999999998</v>
      </c>
      <c r="E19" s="308">
        <v>2.8849999999999998</v>
      </c>
      <c r="F19" s="46" t="s">
        <v>643</v>
      </c>
      <c r="G19" s="264">
        <v>1.6</v>
      </c>
      <c r="H19" s="306">
        <v>100</v>
      </c>
      <c r="I19" s="49">
        <f t="shared" si="1"/>
        <v>1.4137166941154067E-2</v>
      </c>
      <c r="J19" s="50">
        <v>20</v>
      </c>
      <c r="K19" s="48">
        <v>30</v>
      </c>
      <c r="L19" s="203">
        <v>0</v>
      </c>
      <c r="M19" s="281">
        <v>5.1999999999999998E-2</v>
      </c>
      <c r="N19" s="282">
        <v>0.86099999999999999</v>
      </c>
      <c r="O19" s="283">
        <v>25</v>
      </c>
      <c r="P19" s="284">
        <v>0.1</v>
      </c>
      <c r="Q19" s="53">
        <v>0</v>
      </c>
      <c r="R19" s="56" t="s">
        <v>98</v>
      </c>
      <c r="Y19" s="7"/>
    </row>
    <row r="20" spans="1:25" ht="28.8" x14ac:dyDescent="0.3">
      <c r="A20" s="40" t="s">
        <v>642</v>
      </c>
      <c r="B20" s="47" t="s">
        <v>539</v>
      </c>
      <c r="C20" s="46">
        <v>1</v>
      </c>
      <c r="D20" s="308">
        <v>2.8849999999999998</v>
      </c>
      <c r="E20" s="308">
        <v>2.8849999999999998</v>
      </c>
      <c r="F20" s="46" t="s">
        <v>643</v>
      </c>
      <c r="G20" s="264">
        <v>1.6</v>
      </c>
      <c r="H20" s="306">
        <v>100</v>
      </c>
      <c r="I20" s="49">
        <f t="shared" si="1"/>
        <v>1.4137166941154067E-2</v>
      </c>
      <c r="J20" s="50">
        <v>20</v>
      </c>
      <c r="K20" s="48">
        <v>30</v>
      </c>
      <c r="L20" s="203">
        <v>0</v>
      </c>
      <c r="M20" s="281">
        <v>5.1999999999999998E-2</v>
      </c>
      <c r="N20" s="282">
        <v>0.86099999999999999</v>
      </c>
      <c r="O20" s="283">
        <v>25</v>
      </c>
      <c r="P20" s="284">
        <v>0.1</v>
      </c>
      <c r="Q20" s="53">
        <v>0</v>
      </c>
      <c r="R20" s="56" t="s">
        <v>98</v>
      </c>
      <c r="Y20" s="7"/>
    </row>
    <row r="21" spans="1:25" ht="15.6" x14ac:dyDescent="0.3">
      <c r="A21" s="40" t="s">
        <v>642</v>
      </c>
      <c r="B21" s="47" t="s">
        <v>540</v>
      </c>
      <c r="C21" s="46">
        <v>1</v>
      </c>
      <c r="D21" s="308">
        <v>6.5380000000000003</v>
      </c>
      <c r="E21" s="309">
        <v>6.5380000000000003</v>
      </c>
      <c r="F21" s="46" t="s">
        <v>374</v>
      </c>
      <c r="G21" s="264">
        <v>3</v>
      </c>
      <c r="H21" s="264">
        <v>80</v>
      </c>
      <c r="I21" s="49">
        <f t="shared" si="1"/>
        <v>1.4137166941154067E-2</v>
      </c>
      <c r="J21" s="50">
        <v>20</v>
      </c>
      <c r="K21" s="48">
        <v>30</v>
      </c>
      <c r="L21" s="203">
        <v>0</v>
      </c>
      <c r="M21" s="281">
        <v>5.1999999999999998E-2</v>
      </c>
      <c r="N21" s="282">
        <v>0.86099999999999999</v>
      </c>
      <c r="O21" s="283">
        <v>25</v>
      </c>
      <c r="P21" s="284">
        <v>0.1</v>
      </c>
      <c r="Q21" s="53">
        <v>0</v>
      </c>
      <c r="R21" s="56" t="s">
        <v>98</v>
      </c>
      <c r="Y21" s="7"/>
    </row>
    <row r="22" spans="1:25" ht="15.6" x14ac:dyDescent="0.3">
      <c r="A22" s="40" t="s">
        <v>642</v>
      </c>
      <c r="B22" s="47" t="s">
        <v>541</v>
      </c>
      <c r="C22" s="46">
        <v>1</v>
      </c>
      <c r="D22" s="308">
        <v>6.5380000000000003</v>
      </c>
      <c r="E22" s="309">
        <v>6.5380000000000003</v>
      </c>
      <c r="F22" s="46" t="s">
        <v>374</v>
      </c>
      <c r="G22" s="264">
        <v>3</v>
      </c>
      <c r="H22" s="264">
        <v>80</v>
      </c>
      <c r="I22" s="49">
        <f t="shared" si="1"/>
        <v>1.4137166941154067E-2</v>
      </c>
      <c r="J22" s="50">
        <v>20</v>
      </c>
      <c r="K22" s="48">
        <v>30</v>
      </c>
      <c r="L22" s="203">
        <v>0</v>
      </c>
      <c r="M22" s="281">
        <v>5.1999999999999998E-2</v>
      </c>
      <c r="N22" s="282">
        <v>0.86099999999999999</v>
      </c>
      <c r="O22" s="283">
        <v>25</v>
      </c>
      <c r="P22" s="284">
        <v>0.1</v>
      </c>
      <c r="Q22" s="53">
        <v>0</v>
      </c>
      <c r="R22" s="56" t="s">
        <v>98</v>
      </c>
    </row>
    <row r="23" spans="1:25" ht="15.6" x14ac:dyDescent="0.3">
      <c r="A23" s="40" t="s">
        <v>642</v>
      </c>
      <c r="B23" s="47" t="s">
        <v>542</v>
      </c>
      <c r="C23" s="46">
        <v>1</v>
      </c>
      <c r="D23" s="308">
        <v>6.5380000000000003</v>
      </c>
      <c r="E23" s="309">
        <v>6.5380000000000003</v>
      </c>
      <c r="F23" s="46" t="s">
        <v>374</v>
      </c>
      <c r="G23" s="264">
        <v>3</v>
      </c>
      <c r="H23" s="264">
        <v>80</v>
      </c>
      <c r="I23" s="49">
        <f t="shared" si="1"/>
        <v>1.4137166941154067E-2</v>
      </c>
      <c r="J23" s="50">
        <v>20</v>
      </c>
      <c r="K23" s="48">
        <v>30</v>
      </c>
      <c r="L23" s="203">
        <v>0</v>
      </c>
      <c r="M23" s="281">
        <v>5.1999999999999998E-2</v>
      </c>
      <c r="N23" s="282">
        <v>0.86099999999999999</v>
      </c>
      <c r="O23" s="283">
        <v>25</v>
      </c>
      <c r="P23" s="284">
        <v>0.1</v>
      </c>
      <c r="Q23" s="53">
        <v>0</v>
      </c>
      <c r="R23" s="56" t="s">
        <v>98</v>
      </c>
    </row>
    <row r="24" spans="1:25" ht="15.6" x14ac:dyDescent="0.3">
      <c r="A24" s="40" t="s">
        <v>642</v>
      </c>
      <c r="B24" s="47" t="s">
        <v>543</v>
      </c>
      <c r="C24" s="46">
        <v>1</v>
      </c>
      <c r="D24" s="308">
        <v>6.5380000000000003</v>
      </c>
      <c r="E24" s="309">
        <v>6.5380000000000003</v>
      </c>
      <c r="F24" s="46" t="s">
        <v>374</v>
      </c>
      <c r="G24" s="264">
        <v>3</v>
      </c>
      <c r="H24" s="264">
        <v>80</v>
      </c>
      <c r="I24" s="49">
        <f t="shared" si="1"/>
        <v>1.4137166941154067E-2</v>
      </c>
      <c r="J24" s="50">
        <v>20</v>
      </c>
      <c r="K24" s="48">
        <v>30</v>
      </c>
      <c r="L24" s="203">
        <v>0</v>
      </c>
      <c r="M24" s="281">
        <v>5.1999999999999998E-2</v>
      </c>
      <c r="N24" s="282">
        <v>0.86099999999999999</v>
      </c>
      <c r="O24" s="283">
        <v>25</v>
      </c>
      <c r="P24" s="284">
        <v>0.1</v>
      </c>
      <c r="Q24" s="53">
        <v>0</v>
      </c>
      <c r="R24" s="56" t="s">
        <v>98</v>
      </c>
    </row>
    <row r="25" spans="1:25" ht="28.8" x14ac:dyDescent="0.3">
      <c r="A25" s="40" t="s">
        <v>642</v>
      </c>
      <c r="B25" s="47" t="s">
        <v>544</v>
      </c>
      <c r="C25" s="46">
        <v>1</v>
      </c>
      <c r="D25" s="305">
        <v>0.01</v>
      </c>
      <c r="E25" s="305">
        <v>0.01</v>
      </c>
      <c r="F25" s="46" t="s">
        <v>374</v>
      </c>
      <c r="G25" s="264" t="s">
        <v>644</v>
      </c>
      <c r="H25" s="264" t="s">
        <v>496</v>
      </c>
      <c r="I25" s="49">
        <f t="shared" si="1"/>
        <v>1.4137166941154067E-2</v>
      </c>
      <c r="J25" s="50">
        <v>20</v>
      </c>
      <c r="K25" s="48">
        <v>30</v>
      </c>
      <c r="L25" s="203">
        <v>0</v>
      </c>
      <c r="M25" s="281">
        <v>5.1999999999999998E-2</v>
      </c>
      <c r="N25" s="282">
        <v>0.86099999999999999</v>
      </c>
      <c r="O25" s="283">
        <v>25</v>
      </c>
      <c r="P25" s="284">
        <v>0.1</v>
      </c>
      <c r="Q25" s="53">
        <v>0</v>
      </c>
      <c r="R25" s="56" t="s">
        <v>645</v>
      </c>
    </row>
    <row r="26" spans="1:25" ht="28.8" x14ac:dyDescent="0.3">
      <c r="A26" s="40" t="s">
        <v>642</v>
      </c>
      <c r="B26" s="47" t="s">
        <v>545</v>
      </c>
      <c r="C26" s="46">
        <v>1</v>
      </c>
      <c r="D26" s="305">
        <v>0.01</v>
      </c>
      <c r="E26" s="305">
        <v>0.01</v>
      </c>
      <c r="F26" s="46" t="s">
        <v>374</v>
      </c>
      <c r="G26" s="264" t="s">
        <v>644</v>
      </c>
      <c r="H26" s="264" t="s">
        <v>496</v>
      </c>
      <c r="I26" s="49">
        <f t="shared" si="1"/>
        <v>1.4137166941154067E-2</v>
      </c>
      <c r="J26" s="50">
        <v>20</v>
      </c>
      <c r="K26" s="48">
        <v>30</v>
      </c>
      <c r="L26" s="203">
        <v>0</v>
      </c>
      <c r="M26" s="281">
        <v>5.1999999999999998E-2</v>
      </c>
      <c r="N26" s="282">
        <v>0.86099999999999999</v>
      </c>
      <c r="O26" s="283">
        <v>25</v>
      </c>
      <c r="P26" s="284">
        <v>0.1</v>
      </c>
      <c r="Q26" s="53">
        <v>0</v>
      </c>
      <c r="R26" s="56" t="s">
        <v>645</v>
      </c>
    </row>
    <row r="27" spans="1:25" ht="28.8" x14ac:dyDescent="0.3">
      <c r="A27" s="40" t="s">
        <v>642</v>
      </c>
      <c r="B27" s="47" t="s">
        <v>546</v>
      </c>
      <c r="C27" s="46">
        <v>1</v>
      </c>
      <c r="D27" s="305">
        <v>0.01</v>
      </c>
      <c r="E27" s="305">
        <v>0.01</v>
      </c>
      <c r="F27" s="46" t="s">
        <v>374</v>
      </c>
      <c r="G27" s="264" t="s">
        <v>644</v>
      </c>
      <c r="H27" s="264" t="s">
        <v>496</v>
      </c>
      <c r="I27" s="49">
        <f t="shared" si="1"/>
        <v>1.4137166941154067E-2</v>
      </c>
      <c r="J27" s="50">
        <v>20</v>
      </c>
      <c r="K27" s="48">
        <v>30</v>
      </c>
      <c r="L27" s="203">
        <v>0</v>
      </c>
      <c r="M27" s="281">
        <v>5.1999999999999998E-2</v>
      </c>
      <c r="N27" s="282">
        <v>0.86099999999999999</v>
      </c>
      <c r="O27" s="283">
        <v>25</v>
      </c>
      <c r="P27" s="284">
        <v>0.1</v>
      </c>
      <c r="Q27" s="53">
        <v>0</v>
      </c>
      <c r="R27" s="56" t="s">
        <v>645</v>
      </c>
    </row>
    <row r="28" spans="1:25" ht="28.8" x14ac:dyDescent="0.3">
      <c r="A28" s="40" t="s">
        <v>642</v>
      </c>
      <c r="B28" s="47" t="s">
        <v>547</v>
      </c>
      <c r="C28" s="46">
        <v>1</v>
      </c>
      <c r="D28" s="305">
        <v>0.01</v>
      </c>
      <c r="E28" s="305">
        <v>0.01</v>
      </c>
      <c r="F28" s="46" t="s">
        <v>374</v>
      </c>
      <c r="G28" s="264" t="s">
        <v>644</v>
      </c>
      <c r="H28" s="264" t="s">
        <v>496</v>
      </c>
      <c r="I28" s="49">
        <f t="shared" si="1"/>
        <v>1.4137166941154067E-2</v>
      </c>
      <c r="J28" s="50">
        <v>20</v>
      </c>
      <c r="K28" s="48">
        <v>30</v>
      </c>
      <c r="L28" s="203">
        <v>0</v>
      </c>
      <c r="M28" s="281">
        <v>5.1999999999999998E-2</v>
      </c>
      <c r="N28" s="282">
        <v>0.86099999999999999</v>
      </c>
      <c r="O28" s="283">
        <v>25</v>
      </c>
      <c r="P28" s="284">
        <v>0.1</v>
      </c>
      <c r="Q28" s="53">
        <v>0</v>
      </c>
      <c r="R28" s="56" t="s">
        <v>646</v>
      </c>
    </row>
    <row r="29" spans="1:25" ht="28.8" x14ac:dyDescent="0.3">
      <c r="A29" s="40" t="s">
        <v>642</v>
      </c>
      <c r="B29" s="47" t="s">
        <v>548</v>
      </c>
      <c r="C29" s="46">
        <v>1</v>
      </c>
      <c r="D29" s="305">
        <v>0.01</v>
      </c>
      <c r="E29" s="305">
        <v>0.01</v>
      </c>
      <c r="F29" s="46" t="s">
        <v>374</v>
      </c>
      <c r="G29" s="264" t="s">
        <v>644</v>
      </c>
      <c r="H29" s="264" t="s">
        <v>496</v>
      </c>
      <c r="I29" s="49">
        <f t="shared" si="1"/>
        <v>1.4137166941154067E-2</v>
      </c>
      <c r="J29" s="50">
        <v>20</v>
      </c>
      <c r="K29" s="48">
        <v>30</v>
      </c>
      <c r="L29" s="203">
        <v>0</v>
      </c>
      <c r="M29" s="281">
        <v>5.1999999999999998E-2</v>
      </c>
      <c r="N29" s="282">
        <v>0.86099999999999999</v>
      </c>
      <c r="O29" s="283">
        <v>25</v>
      </c>
      <c r="P29" s="284">
        <v>0.1</v>
      </c>
      <c r="Q29" s="53">
        <v>0</v>
      </c>
      <c r="R29" s="56" t="s">
        <v>646</v>
      </c>
    </row>
    <row r="30" spans="1:25" x14ac:dyDescent="0.3">
      <c r="A30" s="40" t="s">
        <v>642</v>
      </c>
      <c r="B30" s="47" t="s">
        <v>549</v>
      </c>
      <c r="C30" s="46">
        <v>1</v>
      </c>
      <c r="D30" s="305">
        <v>0.01</v>
      </c>
      <c r="E30" s="305">
        <v>0.01</v>
      </c>
      <c r="F30" s="46" t="s">
        <v>374</v>
      </c>
      <c r="G30" s="264" t="s">
        <v>644</v>
      </c>
      <c r="H30" s="264" t="s">
        <v>496</v>
      </c>
      <c r="I30" s="49">
        <f t="shared" si="1"/>
        <v>1.4137166941154067E-2</v>
      </c>
      <c r="J30" s="50">
        <v>20</v>
      </c>
      <c r="K30" s="48">
        <v>30</v>
      </c>
      <c r="L30" s="203">
        <v>0</v>
      </c>
      <c r="M30" s="281">
        <v>5.1999999999999998E-2</v>
      </c>
      <c r="N30" s="282">
        <v>0.86099999999999999</v>
      </c>
      <c r="O30" s="283">
        <v>25</v>
      </c>
      <c r="P30" s="284">
        <v>0.1</v>
      </c>
      <c r="Q30" s="53">
        <v>0</v>
      </c>
      <c r="R30" s="56" t="s">
        <v>645</v>
      </c>
    </row>
    <row r="31" spans="1:25" x14ac:dyDescent="0.3">
      <c r="A31" s="40" t="s">
        <v>642</v>
      </c>
      <c r="B31" s="47" t="s">
        <v>550</v>
      </c>
      <c r="C31" s="46">
        <v>1</v>
      </c>
      <c r="D31" s="308">
        <v>0.92600000000000005</v>
      </c>
      <c r="E31" s="308">
        <v>0.92600000000000005</v>
      </c>
      <c r="F31" s="46" t="s">
        <v>374</v>
      </c>
      <c r="G31" s="264" t="s">
        <v>644</v>
      </c>
      <c r="H31" s="264" t="s">
        <v>496</v>
      </c>
      <c r="I31" s="49">
        <f t="shared" ref="I31:I32" si="5">PI()*(POWER(K31/1000,2)/4)*J31</f>
        <v>1.4137166941154067E-2</v>
      </c>
      <c r="J31" s="50">
        <v>20</v>
      </c>
      <c r="K31" s="48">
        <v>30</v>
      </c>
      <c r="L31" s="203">
        <v>0</v>
      </c>
      <c r="M31" s="281">
        <v>5.1999999999999998E-2</v>
      </c>
      <c r="N31" s="282">
        <v>0.86099999999999999</v>
      </c>
      <c r="O31" s="283">
        <v>25</v>
      </c>
      <c r="P31" s="284">
        <v>0.1</v>
      </c>
      <c r="Q31" s="53">
        <v>0</v>
      </c>
      <c r="R31" s="56" t="s">
        <v>98</v>
      </c>
    </row>
    <row r="32" spans="1:25" x14ac:dyDescent="0.3">
      <c r="A32" s="40" t="s">
        <v>642</v>
      </c>
      <c r="B32" s="47" t="s">
        <v>551</v>
      </c>
      <c r="C32" s="46">
        <v>1</v>
      </c>
      <c r="D32" s="308">
        <v>7.4059999999999997</v>
      </c>
      <c r="E32" s="308">
        <v>7.4059999999999997</v>
      </c>
      <c r="F32" s="46" t="s">
        <v>374</v>
      </c>
      <c r="G32" s="264" t="s">
        <v>644</v>
      </c>
      <c r="H32" s="264" t="s">
        <v>496</v>
      </c>
      <c r="I32" s="49">
        <f t="shared" si="5"/>
        <v>1.4137166941154067E-2</v>
      </c>
      <c r="J32" s="50">
        <v>20</v>
      </c>
      <c r="K32" s="48">
        <v>30</v>
      </c>
      <c r="L32" s="203">
        <v>0</v>
      </c>
      <c r="M32" s="281">
        <v>5.1999999999999998E-2</v>
      </c>
      <c r="N32" s="282">
        <v>0.86099999999999999</v>
      </c>
      <c r="O32" s="283">
        <v>25</v>
      </c>
      <c r="P32" s="284">
        <v>0.1</v>
      </c>
      <c r="Q32" s="53">
        <v>0</v>
      </c>
      <c r="R32" s="56" t="s">
        <v>98</v>
      </c>
    </row>
    <row r="33" spans="1:20" x14ac:dyDescent="0.3">
      <c r="A33" s="40" t="s">
        <v>642</v>
      </c>
      <c r="B33" s="47" t="s">
        <v>552</v>
      </c>
      <c r="C33" s="46">
        <v>1</v>
      </c>
      <c r="D33" s="308">
        <v>3.5019999999999998</v>
      </c>
      <c r="E33" s="308">
        <v>3.5019999999999998</v>
      </c>
      <c r="F33" s="46" t="s">
        <v>374</v>
      </c>
      <c r="G33" s="264" t="s">
        <v>644</v>
      </c>
      <c r="H33" s="264" t="s">
        <v>496</v>
      </c>
      <c r="I33" s="49">
        <f t="shared" ref="I33:I96" si="6">PI()*(POWER(K33/1000,2)/4)*J33</f>
        <v>1.4137166941154067E-2</v>
      </c>
      <c r="J33" s="50">
        <v>20</v>
      </c>
      <c r="K33" s="48">
        <v>30</v>
      </c>
      <c r="L33" s="203">
        <v>0</v>
      </c>
      <c r="M33" s="281">
        <v>5.1999999999999998E-2</v>
      </c>
      <c r="N33" s="282">
        <v>0.86099999999999999</v>
      </c>
      <c r="O33" s="283">
        <v>25</v>
      </c>
      <c r="P33" s="284">
        <v>0.1</v>
      </c>
      <c r="Q33" s="53">
        <v>0</v>
      </c>
      <c r="R33" s="56" t="s">
        <v>98</v>
      </c>
    </row>
    <row r="34" spans="1:20" x14ac:dyDescent="0.3">
      <c r="A34" s="40" t="s">
        <v>642</v>
      </c>
      <c r="B34" s="47" t="s">
        <v>553</v>
      </c>
      <c r="C34" s="46">
        <v>1</v>
      </c>
      <c r="D34" s="308">
        <v>0.5</v>
      </c>
      <c r="E34" s="308">
        <v>0.5</v>
      </c>
      <c r="F34" s="46" t="s">
        <v>374</v>
      </c>
      <c r="G34" s="264" t="s">
        <v>644</v>
      </c>
      <c r="H34" s="264" t="s">
        <v>496</v>
      </c>
      <c r="I34" s="49">
        <f t="shared" si="6"/>
        <v>1.4137166941154067E-2</v>
      </c>
      <c r="J34" s="50">
        <v>20</v>
      </c>
      <c r="K34" s="48">
        <v>30</v>
      </c>
      <c r="L34" s="203">
        <v>0</v>
      </c>
      <c r="M34" s="281">
        <v>5.1999999999999998E-2</v>
      </c>
      <c r="N34" s="282">
        <v>0.86099999999999999</v>
      </c>
      <c r="O34" s="283">
        <v>25</v>
      </c>
      <c r="P34" s="284">
        <v>0.1</v>
      </c>
      <c r="Q34" s="53">
        <v>0</v>
      </c>
      <c r="R34" s="56" t="s">
        <v>98</v>
      </c>
    </row>
    <row r="35" spans="1:20" x14ac:dyDescent="0.3">
      <c r="A35" s="40" t="s">
        <v>642</v>
      </c>
      <c r="B35" s="47" t="s">
        <v>554</v>
      </c>
      <c r="C35" s="46">
        <v>1</v>
      </c>
      <c r="D35" s="305">
        <v>0.01</v>
      </c>
      <c r="E35" s="305">
        <v>0.01</v>
      </c>
      <c r="F35" s="46" t="s">
        <v>374</v>
      </c>
      <c r="G35" s="264" t="s">
        <v>644</v>
      </c>
      <c r="H35" s="264" t="s">
        <v>496</v>
      </c>
      <c r="I35" s="49">
        <f t="shared" si="6"/>
        <v>1.4137166941154067E-2</v>
      </c>
      <c r="J35" s="50">
        <v>20</v>
      </c>
      <c r="K35" s="48">
        <v>30</v>
      </c>
      <c r="L35" s="203">
        <v>0</v>
      </c>
      <c r="M35" s="281">
        <v>5.1999999999999998E-2</v>
      </c>
      <c r="N35" s="282">
        <v>0.86099999999999999</v>
      </c>
      <c r="O35" s="283">
        <v>25</v>
      </c>
      <c r="P35" s="284">
        <v>0.1</v>
      </c>
      <c r="Q35" s="53">
        <v>0</v>
      </c>
      <c r="R35" s="56" t="s">
        <v>98</v>
      </c>
    </row>
    <row r="36" spans="1:20" x14ac:dyDescent="0.3">
      <c r="A36" s="40" t="s">
        <v>642</v>
      </c>
      <c r="B36" s="47" t="s">
        <v>555</v>
      </c>
      <c r="C36" s="46">
        <v>1</v>
      </c>
      <c r="D36" s="308">
        <v>5.0049999999999999</v>
      </c>
      <c r="E36" s="308">
        <v>5.0049999999999999</v>
      </c>
      <c r="F36" s="46" t="s">
        <v>374</v>
      </c>
      <c r="G36" s="264" t="s">
        <v>644</v>
      </c>
      <c r="H36" s="264" t="s">
        <v>496</v>
      </c>
      <c r="I36" s="49">
        <f t="shared" si="6"/>
        <v>1.4137166941154067E-2</v>
      </c>
      <c r="J36" s="50">
        <v>20</v>
      </c>
      <c r="K36" s="48">
        <v>30</v>
      </c>
      <c r="L36" s="203">
        <v>0</v>
      </c>
      <c r="M36" s="281">
        <v>5.1999999999999998E-2</v>
      </c>
      <c r="N36" s="282">
        <v>0.86099999999999999</v>
      </c>
      <c r="O36" s="283">
        <v>25</v>
      </c>
      <c r="P36" s="284">
        <v>0.1</v>
      </c>
      <c r="Q36" s="53">
        <v>0</v>
      </c>
      <c r="R36" s="56" t="s">
        <v>98</v>
      </c>
    </row>
    <row r="37" spans="1:20" ht="28.8" x14ac:dyDescent="0.3">
      <c r="A37" s="40" t="s">
        <v>642</v>
      </c>
      <c r="B37" s="47" t="s">
        <v>556</v>
      </c>
      <c r="C37" s="46">
        <v>1</v>
      </c>
      <c r="D37" s="308">
        <v>1.3380000000000001</v>
      </c>
      <c r="E37" s="308">
        <v>1.3380000000000001</v>
      </c>
      <c r="F37" s="46" t="s">
        <v>643</v>
      </c>
      <c r="G37" s="264" t="s">
        <v>644</v>
      </c>
      <c r="H37" s="264" t="s">
        <v>496</v>
      </c>
      <c r="I37" s="49">
        <f t="shared" si="6"/>
        <v>1.4137166941154067E-2</v>
      </c>
      <c r="J37" s="50">
        <v>20</v>
      </c>
      <c r="K37" s="48">
        <v>30</v>
      </c>
      <c r="L37" s="203">
        <v>0</v>
      </c>
      <c r="M37" s="281">
        <v>5.1999999999999998E-2</v>
      </c>
      <c r="N37" s="282">
        <v>0.86099999999999999</v>
      </c>
      <c r="O37" s="283">
        <v>25</v>
      </c>
      <c r="P37" s="284">
        <v>0.1</v>
      </c>
      <c r="Q37" s="53">
        <v>0</v>
      </c>
      <c r="R37" s="56" t="s">
        <v>494</v>
      </c>
    </row>
    <row r="38" spans="1:20" x14ac:dyDescent="0.3">
      <c r="A38" s="40" t="s">
        <v>642</v>
      </c>
      <c r="B38" s="47" t="s">
        <v>557</v>
      </c>
      <c r="C38" s="46">
        <v>1</v>
      </c>
      <c r="D38" s="308">
        <v>0.88500000000000001</v>
      </c>
      <c r="E38" s="308">
        <v>0.88500000000000001</v>
      </c>
      <c r="F38" s="46" t="s">
        <v>374</v>
      </c>
      <c r="G38" s="264" t="s">
        <v>644</v>
      </c>
      <c r="H38" s="264" t="s">
        <v>496</v>
      </c>
      <c r="I38" s="49">
        <f t="shared" si="6"/>
        <v>1.4137166941154067E-2</v>
      </c>
      <c r="J38" s="50">
        <v>20</v>
      </c>
      <c r="K38" s="48">
        <v>30</v>
      </c>
      <c r="L38" s="203">
        <v>0</v>
      </c>
      <c r="M38" s="281">
        <v>5.1999999999999998E-2</v>
      </c>
      <c r="N38" s="282">
        <v>0.86099999999999999</v>
      </c>
      <c r="O38" s="283">
        <v>25</v>
      </c>
      <c r="P38" s="284">
        <v>0.1</v>
      </c>
      <c r="Q38" s="53">
        <v>0</v>
      </c>
      <c r="R38" s="56" t="s">
        <v>98</v>
      </c>
    </row>
    <row r="39" spans="1:20" x14ac:dyDescent="0.3">
      <c r="A39" s="40" t="s">
        <v>642</v>
      </c>
      <c r="B39" s="47" t="s">
        <v>558</v>
      </c>
      <c r="C39" s="46">
        <v>1</v>
      </c>
      <c r="D39" s="308">
        <v>0.152</v>
      </c>
      <c r="E39" s="308">
        <v>0.152</v>
      </c>
      <c r="F39" s="46" t="s">
        <v>374</v>
      </c>
      <c r="G39" s="264">
        <v>4</v>
      </c>
      <c r="H39" s="264" t="s">
        <v>496</v>
      </c>
      <c r="I39" s="49">
        <f t="shared" si="6"/>
        <v>1.4137166941154067E-2</v>
      </c>
      <c r="J39" s="50">
        <v>20</v>
      </c>
      <c r="K39" s="48">
        <v>30</v>
      </c>
      <c r="L39" s="203">
        <v>0</v>
      </c>
      <c r="M39" s="281">
        <v>5.1999999999999998E-2</v>
      </c>
      <c r="N39" s="282">
        <v>0.86099999999999999</v>
      </c>
      <c r="O39" s="283">
        <v>25</v>
      </c>
      <c r="P39" s="284">
        <v>0.1</v>
      </c>
      <c r="Q39" s="53">
        <v>0</v>
      </c>
      <c r="R39" s="56" t="s">
        <v>98</v>
      </c>
    </row>
    <row r="40" spans="1:20" x14ac:dyDescent="0.3">
      <c r="A40" s="40" t="s">
        <v>642</v>
      </c>
      <c r="B40" s="47" t="s">
        <v>558</v>
      </c>
      <c r="C40" s="46">
        <v>1</v>
      </c>
      <c r="D40" s="308">
        <v>0.152</v>
      </c>
      <c r="E40" s="308">
        <v>0.152</v>
      </c>
      <c r="F40" s="46" t="s">
        <v>374</v>
      </c>
      <c r="G40" s="264">
        <v>4</v>
      </c>
      <c r="H40" s="264" t="s">
        <v>496</v>
      </c>
      <c r="I40" s="49">
        <f t="shared" si="6"/>
        <v>1.4137166941154067E-2</v>
      </c>
      <c r="J40" s="50">
        <v>20</v>
      </c>
      <c r="K40" s="48">
        <v>30</v>
      </c>
      <c r="L40" s="203">
        <v>0</v>
      </c>
      <c r="M40" s="281">
        <v>5.1999999999999998E-2</v>
      </c>
      <c r="N40" s="282">
        <v>0.86099999999999999</v>
      </c>
      <c r="O40" s="283">
        <v>25</v>
      </c>
      <c r="P40" s="284">
        <v>0.1</v>
      </c>
      <c r="Q40" s="53">
        <v>0</v>
      </c>
      <c r="R40" s="56" t="s">
        <v>98</v>
      </c>
    </row>
    <row r="41" spans="1:20" x14ac:dyDescent="0.3">
      <c r="A41" s="40" t="s">
        <v>642</v>
      </c>
      <c r="B41" s="47" t="s">
        <v>558</v>
      </c>
      <c r="C41" s="46">
        <v>1</v>
      </c>
      <c r="D41" s="308">
        <v>0.152</v>
      </c>
      <c r="E41" s="308">
        <v>0.152</v>
      </c>
      <c r="F41" s="46" t="s">
        <v>374</v>
      </c>
      <c r="G41" s="264">
        <v>4</v>
      </c>
      <c r="H41" s="264" t="s">
        <v>496</v>
      </c>
      <c r="I41" s="49">
        <f t="shared" si="6"/>
        <v>1.4137166941154067E-2</v>
      </c>
      <c r="J41" s="50">
        <v>20</v>
      </c>
      <c r="K41" s="48">
        <v>30</v>
      </c>
      <c r="L41" s="203">
        <v>0</v>
      </c>
      <c r="M41" s="281">
        <v>5.1999999999999998E-2</v>
      </c>
      <c r="N41" s="282">
        <v>0.86099999999999999</v>
      </c>
      <c r="O41" s="283">
        <v>25</v>
      </c>
      <c r="P41" s="284">
        <v>0.1</v>
      </c>
      <c r="Q41" s="53">
        <v>0</v>
      </c>
      <c r="R41" s="56" t="s">
        <v>98</v>
      </c>
    </row>
    <row r="42" spans="1:20" x14ac:dyDescent="0.3">
      <c r="A42" s="40" t="s">
        <v>642</v>
      </c>
      <c r="B42" s="47" t="s">
        <v>559</v>
      </c>
      <c r="C42" s="46">
        <v>1</v>
      </c>
      <c r="D42" s="308">
        <v>0.152</v>
      </c>
      <c r="E42" s="308">
        <v>0.152</v>
      </c>
      <c r="F42" s="46" t="s">
        <v>374</v>
      </c>
      <c r="G42" s="264">
        <v>0.13</v>
      </c>
      <c r="H42" s="264" t="s">
        <v>496</v>
      </c>
      <c r="I42" s="49">
        <f t="shared" si="6"/>
        <v>1.4137166941154067E-2</v>
      </c>
      <c r="J42" s="50">
        <v>20</v>
      </c>
      <c r="K42" s="48">
        <v>30</v>
      </c>
      <c r="L42" s="203">
        <v>0</v>
      </c>
      <c r="M42" s="281">
        <v>5.1999999999999998E-2</v>
      </c>
      <c r="N42" s="282">
        <v>0.86099999999999999</v>
      </c>
      <c r="O42" s="283">
        <v>25</v>
      </c>
      <c r="P42" s="284">
        <v>0.1</v>
      </c>
      <c r="Q42" s="53">
        <v>0</v>
      </c>
      <c r="R42" s="56" t="s">
        <v>98</v>
      </c>
    </row>
    <row r="43" spans="1:20" x14ac:dyDescent="0.3">
      <c r="A43" s="40" t="s">
        <v>642</v>
      </c>
      <c r="B43" s="47" t="s">
        <v>560</v>
      </c>
      <c r="C43" s="46">
        <v>1</v>
      </c>
      <c r="D43" s="305">
        <v>0.01</v>
      </c>
      <c r="E43" s="305">
        <v>0.01</v>
      </c>
      <c r="F43" s="46" t="s">
        <v>374</v>
      </c>
      <c r="G43" s="264">
        <v>4</v>
      </c>
      <c r="H43" s="264" t="s">
        <v>496</v>
      </c>
      <c r="I43" s="49">
        <f t="shared" si="6"/>
        <v>1.4137166941154067E-2</v>
      </c>
      <c r="J43" s="50">
        <v>20</v>
      </c>
      <c r="K43" s="48">
        <v>30</v>
      </c>
      <c r="L43" s="203">
        <v>0</v>
      </c>
      <c r="M43" s="281">
        <v>5.1999999999999998E-2</v>
      </c>
      <c r="N43" s="282">
        <v>0.86099999999999999</v>
      </c>
      <c r="O43" s="283">
        <v>25</v>
      </c>
      <c r="P43" s="284">
        <v>0.1</v>
      </c>
      <c r="Q43" s="53">
        <v>0</v>
      </c>
      <c r="R43" s="56" t="s">
        <v>98</v>
      </c>
    </row>
    <row r="44" spans="1:20" x14ac:dyDescent="0.3">
      <c r="A44" s="40" t="s">
        <v>642</v>
      </c>
      <c r="B44" s="47" t="s">
        <v>560</v>
      </c>
      <c r="C44" s="46">
        <v>1</v>
      </c>
      <c r="D44" s="305">
        <v>0.01</v>
      </c>
      <c r="E44" s="305">
        <v>0.01</v>
      </c>
      <c r="F44" s="46" t="s">
        <v>374</v>
      </c>
      <c r="G44" s="264">
        <v>4</v>
      </c>
      <c r="H44" s="264" t="s">
        <v>496</v>
      </c>
      <c r="I44" s="49">
        <f t="shared" si="6"/>
        <v>1.4137166941154067E-2</v>
      </c>
      <c r="J44" s="50">
        <v>20</v>
      </c>
      <c r="K44" s="48">
        <v>30</v>
      </c>
      <c r="L44" s="203">
        <v>0</v>
      </c>
      <c r="M44" s="281">
        <v>5.1999999999999998E-2</v>
      </c>
      <c r="N44" s="282">
        <v>0.86099999999999999</v>
      </c>
      <c r="O44" s="283">
        <v>25</v>
      </c>
      <c r="P44" s="284">
        <v>0.1</v>
      </c>
      <c r="Q44" s="53">
        <v>0</v>
      </c>
      <c r="R44" s="56" t="s">
        <v>98</v>
      </c>
    </row>
    <row r="45" spans="1:20" x14ac:dyDescent="0.3">
      <c r="A45" s="40" t="s">
        <v>642</v>
      </c>
      <c r="B45" s="47" t="s">
        <v>560</v>
      </c>
      <c r="C45" s="46">
        <v>1</v>
      </c>
      <c r="D45" s="305">
        <v>0.01</v>
      </c>
      <c r="E45" s="305">
        <v>0.01</v>
      </c>
      <c r="F45" s="46" t="s">
        <v>374</v>
      </c>
      <c r="G45" s="264">
        <v>4</v>
      </c>
      <c r="H45" s="264" t="s">
        <v>496</v>
      </c>
      <c r="I45" s="49">
        <f t="shared" si="6"/>
        <v>1.4137166941154067E-2</v>
      </c>
      <c r="J45" s="50">
        <v>20</v>
      </c>
      <c r="K45" s="48">
        <v>30</v>
      </c>
      <c r="L45" s="203">
        <v>0</v>
      </c>
      <c r="M45" s="281">
        <v>5.1999999999999998E-2</v>
      </c>
      <c r="N45" s="282">
        <v>0.86099999999999999</v>
      </c>
      <c r="O45" s="283">
        <v>25</v>
      </c>
      <c r="P45" s="284">
        <v>0.1</v>
      </c>
      <c r="Q45" s="53">
        <v>0</v>
      </c>
      <c r="R45" s="56" t="s">
        <v>98</v>
      </c>
    </row>
    <row r="46" spans="1:20" x14ac:dyDescent="0.3">
      <c r="A46" s="40" t="s">
        <v>642</v>
      </c>
      <c r="B46" s="47" t="s">
        <v>561</v>
      </c>
      <c r="C46" s="46">
        <v>1</v>
      </c>
      <c r="D46" s="305">
        <v>0.01</v>
      </c>
      <c r="E46" s="305">
        <v>0.01</v>
      </c>
      <c r="F46" s="46" t="s">
        <v>374</v>
      </c>
      <c r="G46" s="264">
        <v>4.5</v>
      </c>
      <c r="H46" s="264" t="s">
        <v>496</v>
      </c>
      <c r="I46" s="49">
        <f t="shared" si="6"/>
        <v>1.4137166941154067E-2</v>
      </c>
      <c r="J46" s="50">
        <v>20</v>
      </c>
      <c r="K46" s="48">
        <v>30</v>
      </c>
      <c r="L46" s="203">
        <v>0</v>
      </c>
      <c r="M46" s="281">
        <v>5.1999999999999998E-2</v>
      </c>
      <c r="N46" s="282">
        <v>0.86099999999999999</v>
      </c>
      <c r="O46" s="283">
        <v>25</v>
      </c>
      <c r="P46" s="284">
        <v>0.1</v>
      </c>
      <c r="Q46" s="53">
        <v>0</v>
      </c>
      <c r="R46" s="56" t="s">
        <v>98</v>
      </c>
      <c r="T46" s="3"/>
    </row>
    <row r="47" spans="1:20" ht="28.8" x14ac:dyDescent="0.3">
      <c r="A47" s="40" t="s">
        <v>642</v>
      </c>
      <c r="B47" s="47" t="s">
        <v>562</v>
      </c>
      <c r="C47" s="46">
        <v>1</v>
      </c>
      <c r="D47" s="305">
        <v>0.02</v>
      </c>
      <c r="E47" s="305">
        <v>0.02</v>
      </c>
      <c r="F47" s="46" t="s">
        <v>374</v>
      </c>
      <c r="G47" s="264">
        <v>1.28</v>
      </c>
      <c r="H47" s="264" t="s">
        <v>496</v>
      </c>
      <c r="I47" s="49">
        <f t="shared" si="6"/>
        <v>1.4137166941154067E-2</v>
      </c>
      <c r="J47" s="50">
        <v>20</v>
      </c>
      <c r="K47" s="48">
        <v>30</v>
      </c>
      <c r="L47" s="203">
        <v>0</v>
      </c>
      <c r="M47" s="281">
        <v>5.1999999999999998E-2</v>
      </c>
      <c r="N47" s="282">
        <v>0.86099999999999999</v>
      </c>
      <c r="O47" s="283">
        <v>25</v>
      </c>
      <c r="P47" s="284">
        <v>0.1</v>
      </c>
      <c r="Q47" s="53">
        <v>0</v>
      </c>
      <c r="R47" s="56" t="s">
        <v>98</v>
      </c>
    </row>
    <row r="48" spans="1:20" ht="28.8" x14ac:dyDescent="0.3">
      <c r="A48" s="40" t="s">
        <v>642</v>
      </c>
      <c r="B48" s="47" t="s">
        <v>563</v>
      </c>
      <c r="C48" s="46">
        <v>1</v>
      </c>
      <c r="D48" s="305">
        <v>0.02</v>
      </c>
      <c r="E48" s="305">
        <v>0.02</v>
      </c>
      <c r="F48" s="46" t="s">
        <v>374</v>
      </c>
      <c r="G48" s="264">
        <v>1.28</v>
      </c>
      <c r="H48" s="264" t="s">
        <v>496</v>
      </c>
      <c r="I48" s="49">
        <f t="shared" si="6"/>
        <v>1.4137166941154067E-2</v>
      </c>
      <c r="J48" s="50">
        <v>20</v>
      </c>
      <c r="K48" s="48">
        <v>30</v>
      </c>
      <c r="L48" s="203">
        <v>0</v>
      </c>
      <c r="M48" s="281">
        <v>5.1999999999999998E-2</v>
      </c>
      <c r="N48" s="282">
        <v>0.86099999999999999</v>
      </c>
      <c r="O48" s="283">
        <v>25</v>
      </c>
      <c r="P48" s="284">
        <v>0.1</v>
      </c>
      <c r="Q48" s="53">
        <v>0</v>
      </c>
      <c r="R48" s="56" t="s">
        <v>98</v>
      </c>
    </row>
    <row r="49" spans="1:26" ht="28.8" x14ac:dyDescent="0.3">
      <c r="A49" s="40" t="s">
        <v>642</v>
      </c>
      <c r="B49" s="47" t="s">
        <v>564</v>
      </c>
      <c r="C49" s="46">
        <v>1</v>
      </c>
      <c r="D49" s="308">
        <v>0.02</v>
      </c>
      <c r="E49" s="308">
        <v>0.02</v>
      </c>
      <c r="F49" s="46" t="s">
        <v>374</v>
      </c>
      <c r="G49" s="264">
        <v>0.98</v>
      </c>
      <c r="H49" s="264" t="s">
        <v>496</v>
      </c>
      <c r="I49" s="49">
        <f t="shared" si="6"/>
        <v>1.4137166941154067E-2</v>
      </c>
      <c r="J49" s="50">
        <v>20</v>
      </c>
      <c r="K49" s="48">
        <v>30</v>
      </c>
      <c r="L49" s="203">
        <v>0</v>
      </c>
      <c r="M49" s="281">
        <v>5.1999999999999998E-2</v>
      </c>
      <c r="N49" s="282">
        <v>0.86099999999999999</v>
      </c>
      <c r="O49" s="283">
        <v>25</v>
      </c>
      <c r="P49" s="284">
        <v>0.1</v>
      </c>
      <c r="Q49" s="53">
        <v>0</v>
      </c>
      <c r="R49" s="56" t="s">
        <v>98</v>
      </c>
    </row>
    <row r="50" spans="1:26" ht="28.8" x14ac:dyDescent="0.3">
      <c r="A50" s="40" t="s">
        <v>642</v>
      </c>
      <c r="B50" s="47" t="s">
        <v>565</v>
      </c>
      <c r="C50" s="46">
        <v>1</v>
      </c>
      <c r="D50" s="308">
        <v>0.02</v>
      </c>
      <c r="E50" s="308">
        <v>0.02</v>
      </c>
      <c r="F50" s="46" t="s">
        <v>374</v>
      </c>
      <c r="G50" s="264">
        <v>2.97</v>
      </c>
      <c r="H50" s="264" t="s">
        <v>496</v>
      </c>
      <c r="I50" s="49">
        <f t="shared" si="6"/>
        <v>1.4137166941154067E-2</v>
      </c>
      <c r="J50" s="50">
        <v>20</v>
      </c>
      <c r="K50" s="48">
        <v>30</v>
      </c>
      <c r="L50" s="203">
        <v>0</v>
      </c>
      <c r="M50" s="281">
        <v>5.1999999999999998E-2</v>
      </c>
      <c r="N50" s="282">
        <v>0.86099999999999999</v>
      </c>
      <c r="O50" s="283">
        <v>25</v>
      </c>
      <c r="P50" s="284">
        <v>0.1</v>
      </c>
      <c r="Q50" s="53">
        <v>0</v>
      </c>
      <c r="R50" s="56" t="s">
        <v>98</v>
      </c>
    </row>
    <row r="51" spans="1:26" ht="28.8" x14ac:dyDescent="0.3">
      <c r="A51" s="40" t="s">
        <v>642</v>
      </c>
      <c r="B51" s="47" t="s">
        <v>566</v>
      </c>
      <c r="C51" s="46">
        <v>1</v>
      </c>
      <c r="D51" s="308">
        <v>0.02</v>
      </c>
      <c r="E51" s="308">
        <v>0.02</v>
      </c>
      <c r="F51" s="46" t="s">
        <v>374</v>
      </c>
      <c r="G51" s="264">
        <v>3.4</v>
      </c>
      <c r="H51" s="264" t="s">
        <v>496</v>
      </c>
      <c r="I51" s="49">
        <f t="shared" si="6"/>
        <v>1.4137166941154067E-2</v>
      </c>
      <c r="J51" s="50">
        <v>20</v>
      </c>
      <c r="K51" s="48">
        <v>30</v>
      </c>
      <c r="L51" s="203">
        <v>0</v>
      </c>
      <c r="M51" s="281">
        <v>5.1999999999999998E-2</v>
      </c>
      <c r="N51" s="282">
        <v>0.86099999999999999</v>
      </c>
      <c r="O51" s="283">
        <v>25</v>
      </c>
      <c r="P51" s="284">
        <v>0.1</v>
      </c>
      <c r="Q51" s="53">
        <v>0</v>
      </c>
      <c r="R51" s="56" t="s">
        <v>98</v>
      </c>
    </row>
    <row r="52" spans="1:26" ht="28.8" x14ac:dyDescent="0.3">
      <c r="A52" s="40" t="s">
        <v>642</v>
      </c>
      <c r="B52" s="47" t="s">
        <v>567</v>
      </c>
      <c r="C52" s="46">
        <v>1</v>
      </c>
      <c r="D52" s="305">
        <v>0.01</v>
      </c>
      <c r="E52" s="305">
        <v>0.01</v>
      </c>
      <c r="F52" s="46" t="s">
        <v>374</v>
      </c>
      <c r="G52" s="264">
        <v>0.31</v>
      </c>
      <c r="H52" s="264" t="s">
        <v>496</v>
      </c>
      <c r="I52" s="49">
        <f t="shared" si="6"/>
        <v>1.4137166941154067E-2</v>
      </c>
      <c r="J52" s="50">
        <v>20</v>
      </c>
      <c r="K52" s="48">
        <v>30</v>
      </c>
      <c r="L52" s="203">
        <v>0</v>
      </c>
      <c r="M52" s="281">
        <v>5.1999999999999998E-2</v>
      </c>
      <c r="N52" s="282">
        <v>0.86099999999999999</v>
      </c>
      <c r="O52" s="283">
        <v>25</v>
      </c>
      <c r="P52" s="284">
        <v>0.1</v>
      </c>
      <c r="Q52" s="53">
        <v>0</v>
      </c>
      <c r="R52" s="56" t="s">
        <v>98</v>
      </c>
    </row>
    <row r="53" spans="1:26" ht="28.8" x14ac:dyDescent="0.3">
      <c r="A53" s="40" t="s">
        <v>642</v>
      </c>
      <c r="B53" s="47" t="s">
        <v>567</v>
      </c>
      <c r="C53" s="46">
        <v>1</v>
      </c>
      <c r="D53" s="305">
        <v>0.01</v>
      </c>
      <c r="E53" s="305">
        <v>0.01</v>
      </c>
      <c r="F53" s="46" t="s">
        <v>374</v>
      </c>
      <c r="G53" s="264">
        <v>0.31</v>
      </c>
      <c r="H53" s="264" t="s">
        <v>496</v>
      </c>
      <c r="I53" s="49">
        <f t="shared" si="6"/>
        <v>1.4137166941154067E-2</v>
      </c>
      <c r="J53" s="50">
        <v>20</v>
      </c>
      <c r="K53" s="48">
        <v>30</v>
      </c>
      <c r="L53" s="203">
        <v>0</v>
      </c>
      <c r="M53" s="281">
        <v>5.1999999999999998E-2</v>
      </c>
      <c r="N53" s="282">
        <v>0.86099999999999999</v>
      </c>
      <c r="O53" s="283">
        <v>25</v>
      </c>
      <c r="P53" s="284">
        <v>0.1</v>
      </c>
      <c r="Q53" s="53">
        <v>0</v>
      </c>
      <c r="R53" s="56" t="s">
        <v>98</v>
      </c>
      <c r="Z53" s="298"/>
    </row>
    <row r="54" spans="1:26" ht="28.8" x14ac:dyDescent="0.3">
      <c r="A54" s="40" t="s">
        <v>642</v>
      </c>
      <c r="B54" s="47" t="s">
        <v>568</v>
      </c>
      <c r="C54" s="46">
        <v>1</v>
      </c>
      <c r="D54" s="305">
        <v>0.01</v>
      </c>
      <c r="E54" s="305">
        <v>0.01</v>
      </c>
      <c r="F54" s="46" t="s">
        <v>374</v>
      </c>
      <c r="G54" s="264">
        <v>0.5</v>
      </c>
      <c r="H54" s="264" t="s">
        <v>496</v>
      </c>
      <c r="I54" s="49">
        <f t="shared" si="6"/>
        <v>1.4137166941154067E-2</v>
      </c>
      <c r="J54" s="50">
        <v>20</v>
      </c>
      <c r="K54" s="48">
        <v>30</v>
      </c>
      <c r="L54" s="203">
        <v>0</v>
      </c>
      <c r="M54" s="281">
        <v>5.1999999999999998E-2</v>
      </c>
      <c r="N54" s="282">
        <v>0.86099999999999999</v>
      </c>
      <c r="O54" s="283">
        <v>25</v>
      </c>
      <c r="P54" s="284">
        <v>0.1</v>
      </c>
      <c r="Q54" s="53">
        <v>0</v>
      </c>
      <c r="R54" s="56" t="s">
        <v>98</v>
      </c>
      <c r="Z54" s="298"/>
    </row>
    <row r="55" spans="1:26" ht="28.8" x14ac:dyDescent="0.3">
      <c r="A55" s="40" t="s">
        <v>642</v>
      </c>
      <c r="B55" s="47" t="s">
        <v>569</v>
      </c>
      <c r="C55" s="46">
        <v>1</v>
      </c>
      <c r="D55" s="305">
        <v>0.01</v>
      </c>
      <c r="E55" s="305">
        <v>0.01</v>
      </c>
      <c r="F55" s="46" t="s">
        <v>374</v>
      </c>
      <c r="G55" s="264">
        <v>0.8</v>
      </c>
      <c r="H55" s="264" t="s">
        <v>496</v>
      </c>
      <c r="I55" s="49">
        <f t="shared" si="6"/>
        <v>1.4137166941154067E-2</v>
      </c>
      <c r="J55" s="50">
        <v>20</v>
      </c>
      <c r="K55" s="48">
        <v>30</v>
      </c>
      <c r="L55" s="203">
        <v>0</v>
      </c>
      <c r="M55" s="281">
        <v>5.1999999999999998E-2</v>
      </c>
      <c r="N55" s="282">
        <v>0.86099999999999999</v>
      </c>
      <c r="O55" s="283">
        <v>25</v>
      </c>
      <c r="P55" s="284">
        <v>0.1</v>
      </c>
      <c r="Q55" s="53">
        <v>0</v>
      </c>
      <c r="R55" s="56" t="s">
        <v>98</v>
      </c>
      <c r="Z55" s="298"/>
    </row>
    <row r="56" spans="1:26" ht="28.8" x14ac:dyDescent="0.3">
      <c r="A56" s="40" t="s">
        <v>642</v>
      </c>
      <c r="B56" s="47" t="s">
        <v>570</v>
      </c>
      <c r="C56" s="46">
        <v>1</v>
      </c>
      <c r="D56" s="308">
        <v>1E-3</v>
      </c>
      <c r="E56" s="308">
        <v>1E-3</v>
      </c>
      <c r="F56" s="46" t="s">
        <v>374</v>
      </c>
      <c r="G56" s="264">
        <v>0.63</v>
      </c>
      <c r="H56" s="264" t="s">
        <v>496</v>
      </c>
      <c r="I56" s="49">
        <f t="shared" si="6"/>
        <v>1.4137166941154067E-2</v>
      </c>
      <c r="J56" s="50">
        <v>20</v>
      </c>
      <c r="K56" s="48">
        <v>30</v>
      </c>
      <c r="L56" s="203">
        <v>0</v>
      </c>
      <c r="M56" s="281">
        <v>5.1999999999999998E-2</v>
      </c>
      <c r="N56" s="282">
        <v>0.86099999999999999</v>
      </c>
      <c r="O56" s="283">
        <v>25</v>
      </c>
      <c r="P56" s="284">
        <v>0.1</v>
      </c>
      <c r="Q56" s="53">
        <v>0</v>
      </c>
      <c r="R56" s="56" t="s">
        <v>645</v>
      </c>
      <c r="Z56" s="298"/>
    </row>
    <row r="57" spans="1:26" ht="28.8" x14ac:dyDescent="0.3">
      <c r="A57" s="40" t="s">
        <v>642</v>
      </c>
      <c r="B57" s="47" t="s">
        <v>571</v>
      </c>
      <c r="C57" s="46">
        <v>1</v>
      </c>
      <c r="D57" s="308">
        <v>1E-3</v>
      </c>
      <c r="E57" s="308">
        <v>1E-3</v>
      </c>
      <c r="F57" s="46" t="s">
        <v>374</v>
      </c>
      <c r="G57" s="264">
        <v>0.4</v>
      </c>
      <c r="H57" s="264" t="s">
        <v>496</v>
      </c>
      <c r="I57" s="49">
        <f t="shared" si="6"/>
        <v>1.4137166941154067E-2</v>
      </c>
      <c r="J57" s="50">
        <v>20</v>
      </c>
      <c r="K57" s="48">
        <v>30</v>
      </c>
      <c r="L57" s="203">
        <v>0</v>
      </c>
      <c r="M57" s="281">
        <v>5.1999999999999998E-2</v>
      </c>
      <c r="N57" s="282">
        <v>0.86099999999999999</v>
      </c>
      <c r="O57" s="283">
        <v>25</v>
      </c>
      <c r="P57" s="284">
        <v>0.1</v>
      </c>
      <c r="Q57" s="53">
        <v>0</v>
      </c>
      <c r="R57" s="56" t="s">
        <v>645</v>
      </c>
    </row>
    <row r="58" spans="1:26" ht="28.8" x14ac:dyDescent="0.3">
      <c r="A58" s="40" t="s">
        <v>642</v>
      </c>
      <c r="B58" s="47" t="s">
        <v>571</v>
      </c>
      <c r="C58" s="46">
        <v>1</v>
      </c>
      <c r="D58" s="308">
        <v>1E-3</v>
      </c>
      <c r="E58" s="308">
        <v>1E-3</v>
      </c>
      <c r="F58" s="46" t="s">
        <v>374</v>
      </c>
      <c r="G58" s="264">
        <v>0.4</v>
      </c>
      <c r="H58" s="264" t="s">
        <v>496</v>
      </c>
      <c r="I58" s="49">
        <f t="shared" si="6"/>
        <v>1.4137166941154067E-2</v>
      </c>
      <c r="J58" s="50">
        <v>20</v>
      </c>
      <c r="K58" s="48">
        <v>30</v>
      </c>
      <c r="L58" s="203">
        <v>0</v>
      </c>
      <c r="M58" s="281">
        <v>5.1999999999999998E-2</v>
      </c>
      <c r="N58" s="282">
        <v>0.86099999999999999</v>
      </c>
      <c r="O58" s="283">
        <v>25</v>
      </c>
      <c r="P58" s="284">
        <v>0.1</v>
      </c>
      <c r="Q58" s="53">
        <v>0</v>
      </c>
      <c r="R58" s="56" t="s">
        <v>645</v>
      </c>
    </row>
    <row r="59" spans="1:26" ht="43.2" x14ac:dyDescent="0.3">
      <c r="A59" s="40" t="s">
        <v>642</v>
      </c>
      <c r="B59" s="47" t="s">
        <v>572</v>
      </c>
      <c r="C59" s="46">
        <v>1</v>
      </c>
      <c r="D59" s="308">
        <v>1E-3</v>
      </c>
      <c r="E59" s="308">
        <v>1E-3</v>
      </c>
      <c r="F59" s="46" t="s">
        <v>374</v>
      </c>
      <c r="G59" s="264">
        <v>0.25</v>
      </c>
      <c r="H59" s="264" t="s">
        <v>496</v>
      </c>
      <c r="I59" s="49">
        <f t="shared" si="6"/>
        <v>1.4137166941154067E-2</v>
      </c>
      <c r="J59" s="50">
        <v>20</v>
      </c>
      <c r="K59" s="48">
        <v>30</v>
      </c>
      <c r="L59" s="203">
        <v>0</v>
      </c>
      <c r="M59" s="281">
        <v>5.1999999999999998E-2</v>
      </c>
      <c r="N59" s="282">
        <v>0.86099999999999999</v>
      </c>
      <c r="O59" s="283">
        <v>25</v>
      </c>
      <c r="P59" s="284">
        <v>0.1</v>
      </c>
      <c r="Q59" s="53">
        <v>0</v>
      </c>
      <c r="R59" s="56" t="s">
        <v>646</v>
      </c>
    </row>
    <row r="60" spans="1:26" ht="43.2" x14ac:dyDescent="0.3">
      <c r="A60" s="40" t="s">
        <v>642</v>
      </c>
      <c r="B60" s="47" t="s">
        <v>572</v>
      </c>
      <c r="C60" s="46">
        <v>1</v>
      </c>
      <c r="D60" s="308">
        <v>1E-3</v>
      </c>
      <c r="E60" s="308">
        <v>1E-3</v>
      </c>
      <c r="F60" s="46" t="s">
        <v>374</v>
      </c>
      <c r="G60" s="264">
        <v>0.25</v>
      </c>
      <c r="H60" s="264" t="s">
        <v>496</v>
      </c>
      <c r="I60" s="49">
        <f t="shared" si="6"/>
        <v>1.4137166941154067E-2</v>
      </c>
      <c r="J60" s="50">
        <v>20</v>
      </c>
      <c r="K60" s="48">
        <v>30</v>
      </c>
      <c r="L60" s="203">
        <v>0</v>
      </c>
      <c r="M60" s="281">
        <v>5.1999999999999998E-2</v>
      </c>
      <c r="N60" s="282">
        <v>0.86099999999999999</v>
      </c>
      <c r="O60" s="283">
        <v>25</v>
      </c>
      <c r="P60" s="284">
        <v>0.1</v>
      </c>
      <c r="Q60" s="53">
        <v>0</v>
      </c>
      <c r="R60" s="56" t="s">
        <v>646</v>
      </c>
    </row>
    <row r="61" spans="1:26" ht="28.8" x14ac:dyDescent="0.3">
      <c r="A61" s="40" t="s">
        <v>642</v>
      </c>
      <c r="B61" s="47" t="s">
        <v>573</v>
      </c>
      <c r="C61" s="46">
        <v>1</v>
      </c>
      <c r="D61" s="308">
        <v>1E-3</v>
      </c>
      <c r="E61" s="308">
        <v>1E-3</v>
      </c>
      <c r="F61" s="46" t="s">
        <v>374</v>
      </c>
      <c r="G61" s="264">
        <v>0.4</v>
      </c>
      <c r="H61" s="264" t="s">
        <v>496</v>
      </c>
      <c r="I61" s="49">
        <f t="shared" si="6"/>
        <v>1.4137166941154067E-2</v>
      </c>
      <c r="J61" s="50">
        <v>20</v>
      </c>
      <c r="K61" s="48">
        <v>30</v>
      </c>
      <c r="L61" s="203">
        <v>0</v>
      </c>
      <c r="M61" s="281">
        <v>5.1999999999999998E-2</v>
      </c>
      <c r="N61" s="282">
        <v>0.86099999999999999</v>
      </c>
      <c r="O61" s="283">
        <v>25</v>
      </c>
      <c r="P61" s="284">
        <v>0.1</v>
      </c>
      <c r="Q61" s="53">
        <v>0</v>
      </c>
      <c r="R61" s="56" t="s">
        <v>645</v>
      </c>
    </row>
    <row r="62" spans="1:26" ht="28.8" x14ac:dyDescent="0.3">
      <c r="A62" s="40" t="s">
        <v>642</v>
      </c>
      <c r="B62" s="47" t="s">
        <v>574</v>
      </c>
      <c r="C62" s="46">
        <v>1</v>
      </c>
      <c r="D62" s="308">
        <v>1E-3</v>
      </c>
      <c r="E62" s="308">
        <v>1E-3</v>
      </c>
      <c r="F62" s="46" t="s">
        <v>374</v>
      </c>
      <c r="G62" s="264">
        <v>0.6</v>
      </c>
      <c r="H62" s="264" t="s">
        <v>496</v>
      </c>
      <c r="I62" s="49">
        <f t="shared" si="6"/>
        <v>1.4137166941154067E-2</v>
      </c>
      <c r="J62" s="50">
        <v>20</v>
      </c>
      <c r="K62" s="48">
        <v>30</v>
      </c>
      <c r="L62" s="203">
        <v>0</v>
      </c>
      <c r="M62" s="281">
        <v>5.1999999999999998E-2</v>
      </c>
      <c r="N62" s="282">
        <v>0.86099999999999999</v>
      </c>
      <c r="O62" s="283">
        <v>25</v>
      </c>
      <c r="P62" s="284">
        <v>0.1</v>
      </c>
      <c r="Q62" s="53">
        <v>0</v>
      </c>
      <c r="R62" s="56" t="s">
        <v>646</v>
      </c>
    </row>
    <row r="63" spans="1:26" ht="28.8" x14ac:dyDescent="0.3">
      <c r="A63" s="40" t="s">
        <v>642</v>
      </c>
      <c r="B63" s="47" t="s">
        <v>574</v>
      </c>
      <c r="C63" s="46">
        <v>1</v>
      </c>
      <c r="D63" s="308">
        <v>1E-3</v>
      </c>
      <c r="E63" s="308">
        <v>1E-3</v>
      </c>
      <c r="F63" s="46" t="s">
        <v>374</v>
      </c>
      <c r="G63" s="264">
        <v>0.6</v>
      </c>
      <c r="H63" s="264" t="s">
        <v>496</v>
      </c>
      <c r="I63" s="49">
        <f t="shared" si="6"/>
        <v>1.4137166941154067E-2</v>
      </c>
      <c r="J63" s="50">
        <v>20</v>
      </c>
      <c r="K63" s="48">
        <v>30</v>
      </c>
      <c r="L63" s="203">
        <v>0</v>
      </c>
      <c r="M63" s="281">
        <v>5.1999999999999998E-2</v>
      </c>
      <c r="N63" s="282">
        <v>0.86099999999999999</v>
      </c>
      <c r="O63" s="283">
        <v>25</v>
      </c>
      <c r="P63" s="284">
        <v>0.1</v>
      </c>
      <c r="Q63" s="53">
        <v>0</v>
      </c>
      <c r="R63" s="56" t="s">
        <v>646</v>
      </c>
    </row>
    <row r="64" spans="1:26" ht="28.8" x14ac:dyDescent="0.3">
      <c r="A64" s="40" t="s">
        <v>642</v>
      </c>
      <c r="B64" s="47" t="s">
        <v>575</v>
      </c>
      <c r="C64" s="46">
        <v>1</v>
      </c>
      <c r="D64" s="305">
        <v>0.01</v>
      </c>
      <c r="E64" s="305">
        <v>0.01</v>
      </c>
      <c r="F64" s="46" t="s">
        <v>374</v>
      </c>
      <c r="G64" s="264" t="s">
        <v>644</v>
      </c>
      <c r="H64" s="264" t="s">
        <v>496</v>
      </c>
      <c r="I64" s="49">
        <f t="shared" si="6"/>
        <v>1.4137166941154067E-2</v>
      </c>
      <c r="J64" s="50">
        <v>20</v>
      </c>
      <c r="K64" s="48">
        <v>30</v>
      </c>
      <c r="L64" s="203">
        <v>0</v>
      </c>
      <c r="M64" s="281">
        <v>5.1999999999999998E-2</v>
      </c>
      <c r="N64" s="282">
        <v>0.86099999999999999</v>
      </c>
      <c r="O64" s="283">
        <v>25</v>
      </c>
      <c r="P64" s="284">
        <v>0.1</v>
      </c>
      <c r="Q64" s="53">
        <v>0</v>
      </c>
      <c r="R64" s="56" t="s">
        <v>645</v>
      </c>
    </row>
    <row r="65" spans="1:26" ht="28.8" x14ac:dyDescent="0.3">
      <c r="A65" s="40" t="s">
        <v>642</v>
      </c>
      <c r="B65" s="47" t="s">
        <v>576</v>
      </c>
      <c r="C65" s="46">
        <v>1</v>
      </c>
      <c r="D65" s="305">
        <v>0.01</v>
      </c>
      <c r="E65" s="305">
        <v>0.01</v>
      </c>
      <c r="F65" s="46" t="s">
        <v>374</v>
      </c>
      <c r="G65" s="264" t="s">
        <v>644</v>
      </c>
      <c r="H65" s="264" t="s">
        <v>496</v>
      </c>
      <c r="I65" s="49">
        <f t="shared" si="6"/>
        <v>1.4137166941154067E-2</v>
      </c>
      <c r="J65" s="50">
        <v>20</v>
      </c>
      <c r="K65" s="48">
        <v>30</v>
      </c>
      <c r="L65" s="203">
        <v>0</v>
      </c>
      <c r="M65" s="281">
        <v>5.1999999999999998E-2</v>
      </c>
      <c r="N65" s="282">
        <v>0.86099999999999999</v>
      </c>
      <c r="O65" s="283">
        <v>25</v>
      </c>
      <c r="P65" s="284">
        <v>0.1</v>
      </c>
      <c r="Q65" s="53">
        <v>0</v>
      </c>
      <c r="R65" s="56" t="s">
        <v>645</v>
      </c>
    </row>
    <row r="66" spans="1:26" ht="28.8" x14ac:dyDescent="0.3">
      <c r="A66" s="40" t="s">
        <v>642</v>
      </c>
      <c r="B66" s="47" t="s">
        <v>576</v>
      </c>
      <c r="C66" s="46">
        <v>1</v>
      </c>
      <c r="D66" s="305">
        <v>0.01</v>
      </c>
      <c r="E66" s="305">
        <v>0.01</v>
      </c>
      <c r="F66" s="46" t="s">
        <v>374</v>
      </c>
      <c r="G66" s="264" t="s">
        <v>644</v>
      </c>
      <c r="H66" s="264" t="s">
        <v>496</v>
      </c>
      <c r="I66" s="49">
        <f t="shared" si="6"/>
        <v>1.4137166941154067E-2</v>
      </c>
      <c r="J66" s="50">
        <v>20</v>
      </c>
      <c r="K66" s="48">
        <v>30</v>
      </c>
      <c r="L66" s="203">
        <v>0</v>
      </c>
      <c r="M66" s="281">
        <v>5.1999999999999998E-2</v>
      </c>
      <c r="N66" s="282">
        <v>0.86099999999999999</v>
      </c>
      <c r="O66" s="283">
        <v>25</v>
      </c>
      <c r="P66" s="284">
        <v>0.1</v>
      </c>
      <c r="Q66" s="53">
        <v>0</v>
      </c>
      <c r="R66" s="56" t="s">
        <v>645</v>
      </c>
    </row>
    <row r="67" spans="1:26" x14ac:dyDescent="0.3">
      <c r="A67" s="40" t="s">
        <v>642</v>
      </c>
      <c r="B67" s="47" t="s">
        <v>577</v>
      </c>
      <c r="C67" s="46">
        <v>1</v>
      </c>
      <c r="D67" s="308">
        <v>994</v>
      </c>
      <c r="E67" s="308">
        <v>994</v>
      </c>
      <c r="F67" s="310" t="s">
        <v>374</v>
      </c>
      <c r="G67" s="264" t="s">
        <v>644</v>
      </c>
      <c r="H67" s="264" t="s">
        <v>496</v>
      </c>
      <c r="I67" s="49">
        <f t="shared" si="6"/>
        <v>1.4137166941154067E-2</v>
      </c>
      <c r="J67" s="50">
        <v>20</v>
      </c>
      <c r="K67" s="48">
        <v>30</v>
      </c>
      <c r="L67" s="203">
        <v>0</v>
      </c>
      <c r="M67" s="281">
        <v>5.1999999999999998E-2</v>
      </c>
      <c r="N67" s="282">
        <v>0.86099999999999999</v>
      </c>
      <c r="O67" s="283">
        <v>25</v>
      </c>
      <c r="P67" s="284">
        <v>0.1</v>
      </c>
      <c r="Q67" s="53">
        <v>0</v>
      </c>
      <c r="R67" s="56" t="s">
        <v>495</v>
      </c>
    </row>
    <row r="68" spans="1:26" x14ac:dyDescent="0.3">
      <c r="A68" s="40" t="s">
        <v>642</v>
      </c>
      <c r="B68" s="47" t="s">
        <v>578</v>
      </c>
      <c r="C68" s="46">
        <v>1</v>
      </c>
      <c r="D68" s="305">
        <v>10</v>
      </c>
      <c r="E68" s="305">
        <v>10</v>
      </c>
      <c r="F68" s="46" t="s">
        <v>374</v>
      </c>
      <c r="G68" s="264" t="s">
        <v>644</v>
      </c>
      <c r="H68" s="264" t="s">
        <v>496</v>
      </c>
      <c r="I68" s="49">
        <f t="shared" si="6"/>
        <v>1.4137166941154067E-2</v>
      </c>
      <c r="J68" s="50">
        <v>20</v>
      </c>
      <c r="K68" s="48">
        <v>30</v>
      </c>
      <c r="L68" s="203">
        <v>0</v>
      </c>
      <c r="M68" s="281">
        <v>5.1999999999999998E-2</v>
      </c>
      <c r="N68" s="282">
        <v>0.86099999999999999</v>
      </c>
      <c r="O68" s="283">
        <v>25</v>
      </c>
      <c r="P68" s="284">
        <v>0.1</v>
      </c>
      <c r="Q68" s="53">
        <v>0</v>
      </c>
      <c r="R68" s="56" t="s">
        <v>98</v>
      </c>
    </row>
    <row r="69" spans="1:26" ht="28.8" x14ac:dyDescent="0.3">
      <c r="A69" s="40" t="s">
        <v>642</v>
      </c>
      <c r="B69" s="47" t="s">
        <v>579</v>
      </c>
      <c r="C69" s="46">
        <v>1</v>
      </c>
      <c r="D69" s="311">
        <v>2.9999999999999997E-4</v>
      </c>
      <c r="E69" s="311">
        <v>2.9999999999999997E-4</v>
      </c>
      <c r="F69" s="46" t="s">
        <v>372</v>
      </c>
      <c r="G69" s="264" t="s">
        <v>644</v>
      </c>
      <c r="H69" s="264" t="s">
        <v>496</v>
      </c>
      <c r="I69" s="49">
        <f t="shared" si="6"/>
        <v>1.4137166941154067E-2</v>
      </c>
      <c r="J69" s="50">
        <v>20</v>
      </c>
      <c r="K69" s="48">
        <v>30</v>
      </c>
      <c r="L69" s="203">
        <v>0</v>
      </c>
      <c r="M69" s="281">
        <v>5.1999999999999998E-2</v>
      </c>
      <c r="N69" s="282">
        <v>0.86099999999999999</v>
      </c>
      <c r="O69" s="283">
        <v>25</v>
      </c>
      <c r="P69" s="284">
        <v>0.1</v>
      </c>
      <c r="Q69" s="53">
        <v>0</v>
      </c>
      <c r="R69" s="56" t="s">
        <v>494</v>
      </c>
    </row>
    <row r="70" spans="1:26" ht="28.8" x14ac:dyDescent="0.3">
      <c r="A70" s="40" t="s">
        <v>642</v>
      </c>
      <c r="B70" s="47" t="s">
        <v>580</v>
      </c>
      <c r="C70" s="46">
        <v>1</v>
      </c>
      <c r="D70" s="311">
        <v>2.9999999999999997E-4</v>
      </c>
      <c r="E70" s="311">
        <v>2.9999999999999997E-4</v>
      </c>
      <c r="F70" s="46" t="s">
        <v>372</v>
      </c>
      <c r="G70" s="264" t="s">
        <v>644</v>
      </c>
      <c r="H70" s="264" t="s">
        <v>496</v>
      </c>
      <c r="I70" s="49">
        <f t="shared" si="6"/>
        <v>1.4137166941154067E-2</v>
      </c>
      <c r="J70" s="50">
        <v>20</v>
      </c>
      <c r="K70" s="48">
        <v>30</v>
      </c>
      <c r="L70" s="203">
        <v>0</v>
      </c>
      <c r="M70" s="281">
        <v>5.1999999999999998E-2</v>
      </c>
      <c r="N70" s="282">
        <v>0.86099999999999999</v>
      </c>
      <c r="O70" s="283">
        <v>25</v>
      </c>
      <c r="P70" s="284">
        <v>0.1</v>
      </c>
      <c r="Q70" s="53">
        <v>0</v>
      </c>
      <c r="R70" s="56" t="s">
        <v>494</v>
      </c>
    </row>
    <row r="71" spans="1:26" ht="72" x14ac:dyDescent="0.3">
      <c r="A71" s="40" t="s">
        <v>642</v>
      </c>
      <c r="B71" s="47" t="s">
        <v>581</v>
      </c>
      <c r="C71" s="46">
        <v>1</v>
      </c>
      <c r="D71" s="308">
        <v>2.9969999999999999</v>
      </c>
      <c r="E71" s="308">
        <v>2.9969999999999999</v>
      </c>
      <c r="F71" s="46" t="s">
        <v>374</v>
      </c>
      <c r="G71" s="264">
        <v>0.25</v>
      </c>
      <c r="H71" s="264" t="s">
        <v>496</v>
      </c>
      <c r="I71" s="49">
        <f t="shared" si="6"/>
        <v>1.4137166941154067E-2</v>
      </c>
      <c r="J71" s="50">
        <v>20</v>
      </c>
      <c r="K71" s="48">
        <v>30</v>
      </c>
      <c r="L71" s="203">
        <v>0</v>
      </c>
      <c r="M71" s="281">
        <v>5.1999999999999998E-2</v>
      </c>
      <c r="N71" s="282">
        <v>0.86099999999999999</v>
      </c>
      <c r="O71" s="283">
        <v>25</v>
      </c>
      <c r="P71" s="284">
        <v>0.1</v>
      </c>
      <c r="Q71" s="53">
        <v>0</v>
      </c>
      <c r="R71" s="56" t="s">
        <v>98</v>
      </c>
    </row>
    <row r="72" spans="1:26" ht="72" x14ac:dyDescent="0.3">
      <c r="A72" s="40" t="s">
        <v>642</v>
      </c>
      <c r="B72" s="47" t="s">
        <v>582</v>
      </c>
      <c r="C72" s="46">
        <v>1</v>
      </c>
      <c r="D72" s="308">
        <v>14.468999999999999</v>
      </c>
      <c r="E72" s="308">
        <v>14.468999999999999</v>
      </c>
      <c r="F72" s="46" t="s">
        <v>374</v>
      </c>
      <c r="G72" s="264">
        <v>0.25</v>
      </c>
      <c r="H72" s="264" t="s">
        <v>496</v>
      </c>
      <c r="I72" s="49">
        <f t="shared" si="6"/>
        <v>1.4137166941154067E-2</v>
      </c>
      <c r="J72" s="50">
        <v>20</v>
      </c>
      <c r="K72" s="48">
        <v>30</v>
      </c>
      <c r="L72" s="203">
        <v>0</v>
      </c>
      <c r="M72" s="281">
        <v>5.1999999999999998E-2</v>
      </c>
      <c r="N72" s="282">
        <v>0.86099999999999999</v>
      </c>
      <c r="O72" s="283">
        <v>25</v>
      </c>
      <c r="P72" s="284">
        <v>0.1</v>
      </c>
      <c r="Q72" s="53">
        <v>0</v>
      </c>
      <c r="R72" s="56" t="s">
        <v>98</v>
      </c>
    </row>
    <row r="73" spans="1:26" ht="43.2" x14ac:dyDescent="0.3">
      <c r="A73" s="40" t="s">
        <v>642</v>
      </c>
      <c r="B73" s="47" t="s">
        <v>583</v>
      </c>
      <c r="C73" s="46">
        <v>1</v>
      </c>
      <c r="D73" s="308">
        <v>16.262</v>
      </c>
      <c r="E73" s="308">
        <v>16.262</v>
      </c>
      <c r="F73" s="46" t="s">
        <v>374</v>
      </c>
      <c r="G73" s="264">
        <v>0.16</v>
      </c>
      <c r="H73" s="264">
        <v>50</v>
      </c>
      <c r="I73" s="49">
        <f t="shared" si="6"/>
        <v>1.4137166941154067E-2</v>
      </c>
      <c r="J73" s="50">
        <v>20</v>
      </c>
      <c r="K73" s="48">
        <v>30</v>
      </c>
      <c r="L73" s="203">
        <v>0</v>
      </c>
      <c r="M73" s="281">
        <v>5.1999999999999998E-2</v>
      </c>
      <c r="N73" s="282">
        <v>0.86099999999999999</v>
      </c>
      <c r="O73" s="283">
        <v>25</v>
      </c>
      <c r="P73" s="284">
        <v>0.1</v>
      </c>
      <c r="Q73" s="53">
        <v>0</v>
      </c>
      <c r="R73" s="56" t="s">
        <v>98</v>
      </c>
    </row>
    <row r="74" spans="1:26" ht="43.2" x14ac:dyDescent="0.3">
      <c r="A74" s="40" t="s">
        <v>642</v>
      </c>
      <c r="B74" s="47" t="s">
        <v>584</v>
      </c>
      <c r="C74" s="46">
        <v>1</v>
      </c>
      <c r="D74" s="308">
        <v>13.641999999999999</v>
      </c>
      <c r="E74" s="308">
        <v>13.641999999999999</v>
      </c>
      <c r="F74" s="46" t="s">
        <v>374</v>
      </c>
      <c r="G74" s="264">
        <v>0.16</v>
      </c>
      <c r="H74" s="264">
        <v>50</v>
      </c>
      <c r="I74" s="49">
        <f t="shared" si="6"/>
        <v>1.4137166941154067E-2</v>
      </c>
      <c r="J74" s="50">
        <v>20</v>
      </c>
      <c r="K74" s="48">
        <v>30</v>
      </c>
      <c r="L74" s="203">
        <v>0</v>
      </c>
      <c r="M74" s="281">
        <v>5.1999999999999998E-2</v>
      </c>
      <c r="N74" s="282">
        <v>0.86099999999999999</v>
      </c>
      <c r="O74" s="283">
        <v>25</v>
      </c>
      <c r="P74" s="284">
        <v>0.1</v>
      </c>
      <c r="Q74" s="53">
        <v>0</v>
      </c>
      <c r="R74" s="56" t="s">
        <v>98</v>
      </c>
    </row>
    <row r="75" spans="1:26" ht="57.6" x14ac:dyDescent="0.3">
      <c r="A75" s="40" t="s">
        <v>642</v>
      </c>
      <c r="B75" s="47" t="s">
        <v>585</v>
      </c>
      <c r="C75" s="46">
        <v>1</v>
      </c>
      <c r="D75" s="308">
        <v>1.0999999999999999E-2</v>
      </c>
      <c r="E75" s="308">
        <v>1.0999999999999999E-2</v>
      </c>
      <c r="F75" s="46" t="s">
        <v>372</v>
      </c>
      <c r="G75" s="264">
        <v>0.3</v>
      </c>
      <c r="H75" s="264" t="s">
        <v>496</v>
      </c>
      <c r="I75" s="49">
        <f t="shared" si="6"/>
        <v>1.4137166941154067E-2</v>
      </c>
      <c r="J75" s="50">
        <v>20</v>
      </c>
      <c r="K75" s="48">
        <v>30</v>
      </c>
      <c r="L75" s="203">
        <v>0</v>
      </c>
      <c r="M75" s="281">
        <v>5.1999999999999998E-2</v>
      </c>
      <c r="N75" s="282">
        <v>0.86099999999999999</v>
      </c>
      <c r="O75" s="283">
        <v>25</v>
      </c>
      <c r="P75" s="284">
        <v>0.1</v>
      </c>
      <c r="Q75" s="53">
        <v>0</v>
      </c>
      <c r="R75" s="56" t="s">
        <v>494</v>
      </c>
    </row>
    <row r="76" spans="1:26" ht="86.4" x14ac:dyDescent="0.3">
      <c r="A76" s="40" t="s">
        <v>642</v>
      </c>
      <c r="B76" s="47" t="s">
        <v>586</v>
      </c>
      <c r="C76" s="46">
        <v>1</v>
      </c>
      <c r="D76" s="308">
        <v>1.7000000000000001E-2</v>
      </c>
      <c r="E76" s="308">
        <v>1.7000000000000001E-2</v>
      </c>
      <c r="F76" s="46" t="s">
        <v>372</v>
      </c>
      <c r="G76" s="264">
        <v>0.3</v>
      </c>
      <c r="H76" s="264" t="s">
        <v>496</v>
      </c>
      <c r="I76" s="49">
        <f t="shared" si="6"/>
        <v>1.4137166941154067E-2</v>
      </c>
      <c r="J76" s="50">
        <v>20</v>
      </c>
      <c r="K76" s="48">
        <v>30</v>
      </c>
      <c r="L76" s="203">
        <v>0</v>
      </c>
      <c r="M76" s="281">
        <v>5.1999999999999998E-2</v>
      </c>
      <c r="N76" s="282">
        <v>0.86099999999999999</v>
      </c>
      <c r="O76" s="283">
        <v>25</v>
      </c>
      <c r="P76" s="284">
        <v>0.1</v>
      </c>
      <c r="Q76" s="53">
        <v>0</v>
      </c>
      <c r="R76" s="56" t="s">
        <v>494</v>
      </c>
    </row>
    <row r="77" spans="1:26" ht="43.2" x14ac:dyDescent="0.3">
      <c r="A77" s="40" t="s">
        <v>642</v>
      </c>
      <c r="B77" s="47" t="s">
        <v>587</v>
      </c>
      <c r="C77" s="46">
        <v>1</v>
      </c>
      <c r="D77" s="305">
        <v>0.1</v>
      </c>
      <c r="E77" s="305">
        <v>0.1</v>
      </c>
      <c r="F77" s="46" t="s">
        <v>372</v>
      </c>
      <c r="G77" s="264">
        <v>0.3</v>
      </c>
      <c r="H77" s="264" t="s">
        <v>496</v>
      </c>
      <c r="I77" s="49">
        <f t="shared" si="6"/>
        <v>1.4137166941154067E-2</v>
      </c>
      <c r="J77" s="50">
        <v>20</v>
      </c>
      <c r="K77" s="48">
        <v>30</v>
      </c>
      <c r="L77" s="203">
        <v>0</v>
      </c>
      <c r="M77" s="281">
        <v>5.1999999999999998E-2</v>
      </c>
      <c r="N77" s="282">
        <v>0.86099999999999999</v>
      </c>
      <c r="O77" s="283">
        <v>25</v>
      </c>
      <c r="P77" s="284">
        <v>0.1</v>
      </c>
      <c r="Q77" s="53">
        <v>0</v>
      </c>
      <c r="R77" s="56" t="s">
        <v>494</v>
      </c>
    </row>
    <row r="78" spans="1:26" ht="57.6" x14ac:dyDescent="0.3">
      <c r="A78" s="40" t="s">
        <v>642</v>
      </c>
      <c r="B78" s="47" t="s">
        <v>588</v>
      </c>
      <c r="C78" s="46">
        <v>1</v>
      </c>
      <c r="D78" s="305">
        <v>16.93</v>
      </c>
      <c r="E78" s="305">
        <v>16.93</v>
      </c>
      <c r="F78" s="46" t="s">
        <v>374</v>
      </c>
      <c r="G78" s="264">
        <v>3.4</v>
      </c>
      <c r="H78" s="264" t="s">
        <v>496</v>
      </c>
      <c r="I78" s="49">
        <f t="shared" si="6"/>
        <v>1.4137166941154067E-2</v>
      </c>
      <c r="J78" s="50">
        <v>20</v>
      </c>
      <c r="K78" s="48">
        <v>30</v>
      </c>
      <c r="L78" s="203">
        <v>0</v>
      </c>
      <c r="M78" s="281">
        <v>5.1999999999999998E-2</v>
      </c>
      <c r="N78" s="282">
        <v>0.86099999999999999</v>
      </c>
      <c r="O78" s="283">
        <v>25</v>
      </c>
      <c r="P78" s="284">
        <v>0.1</v>
      </c>
      <c r="Q78" s="53">
        <v>0</v>
      </c>
      <c r="R78" s="56" t="s">
        <v>98</v>
      </c>
    </row>
    <row r="79" spans="1:26" ht="72" x14ac:dyDescent="0.3">
      <c r="A79" s="40" t="s">
        <v>642</v>
      </c>
      <c r="B79" s="47" t="s">
        <v>589</v>
      </c>
      <c r="C79" s="46">
        <v>1</v>
      </c>
      <c r="D79" s="308">
        <v>18.968</v>
      </c>
      <c r="E79" s="308">
        <v>18.968</v>
      </c>
      <c r="F79" s="46" t="s">
        <v>374</v>
      </c>
      <c r="G79" s="264">
        <v>0.12</v>
      </c>
      <c r="H79" s="264" t="s">
        <v>496</v>
      </c>
      <c r="I79" s="49">
        <f t="shared" si="6"/>
        <v>1.4137166941154067E-2</v>
      </c>
      <c r="J79" s="50">
        <v>20</v>
      </c>
      <c r="K79" s="48">
        <v>30</v>
      </c>
      <c r="L79" s="203">
        <v>0</v>
      </c>
      <c r="M79" s="281">
        <v>5.1999999999999998E-2</v>
      </c>
      <c r="N79" s="282">
        <v>0.86099999999999999</v>
      </c>
      <c r="O79" s="283">
        <v>25</v>
      </c>
      <c r="P79" s="284">
        <v>0.1</v>
      </c>
      <c r="Q79" s="53">
        <v>0</v>
      </c>
      <c r="R79" s="56" t="s">
        <v>98</v>
      </c>
      <c r="Z79" s="298"/>
    </row>
    <row r="80" spans="1:26" ht="43.2" x14ac:dyDescent="0.3">
      <c r="A80" s="40" t="s">
        <v>642</v>
      </c>
      <c r="B80" s="47" t="s">
        <v>590</v>
      </c>
      <c r="C80" s="46">
        <v>1</v>
      </c>
      <c r="D80" s="308">
        <v>10.773</v>
      </c>
      <c r="E80" s="308">
        <v>10.773</v>
      </c>
      <c r="F80" s="46" t="s">
        <v>374</v>
      </c>
      <c r="G80" s="264">
        <v>0.12</v>
      </c>
      <c r="H80" s="264" t="s">
        <v>496</v>
      </c>
      <c r="I80" s="49">
        <f t="shared" si="6"/>
        <v>1.4137166941154067E-2</v>
      </c>
      <c r="J80" s="50">
        <v>20</v>
      </c>
      <c r="K80" s="48">
        <v>30</v>
      </c>
      <c r="L80" s="203">
        <v>0</v>
      </c>
      <c r="M80" s="281">
        <v>5.1999999999999998E-2</v>
      </c>
      <c r="N80" s="282">
        <v>0.86099999999999999</v>
      </c>
      <c r="O80" s="283">
        <v>25</v>
      </c>
      <c r="P80" s="284">
        <v>0.1</v>
      </c>
      <c r="Q80" s="53">
        <v>0</v>
      </c>
      <c r="R80" s="56" t="s">
        <v>98</v>
      </c>
      <c r="Z80" s="298"/>
    </row>
    <row r="81" spans="1:18" ht="43.2" x14ac:dyDescent="0.3">
      <c r="A81" s="40" t="s">
        <v>642</v>
      </c>
      <c r="B81" s="47" t="s">
        <v>591</v>
      </c>
      <c r="C81" s="46">
        <v>1</v>
      </c>
      <c r="D81" s="308">
        <v>20.009</v>
      </c>
      <c r="E81" s="308">
        <v>20.009</v>
      </c>
      <c r="F81" s="46" t="s">
        <v>374</v>
      </c>
      <c r="G81" s="264">
        <v>0.12</v>
      </c>
      <c r="H81" s="264" t="s">
        <v>496</v>
      </c>
      <c r="I81" s="49">
        <f t="shared" si="6"/>
        <v>1.4137166941154067E-2</v>
      </c>
      <c r="J81" s="50">
        <v>20</v>
      </c>
      <c r="K81" s="48">
        <v>30</v>
      </c>
      <c r="L81" s="203">
        <v>0</v>
      </c>
      <c r="M81" s="281">
        <v>5.1999999999999998E-2</v>
      </c>
      <c r="N81" s="282">
        <v>0.86099999999999999</v>
      </c>
      <c r="O81" s="283">
        <v>25</v>
      </c>
      <c r="P81" s="284">
        <v>0.1</v>
      </c>
      <c r="Q81" s="53">
        <v>0</v>
      </c>
      <c r="R81" s="56" t="s">
        <v>98</v>
      </c>
    </row>
    <row r="82" spans="1:18" ht="43.2" x14ac:dyDescent="0.3">
      <c r="A82" s="40" t="s">
        <v>642</v>
      </c>
      <c r="B82" s="47" t="s">
        <v>592</v>
      </c>
      <c r="C82" s="46">
        <v>1</v>
      </c>
      <c r="D82" s="308">
        <v>3.927</v>
      </c>
      <c r="E82" s="308">
        <v>3.927</v>
      </c>
      <c r="F82" s="46" t="s">
        <v>374</v>
      </c>
      <c r="G82" s="264">
        <v>0.6</v>
      </c>
      <c r="H82" s="264" t="s">
        <v>496</v>
      </c>
      <c r="I82" s="49">
        <f t="shared" si="6"/>
        <v>1.4137166941154067E-2</v>
      </c>
      <c r="J82" s="50">
        <v>20</v>
      </c>
      <c r="K82" s="48">
        <v>30</v>
      </c>
      <c r="L82" s="203">
        <v>0</v>
      </c>
      <c r="M82" s="281">
        <v>5.1999999999999998E-2</v>
      </c>
      <c r="N82" s="282">
        <v>0.86099999999999999</v>
      </c>
      <c r="O82" s="283">
        <v>25</v>
      </c>
      <c r="P82" s="284">
        <v>0.1</v>
      </c>
      <c r="Q82" s="53">
        <v>0</v>
      </c>
      <c r="R82" s="56" t="s">
        <v>98</v>
      </c>
    </row>
    <row r="83" spans="1:18" ht="28.8" x14ac:dyDescent="0.3">
      <c r="A83" s="40" t="s">
        <v>642</v>
      </c>
      <c r="B83" s="47" t="s">
        <v>593</v>
      </c>
      <c r="C83" s="46">
        <v>1</v>
      </c>
      <c r="D83" s="308">
        <v>2.1230000000000002</v>
      </c>
      <c r="E83" s="308">
        <v>2.1230000000000002</v>
      </c>
      <c r="F83" s="46" t="s">
        <v>374</v>
      </c>
      <c r="G83" s="264">
        <v>0.6</v>
      </c>
      <c r="H83" s="264" t="s">
        <v>496</v>
      </c>
      <c r="I83" s="49">
        <f t="shared" si="6"/>
        <v>1.4137166941154067E-2</v>
      </c>
      <c r="J83" s="50">
        <v>20</v>
      </c>
      <c r="K83" s="48">
        <v>30</v>
      </c>
      <c r="L83" s="203">
        <v>0</v>
      </c>
      <c r="M83" s="281">
        <v>5.1999999999999998E-2</v>
      </c>
      <c r="N83" s="282">
        <v>0.86099999999999999</v>
      </c>
      <c r="O83" s="283">
        <v>25</v>
      </c>
      <c r="P83" s="284">
        <v>0.1</v>
      </c>
      <c r="Q83" s="53">
        <v>0</v>
      </c>
      <c r="R83" s="56" t="s">
        <v>98</v>
      </c>
    </row>
    <row r="84" spans="1:18" ht="43.2" x14ac:dyDescent="0.3">
      <c r="A84" s="40" t="s">
        <v>642</v>
      </c>
      <c r="B84" s="47" t="s">
        <v>594</v>
      </c>
      <c r="C84" s="46">
        <v>1</v>
      </c>
      <c r="D84" s="308">
        <v>0.39400000000000002</v>
      </c>
      <c r="E84" s="308">
        <v>0.39400000000000002</v>
      </c>
      <c r="F84" s="46" t="s">
        <v>374</v>
      </c>
      <c r="G84" s="264">
        <v>0.01</v>
      </c>
      <c r="H84" s="264" t="s">
        <v>496</v>
      </c>
      <c r="I84" s="49">
        <f t="shared" si="6"/>
        <v>1.4137166941154067E-2</v>
      </c>
      <c r="J84" s="50">
        <v>20</v>
      </c>
      <c r="K84" s="48">
        <v>30</v>
      </c>
      <c r="L84" s="203">
        <v>0</v>
      </c>
      <c r="M84" s="281">
        <v>5.1999999999999998E-2</v>
      </c>
      <c r="N84" s="282">
        <v>0.86099999999999999</v>
      </c>
      <c r="O84" s="283">
        <v>25</v>
      </c>
      <c r="P84" s="284">
        <v>0.1</v>
      </c>
      <c r="Q84" s="53">
        <v>0</v>
      </c>
      <c r="R84" s="56" t="s">
        <v>98</v>
      </c>
    </row>
    <row r="85" spans="1:18" ht="43.2" x14ac:dyDescent="0.3">
      <c r="A85" s="40" t="s">
        <v>642</v>
      </c>
      <c r="B85" s="47" t="s">
        <v>595</v>
      </c>
      <c r="C85" s="46">
        <v>1</v>
      </c>
      <c r="D85" s="308">
        <v>1.2E-2</v>
      </c>
      <c r="E85" s="308">
        <v>1.2E-2</v>
      </c>
      <c r="F85" s="46" t="s">
        <v>372</v>
      </c>
      <c r="G85" s="264">
        <v>0.25</v>
      </c>
      <c r="H85" s="264" t="s">
        <v>496</v>
      </c>
      <c r="I85" s="49">
        <f t="shared" si="6"/>
        <v>1.4137166941154067E-2</v>
      </c>
      <c r="J85" s="50">
        <v>20</v>
      </c>
      <c r="K85" s="48">
        <v>30</v>
      </c>
      <c r="L85" s="203">
        <v>0</v>
      </c>
      <c r="M85" s="281">
        <v>5.1999999999999998E-2</v>
      </c>
      <c r="N85" s="282">
        <v>0.86099999999999999</v>
      </c>
      <c r="O85" s="283">
        <v>25</v>
      </c>
      <c r="P85" s="284">
        <v>0.1</v>
      </c>
      <c r="Q85" s="53">
        <v>0</v>
      </c>
      <c r="R85" s="56" t="s">
        <v>494</v>
      </c>
    </row>
    <row r="86" spans="1:18" ht="100.8" x14ac:dyDescent="0.3">
      <c r="A86" s="40" t="s">
        <v>642</v>
      </c>
      <c r="B86" s="47" t="s">
        <v>596</v>
      </c>
      <c r="C86" s="46">
        <v>1</v>
      </c>
      <c r="D86" s="308">
        <v>4.8470000000000004</v>
      </c>
      <c r="E86" s="308">
        <v>4.8470000000000004</v>
      </c>
      <c r="F86" s="46" t="s">
        <v>374</v>
      </c>
      <c r="G86" s="264">
        <v>0.12</v>
      </c>
      <c r="H86" s="264" t="s">
        <v>496</v>
      </c>
      <c r="I86" s="49">
        <f t="shared" si="6"/>
        <v>1.4137166941154067E-2</v>
      </c>
      <c r="J86" s="50">
        <v>20</v>
      </c>
      <c r="K86" s="48">
        <v>30</v>
      </c>
      <c r="L86" s="203">
        <v>0</v>
      </c>
      <c r="M86" s="281">
        <v>5.1999999999999998E-2</v>
      </c>
      <c r="N86" s="282">
        <v>0.86099999999999999</v>
      </c>
      <c r="O86" s="283">
        <v>25</v>
      </c>
      <c r="P86" s="284">
        <v>0.1</v>
      </c>
      <c r="Q86" s="53">
        <v>0</v>
      </c>
      <c r="R86" s="56" t="s">
        <v>98</v>
      </c>
    </row>
    <row r="87" spans="1:18" ht="28.8" x14ac:dyDescent="0.3">
      <c r="A87" s="40" t="s">
        <v>642</v>
      </c>
      <c r="B87" s="47" t="s">
        <v>597</v>
      </c>
      <c r="C87" s="46">
        <v>1</v>
      </c>
      <c r="D87" s="308">
        <v>0.47399999999999998</v>
      </c>
      <c r="E87" s="308">
        <v>0.47399999999999998</v>
      </c>
      <c r="F87" s="46" t="s">
        <v>374</v>
      </c>
      <c r="G87" s="264">
        <v>0.12</v>
      </c>
      <c r="H87" s="264" t="s">
        <v>496</v>
      </c>
      <c r="I87" s="49">
        <f t="shared" si="6"/>
        <v>1.4137166941154067E-2</v>
      </c>
      <c r="J87" s="50">
        <v>20</v>
      </c>
      <c r="K87" s="48">
        <v>30</v>
      </c>
      <c r="L87" s="203">
        <v>0</v>
      </c>
      <c r="M87" s="281">
        <v>5.1999999999999998E-2</v>
      </c>
      <c r="N87" s="282">
        <v>0.86099999999999999</v>
      </c>
      <c r="O87" s="283">
        <v>25</v>
      </c>
      <c r="P87" s="284">
        <v>0.1</v>
      </c>
      <c r="Q87" s="53">
        <v>0</v>
      </c>
      <c r="R87" s="56" t="s">
        <v>98</v>
      </c>
    </row>
    <row r="88" spans="1:18" ht="28.8" x14ac:dyDescent="0.3">
      <c r="A88" s="40" t="s">
        <v>642</v>
      </c>
      <c r="B88" s="47" t="s">
        <v>598</v>
      </c>
      <c r="C88" s="46">
        <v>1</v>
      </c>
      <c r="D88" s="305">
        <v>0.01</v>
      </c>
      <c r="E88" s="305">
        <v>0.01</v>
      </c>
      <c r="F88" s="46" t="s">
        <v>374</v>
      </c>
      <c r="G88" s="264">
        <v>0.4</v>
      </c>
      <c r="H88" s="264" t="s">
        <v>496</v>
      </c>
      <c r="I88" s="49">
        <f t="shared" si="6"/>
        <v>1.4137166941154067E-2</v>
      </c>
      <c r="J88" s="50">
        <v>20</v>
      </c>
      <c r="K88" s="48">
        <v>30</v>
      </c>
      <c r="L88" s="203">
        <v>0</v>
      </c>
      <c r="M88" s="281">
        <v>5.1999999999999998E-2</v>
      </c>
      <c r="N88" s="282">
        <v>0.86099999999999999</v>
      </c>
      <c r="O88" s="283">
        <v>25</v>
      </c>
      <c r="P88" s="284">
        <v>0.1</v>
      </c>
      <c r="Q88" s="53">
        <v>0</v>
      </c>
      <c r="R88" s="56" t="s">
        <v>645</v>
      </c>
    </row>
    <row r="89" spans="1:18" ht="28.8" x14ac:dyDescent="0.3">
      <c r="A89" s="40" t="s">
        <v>642</v>
      </c>
      <c r="B89" s="47" t="s">
        <v>599</v>
      </c>
      <c r="C89" s="46">
        <v>1</v>
      </c>
      <c r="D89" s="305">
        <v>0.01</v>
      </c>
      <c r="E89" s="305">
        <v>0.01</v>
      </c>
      <c r="F89" s="46" t="s">
        <v>374</v>
      </c>
      <c r="G89" s="264">
        <v>0.63</v>
      </c>
      <c r="H89" s="264" t="s">
        <v>496</v>
      </c>
      <c r="I89" s="49">
        <f t="shared" si="6"/>
        <v>1.4137166941154067E-2</v>
      </c>
      <c r="J89" s="50">
        <v>20</v>
      </c>
      <c r="K89" s="48">
        <v>30</v>
      </c>
      <c r="L89" s="203">
        <v>0</v>
      </c>
      <c r="M89" s="281">
        <v>5.1999999999999998E-2</v>
      </c>
      <c r="N89" s="282">
        <v>0.86099999999999999</v>
      </c>
      <c r="O89" s="283">
        <v>25</v>
      </c>
      <c r="P89" s="284">
        <v>0.1</v>
      </c>
      <c r="Q89" s="53">
        <v>0</v>
      </c>
      <c r="R89" s="56" t="s">
        <v>645</v>
      </c>
    </row>
    <row r="90" spans="1:18" ht="43.2" x14ac:dyDescent="0.3">
      <c r="A90" s="40" t="s">
        <v>642</v>
      </c>
      <c r="B90" s="47" t="s">
        <v>600</v>
      </c>
      <c r="C90" s="46">
        <v>1</v>
      </c>
      <c r="D90" s="308">
        <v>0.1</v>
      </c>
      <c r="E90" s="308">
        <v>0.1</v>
      </c>
      <c r="F90" s="46" t="s">
        <v>643</v>
      </c>
      <c r="G90" s="264">
        <v>0.12</v>
      </c>
      <c r="H90" s="264" t="s">
        <v>496</v>
      </c>
      <c r="I90" s="49">
        <f t="shared" si="6"/>
        <v>1.4137166941154067E-2</v>
      </c>
      <c r="J90" s="50">
        <v>20</v>
      </c>
      <c r="K90" s="48">
        <v>30</v>
      </c>
      <c r="L90" s="203">
        <v>0</v>
      </c>
      <c r="M90" s="281">
        <v>5.1999999999999998E-2</v>
      </c>
      <c r="N90" s="282">
        <v>0.86099999999999999</v>
      </c>
      <c r="O90" s="283">
        <v>25</v>
      </c>
      <c r="P90" s="284">
        <v>0.1</v>
      </c>
      <c r="Q90" s="53">
        <v>0</v>
      </c>
      <c r="R90" s="56" t="s">
        <v>494</v>
      </c>
    </row>
    <row r="91" spans="1:18" ht="57.6" x14ac:dyDescent="0.3">
      <c r="A91" s="40" t="s">
        <v>642</v>
      </c>
      <c r="B91" s="47" t="s">
        <v>601</v>
      </c>
      <c r="C91" s="46">
        <v>1</v>
      </c>
      <c r="D91" s="308">
        <v>0.57099999999999995</v>
      </c>
      <c r="E91" s="308">
        <v>0.57099999999999995</v>
      </c>
      <c r="F91" s="46" t="s">
        <v>374</v>
      </c>
      <c r="G91" s="264">
        <v>0.12</v>
      </c>
      <c r="H91" s="264" t="s">
        <v>496</v>
      </c>
      <c r="I91" s="49">
        <f t="shared" si="6"/>
        <v>1.4137166941154067E-2</v>
      </c>
      <c r="J91" s="50">
        <v>20</v>
      </c>
      <c r="K91" s="48">
        <v>30</v>
      </c>
      <c r="L91" s="203">
        <v>0</v>
      </c>
      <c r="M91" s="281">
        <v>5.1999999999999998E-2</v>
      </c>
      <c r="N91" s="282">
        <v>0.86099999999999999</v>
      </c>
      <c r="O91" s="283">
        <v>25</v>
      </c>
      <c r="P91" s="284">
        <v>0.1</v>
      </c>
      <c r="Q91" s="53">
        <v>0</v>
      </c>
      <c r="R91" s="56" t="s">
        <v>98</v>
      </c>
    </row>
    <row r="92" spans="1:18" ht="43.2" x14ac:dyDescent="0.3">
      <c r="A92" s="40" t="s">
        <v>642</v>
      </c>
      <c r="B92" s="47" t="s">
        <v>602</v>
      </c>
      <c r="C92" s="46">
        <v>1</v>
      </c>
      <c r="D92" s="308">
        <v>1.075</v>
      </c>
      <c r="E92" s="308">
        <v>1.075</v>
      </c>
      <c r="F92" s="46" t="s">
        <v>374</v>
      </c>
      <c r="G92" s="264">
        <v>0.31</v>
      </c>
      <c r="H92" s="264" t="s">
        <v>496</v>
      </c>
      <c r="I92" s="49">
        <f t="shared" si="6"/>
        <v>1.4137166941154067E-2</v>
      </c>
      <c r="J92" s="50">
        <v>20</v>
      </c>
      <c r="K92" s="48">
        <v>30</v>
      </c>
      <c r="L92" s="203">
        <v>0</v>
      </c>
      <c r="M92" s="281">
        <v>5.1999999999999998E-2</v>
      </c>
      <c r="N92" s="282">
        <v>0.86099999999999999</v>
      </c>
      <c r="O92" s="283">
        <v>25</v>
      </c>
      <c r="P92" s="284">
        <v>0.1</v>
      </c>
      <c r="Q92" s="53">
        <v>0</v>
      </c>
      <c r="R92" s="56" t="s">
        <v>98</v>
      </c>
    </row>
    <row r="93" spans="1:18" ht="28.8" x14ac:dyDescent="0.3">
      <c r="A93" s="40" t="s">
        <v>642</v>
      </c>
      <c r="B93" s="47" t="s">
        <v>603</v>
      </c>
      <c r="C93" s="46">
        <v>1</v>
      </c>
      <c r="D93" s="308">
        <v>0.54200000000000004</v>
      </c>
      <c r="E93" s="308">
        <v>0.54200000000000004</v>
      </c>
      <c r="F93" s="46" t="s">
        <v>374</v>
      </c>
      <c r="G93" s="264">
        <v>0.5</v>
      </c>
      <c r="H93" s="264" t="s">
        <v>496</v>
      </c>
      <c r="I93" s="49">
        <f t="shared" si="6"/>
        <v>1.4137166941154067E-2</v>
      </c>
      <c r="J93" s="50">
        <v>20</v>
      </c>
      <c r="K93" s="48">
        <v>30</v>
      </c>
      <c r="L93" s="203">
        <v>0</v>
      </c>
      <c r="M93" s="281">
        <v>5.1999999999999998E-2</v>
      </c>
      <c r="N93" s="282">
        <v>0.86099999999999999</v>
      </c>
      <c r="O93" s="283">
        <v>25</v>
      </c>
      <c r="P93" s="284">
        <v>0.1</v>
      </c>
      <c r="Q93" s="53">
        <v>0</v>
      </c>
      <c r="R93" s="56" t="s">
        <v>98</v>
      </c>
    </row>
    <row r="94" spans="1:18" ht="57.6" x14ac:dyDescent="0.3">
      <c r="A94" s="40" t="s">
        <v>642</v>
      </c>
      <c r="B94" s="47" t="s">
        <v>604</v>
      </c>
      <c r="C94" s="46">
        <v>1</v>
      </c>
      <c r="D94" s="305">
        <v>1</v>
      </c>
      <c r="E94" s="305">
        <v>1</v>
      </c>
      <c r="F94" s="46" t="s">
        <v>374</v>
      </c>
      <c r="G94" s="264">
        <v>0.5</v>
      </c>
      <c r="H94" s="264" t="s">
        <v>496</v>
      </c>
      <c r="I94" s="49">
        <f t="shared" si="6"/>
        <v>1.4137166941154067E-2</v>
      </c>
      <c r="J94" s="50">
        <v>20</v>
      </c>
      <c r="K94" s="48">
        <v>30</v>
      </c>
      <c r="L94" s="203">
        <v>0</v>
      </c>
      <c r="M94" s="281">
        <v>5.1999999999999998E-2</v>
      </c>
      <c r="N94" s="282">
        <v>0.86099999999999999</v>
      </c>
      <c r="O94" s="283">
        <v>25</v>
      </c>
      <c r="P94" s="284">
        <v>0.1</v>
      </c>
      <c r="Q94" s="53">
        <v>0</v>
      </c>
      <c r="R94" s="56" t="s">
        <v>98</v>
      </c>
    </row>
    <row r="95" spans="1:18" ht="28.8" x14ac:dyDescent="0.3">
      <c r="A95" s="40" t="s">
        <v>642</v>
      </c>
      <c r="B95" s="47" t="s">
        <v>605</v>
      </c>
      <c r="C95" s="46">
        <v>1</v>
      </c>
      <c r="D95" s="305">
        <v>1.5</v>
      </c>
      <c r="E95" s="305">
        <v>1.5</v>
      </c>
      <c r="F95" s="46" t="s">
        <v>374</v>
      </c>
      <c r="G95" s="275">
        <v>0.5</v>
      </c>
      <c r="H95" s="264" t="s">
        <v>496</v>
      </c>
      <c r="I95" s="49">
        <f t="shared" si="6"/>
        <v>1.4137166941154067E-2</v>
      </c>
      <c r="J95" s="50">
        <v>20</v>
      </c>
      <c r="K95" s="48">
        <v>30</v>
      </c>
      <c r="L95" s="203">
        <v>0</v>
      </c>
      <c r="M95" s="281">
        <v>5.1999999999999998E-2</v>
      </c>
      <c r="N95" s="282">
        <v>0.86099999999999999</v>
      </c>
      <c r="O95" s="283">
        <v>25</v>
      </c>
      <c r="P95" s="284">
        <v>0.1</v>
      </c>
      <c r="Q95" s="53">
        <v>0</v>
      </c>
      <c r="R95" s="56" t="s">
        <v>98</v>
      </c>
    </row>
    <row r="96" spans="1:18" ht="28.8" x14ac:dyDescent="0.3">
      <c r="A96" s="40" t="s">
        <v>642</v>
      </c>
      <c r="B96" s="47" t="s">
        <v>606</v>
      </c>
      <c r="C96" s="46">
        <v>1</v>
      </c>
      <c r="D96" s="305">
        <v>2</v>
      </c>
      <c r="E96" s="305">
        <v>2</v>
      </c>
      <c r="F96" s="46" t="s">
        <v>374</v>
      </c>
      <c r="G96" s="264">
        <v>0.5</v>
      </c>
      <c r="H96" s="264" t="s">
        <v>496</v>
      </c>
      <c r="I96" s="49">
        <f t="shared" si="6"/>
        <v>1.4137166941154067E-2</v>
      </c>
      <c r="J96" s="50">
        <v>20</v>
      </c>
      <c r="K96" s="48">
        <v>30</v>
      </c>
      <c r="L96" s="203">
        <v>0</v>
      </c>
      <c r="M96" s="281">
        <v>5.1999999999999998E-2</v>
      </c>
      <c r="N96" s="282">
        <v>0.86099999999999999</v>
      </c>
      <c r="O96" s="283">
        <v>25</v>
      </c>
      <c r="P96" s="284">
        <v>0.1</v>
      </c>
      <c r="Q96" s="53">
        <v>0</v>
      </c>
      <c r="R96" s="56" t="s">
        <v>98</v>
      </c>
    </row>
    <row r="97" spans="1:28" ht="43.8" thickBot="1" x14ac:dyDescent="0.35">
      <c r="A97" s="40" t="s">
        <v>642</v>
      </c>
      <c r="B97" s="47" t="s">
        <v>607</v>
      </c>
      <c r="C97" s="312">
        <v>1</v>
      </c>
      <c r="D97" s="305">
        <v>0.01</v>
      </c>
      <c r="E97" s="305">
        <v>0.01</v>
      </c>
      <c r="F97" s="46" t="s">
        <v>374</v>
      </c>
      <c r="G97" s="264">
        <v>0.25</v>
      </c>
      <c r="H97" s="264" t="s">
        <v>496</v>
      </c>
      <c r="I97" s="49">
        <f t="shared" ref="I97:I131" si="7">PI()*(POWER(K97/1000,2)/4)*J97</f>
        <v>1.4137166941154067E-2</v>
      </c>
      <c r="J97" s="50">
        <v>20</v>
      </c>
      <c r="K97" s="48">
        <v>30</v>
      </c>
      <c r="L97" s="203">
        <v>0</v>
      </c>
      <c r="M97" s="281">
        <v>5.1999999999999998E-2</v>
      </c>
      <c r="N97" s="282">
        <v>0.86099999999999999</v>
      </c>
      <c r="O97" s="283">
        <v>25</v>
      </c>
      <c r="P97" s="284">
        <v>0.1</v>
      </c>
      <c r="Q97" s="53">
        <v>0</v>
      </c>
      <c r="R97" s="56" t="s">
        <v>646</v>
      </c>
    </row>
    <row r="98" spans="1:28" ht="43.8" thickBot="1" x14ac:dyDescent="0.35">
      <c r="A98" s="318" t="s">
        <v>639</v>
      </c>
      <c r="B98" s="319" t="s">
        <v>608</v>
      </c>
      <c r="C98" s="320">
        <v>1</v>
      </c>
      <c r="D98" s="321">
        <v>1.44E-2</v>
      </c>
      <c r="E98" s="321">
        <v>1.44E-2</v>
      </c>
      <c r="F98" s="307" t="s">
        <v>372</v>
      </c>
      <c r="G98" s="322">
        <v>0.8</v>
      </c>
      <c r="H98" s="275" t="s">
        <v>496</v>
      </c>
      <c r="I98" s="323">
        <f t="shared" si="7"/>
        <v>1.4137166941154067E-2</v>
      </c>
      <c r="J98" s="324">
        <v>20</v>
      </c>
      <c r="K98" s="325">
        <v>30</v>
      </c>
      <c r="L98" s="326">
        <v>0</v>
      </c>
      <c r="M98" s="327">
        <v>5.1999999999999998E-2</v>
      </c>
      <c r="N98" s="328">
        <v>0.86099999999999999</v>
      </c>
      <c r="O98" s="329">
        <v>25</v>
      </c>
      <c r="P98" s="330">
        <v>0.1</v>
      </c>
      <c r="Q98" s="331">
        <v>0</v>
      </c>
      <c r="R98" s="276" t="s">
        <v>647</v>
      </c>
      <c r="T98" s="276" t="s">
        <v>647</v>
      </c>
      <c r="U98" s="273">
        <f>SUMIF($R$98:$R$123,T98,$E$98:$E$124)</f>
        <v>0.10379999999999999</v>
      </c>
    </row>
    <row r="99" spans="1:28" ht="29.4" thickBot="1" x14ac:dyDescent="0.35">
      <c r="A99" s="40" t="s">
        <v>639</v>
      </c>
      <c r="B99" s="47" t="s">
        <v>609</v>
      </c>
      <c r="C99" s="312">
        <v>1</v>
      </c>
      <c r="D99" s="311">
        <v>1.44E-2</v>
      </c>
      <c r="E99" s="311">
        <v>1.44E-2</v>
      </c>
      <c r="F99" s="46" t="s">
        <v>372</v>
      </c>
      <c r="G99" s="11">
        <v>0.8</v>
      </c>
      <c r="H99" s="264" t="s">
        <v>496</v>
      </c>
      <c r="I99" s="49">
        <f t="shared" si="7"/>
        <v>1.4137166941154067E-2</v>
      </c>
      <c r="J99" s="50">
        <v>20</v>
      </c>
      <c r="K99" s="48">
        <v>30</v>
      </c>
      <c r="L99" s="203">
        <v>0</v>
      </c>
      <c r="M99" s="281">
        <v>5.1999999999999998E-2</v>
      </c>
      <c r="N99" s="282">
        <v>0.86099999999999999</v>
      </c>
      <c r="O99" s="283">
        <v>25</v>
      </c>
      <c r="P99" s="284">
        <v>0.1</v>
      </c>
      <c r="Q99" s="53">
        <v>0</v>
      </c>
      <c r="R99" s="56" t="s">
        <v>647</v>
      </c>
      <c r="T99" s="332" t="s">
        <v>650</v>
      </c>
      <c r="U99" s="273">
        <f>SUMIF($R$98:$R$123,T99,$E$98:$E$123)</f>
        <v>0.12060000000000001</v>
      </c>
    </row>
    <row r="100" spans="1:28" ht="43.8" thickBot="1" x14ac:dyDescent="0.35">
      <c r="A100" s="40" t="s">
        <v>639</v>
      </c>
      <c r="B100" s="303" t="s">
        <v>610</v>
      </c>
      <c r="C100" s="313">
        <v>1</v>
      </c>
      <c r="D100" s="314">
        <v>0.04</v>
      </c>
      <c r="E100" s="179">
        <v>0.04</v>
      </c>
      <c r="F100" s="313" t="s">
        <v>643</v>
      </c>
      <c r="G100" s="313">
        <v>1.6</v>
      </c>
      <c r="H100" s="315" t="s">
        <v>496</v>
      </c>
      <c r="I100" s="49">
        <f t="shared" si="7"/>
        <v>1.4137166941154067E-2</v>
      </c>
      <c r="J100" s="50">
        <v>20</v>
      </c>
      <c r="K100" s="48">
        <v>30</v>
      </c>
      <c r="L100" s="203">
        <v>0</v>
      </c>
      <c r="M100" s="281">
        <v>5.1999999999999998E-2</v>
      </c>
      <c r="N100" s="282">
        <v>0.86099999999999999</v>
      </c>
      <c r="O100" s="283">
        <v>25</v>
      </c>
      <c r="P100" s="284">
        <v>0.1</v>
      </c>
      <c r="Q100" s="53">
        <v>0</v>
      </c>
      <c r="R100" s="313" t="s">
        <v>650</v>
      </c>
      <c r="T100" s="332" t="s">
        <v>652</v>
      </c>
      <c r="U100" s="273">
        <f>SUMIF($R$98:$R$123,T100,$E$98:$E$123)</f>
        <v>1</v>
      </c>
      <c r="Y100" s="7"/>
    </row>
    <row r="101" spans="1:28" ht="43.2" x14ac:dyDescent="0.3">
      <c r="A101" s="40" t="s">
        <v>639</v>
      </c>
      <c r="B101" s="304" t="s">
        <v>611</v>
      </c>
      <c r="C101" s="179">
        <v>1</v>
      </c>
      <c r="D101" s="179">
        <v>1.4E-2</v>
      </c>
      <c r="E101" s="179">
        <v>1.4E-2</v>
      </c>
      <c r="F101" s="46" t="s">
        <v>372</v>
      </c>
      <c r="G101" s="179">
        <v>1.6</v>
      </c>
      <c r="H101" s="315" t="s">
        <v>496</v>
      </c>
      <c r="I101" s="49">
        <f t="shared" si="7"/>
        <v>1.4137166941154067E-2</v>
      </c>
      <c r="J101" s="50">
        <v>20</v>
      </c>
      <c r="K101" s="48">
        <v>30</v>
      </c>
      <c r="L101" s="203">
        <v>0</v>
      </c>
      <c r="M101" s="281">
        <v>5.1999999999999998E-2</v>
      </c>
      <c r="N101" s="282">
        <v>0.86099999999999999</v>
      </c>
      <c r="O101" s="283">
        <v>25</v>
      </c>
      <c r="P101" s="284">
        <v>0.1</v>
      </c>
      <c r="Q101" s="53">
        <v>0</v>
      </c>
      <c r="R101" s="179" t="s">
        <v>647</v>
      </c>
      <c r="T101" s="56"/>
      <c r="U101" s="273">
        <f t="shared" ref="U101" si="8">SUMIF($R$3:$R$170,T101,$E$3:$E$170)</f>
        <v>0</v>
      </c>
    </row>
    <row r="102" spans="1:28" ht="28.8" x14ac:dyDescent="0.3">
      <c r="A102" s="40" t="s">
        <v>639</v>
      </c>
      <c r="B102" s="304" t="s">
        <v>612</v>
      </c>
      <c r="C102" s="179">
        <v>1</v>
      </c>
      <c r="D102" s="179">
        <v>1.0999999999999999E-2</v>
      </c>
      <c r="E102" s="179">
        <v>1.0999999999999999E-2</v>
      </c>
      <c r="F102" s="46" t="s">
        <v>372</v>
      </c>
      <c r="G102" s="179">
        <v>1.6</v>
      </c>
      <c r="H102" s="315" t="s">
        <v>496</v>
      </c>
      <c r="I102" s="49">
        <f t="shared" si="7"/>
        <v>1.4137166941154067E-2</v>
      </c>
      <c r="J102" s="50">
        <v>20</v>
      </c>
      <c r="K102" s="48">
        <v>30</v>
      </c>
      <c r="L102" s="203">
        <v>0</v>
      </c>
      <c r="M102" s="281">
        <v>5.1999999999999998E-2</v>
      </c>
      <c r="N102" s="282">
        <v>0.86099999999999999</v>
      </c>
      <c r="O102" s="283">
        <v>25</v>
      </c>
      <c r="P102" s="284">
        <v>0.1</v>
      </c>
      <c r="Q102" s="53">
        <v>0</v>
      </c>
      <c r="R102" s="179" t="s">
        <v>647</v>
      </c>
    </row>
    <row r="103" spans="1:28" ht="43.2" x14ac:dyDescent="0.3">
      <c r="A103" s="40" t="s">
        <v>639</v>
      </c>
      <c r="B103" s="303" t="s">
        <v>613</v>
      </c>
      <c r="C103" s="179">
        <v>1</v>
      </c>
      <c r="D103" s="179">
        <v>0.04</v>
      </c>
      <c r="E103" s="179">
        <v>0.04</v>
      </c>
      <c r="F103" s="313" t="s">
        <v>643</v>
      </c>
      <c r="G103" s="313">
        <v>1.6</v>
      </c>
      <c r="H103" s="315" t="s">
        <v>496</v>
      </c>
      <c r="I103" s="49">
        <f t="shared" si="7"/>
        <v>1.4137166941154067E-2</v>
      </c>
      <c r="J103" s="50">
        <v>20</v>
      </c>
      <c r="K103" s="48">
        <v>30</v>
      </c>
      <c r="L103" s="203">
        <v>0</v>
      </c>
      <c r="M103" s="281">
        <v>5.1999999999999998E-2</v>
      </c>
      <c r="N103" s="282">
        <v>0.86099999999999999</v>
      </c>
      <c r="O103" s="283">
        <v>25</v>
      </c>
      <c r="P103" s="284">
        <v>0.1</v>
      </c>
      <c r="Q103" s="53">
        <v>0</v>
      </c>
      <c r="R103" s="313" t="s">
        <v>650</v>
      </c>
    </row>
    <row r="104" spans="1:28" ht="28.8" x14ac:dyDescent="0.3">
      <c r="A104" s="40" t="s">
        <v>639</v>
      </c>
      <c r="B104" s="304" t="s">
        <v>614</v>
      </c>
      <c r="C104" s="179">
        <v>1</v>
      </c>
      <c r="D104" s="179">
        <v>1.4E-2</v>
      </c>
      <c r="E104" s="179">
        <v>1.4E-2</v>
      </c>
      <c r="F104" s="46" t="s">
        <v>372</v>
      </c>
      <c r="G104" s="179">
        <v>1.6</v>
      </c>
      <c r="H104" s="315" t="s">
        <v>496</v>
      </c>
      <c r="I104" s="49">
        <f t="shared" si="7"/>
        <v>1.4137166941154067E-2</v>
      </c>
      <c r="J104" s="50">
        <v>20</v>
      </c>
      <c r="K104" s="48">
        <v>30</v>
      </c>
      <c r="L104" s="203">
        <v>0</v>
      </c>
      <c r="M104" s="281">
        <v>5.1999999999999998E-2</v>
      </c>
      <c r="N104" s="282">
        <v>0.86099999999999999</v>
      </c>
      <c r="O104" s="283">
        <v>25</v>
      </c>
      <c r="P104" s="284">
        <v>0.1</v>
      </c>
      <c r="Q104" s="53">
        <v>0</v>
      </c>
      <c r="R104" s="179" t="s">
        <v>647</v>
      </c>
    </row>
    <row r="105" spans="1:28" ht="28.8" x14ac:dyDescent="0.3">
      <c r="A105" s="40" t="s">
        <v>639</v>
      </c>
      <c r="B105" s="304" t="s">
        <v>615</v>
      </c>
      <c r="C105" s="179">
        <v>1</v>
      </c>
      <c r="D105" s="179">
        <v>1.0999999999999999E-2</v>
      </c>
      <c r="E105" s="179">
        <v>1.0999999999999999E-2</v>
      </c>
      <c r="F105" s="46" t="s">
        <v>372</v>
      </c>
      <c r="G105" s="179">
        <v>1.6</v>
      </c>
      <c r="H105" s="315" t="s">
        <v>496</v>
      </c>
      <c r="I105" s="49">
        <f t="shared" si="7"/>
        <v>1.4137166941154067E-2</v>
      </c>
      <c r="J105" s="50">
        <v>20</v>
      </c>
      <c r="K105" s="48">
        <v>30</v>
      </c>
      <c r="L105" s="203">
        <v>0</v>
      </c>
      <c r="M105" s="281">
        <v>5.1999999999999998E-2</v>
      </c>
      <c r="N105" s="282">
        <v>0.86099999999999999</v>
      </c>
      <c r="O105" s="283">
        <v>25</v>
      </c>
      <c r="P105" s="284">
        <v>0.1</v>
      </c>
      <c r="Q105" s="53">
        <v>0</v>
      </c>
      <c r="R105" s="179" t="s">
        <v>647</v>
      </c>
    </row>
    <row r="106" spans="1:28" ht="43.2" x14ac:dyDescent="0.3">
      <c r="A106" s="40" t="s">
        <v>639</v>
      </c>
      <c r="B106" s="303" t="s">
        <v>616</v>
      </c>
      <c r="C106" s="179">
        <v>1</v>
      </c>
      <c r="D106" s="179">
        <v>0.04</v>
      </c>
      <c r="E106" s="179">
        <v>0.04</v>
      </c>
      <c r="F106" s="313" t="s">
        <v>643</v>
      </c>
      <c r="G106" s="313">
        <v>1.6</v>
      </c>
      <c r="H106" s="315" t="s">
        <v>496</v>
      </c>
      <c r="I106" s="49">
        <f t="shared" si="7"/>
        <v>1.4137166941154067E-2</v>
      </c>
      <c r="J106" s="50">
        <v>20</v>
      </c>
      <c r="K106" s="48">
        <v>30</v>
      </c>
      <c r="L106" s="203">
        <v>0</v>
      </c>
      <c r="M106" s="281">
        <v>5.1999999999999998E-2</v>
      </c>
      <c r="N106" s="282">
        <v>0.86099999999999999</v>
      </c>
      <c r="O106" s="283">
        <v>25</v>
      </c>
      <c r="P106" s="284">
        <v>0.1</v>
      </c>
      <c r="Q106" s="53">
        <v>0</v>
      </c>
      <c r="R106" s="313" t="s">
        <v>650</v>
      </c>
    </row>
    <row r="107" spans="1:28" ht="28.8" x14ac:dyDescent="0.3">
      <c r="A107" s="40" t="s">
        <v>639</v>
      </c>
      <c r="B107" s="304" t="s">
        <v>617</v>
      </c>
      <c r="C107" s="179">
        <v>1</v>
      </c>
      <c r="D107" s="179">
        <v>1.4E-2</v>
      </c>
      <c r="E107" s="179">
        <v>1.4E-2</v>
      </c>
      <c r="F107" s="46" t="s">
        <v>372</v>
      </c>
      <c r="G107" s="179">
        <v>1.6</v>
      </c>
      <c r="H107" s="315" t="s">
        <v>496</v>
      </c>
      <c r="I107" s="49">
        <f t="shared" si="7"/>
        <v>1.4137166941154067E-2</v>
      </c>
      <c r="J107" s="50">
        <v>20</v>
      </c>
      <c r="K107" s="48">
        <v>30</v>
      </c>
      <c r="L107" s="203">
        <v>0</v>
      </c>
      <c r="M107" s="281">
        <v>5.1999999999999998E-2</v>
      </c>
      <c r="N107" s="282">
        <v>0.86099999999999999</v>
      </c>
      <c r="O107" s="283">
        <v>25</v>
      </c>
      <c r="P107" s="284">
        <v>0.1</v>
      </c>
      <c r="Q107" s="53">
        <v>0</v>
      </c>
      <c r="R107" s="179" t="s">
        <v>647</v>
      </c>
    </row>
    <row r="108" spans="1:28" ht="28.8" x14ac:dyDescent="0.3">
      <c r="A108" s="40" t="s">
        <v>639</v>
      </c>
      <c r="B108" s="304" t="s">
        <v>618</v>
      </c>
      <c r="C108" s="179">
        <v>1</v>
      </c>
      <c r="D108" s="179">
        <v>1.0999999999999999E-2</v>
      </c>
      <c r="E108" s="179">
        <v>1.0999999999999999E-2</v>
      </c>
      <c r="F108" s="46" t="s">
        <v>372</v>
      </c>
      <c r="G108" s="179">
        <v>1.6</v>
      </c>
      <c r="H108" s="315" t="s">
        <v>496</v>
      </c>
      <c r="I108" s="49">
        <f t="shared" si="7"/>
        <v>1.4137166941154067E-2</v>
      </c>
      <c r="J108" s="50">
        <v>20</v>
      </c>
      <c r="K108" s="48">
        <v>30</v>
      </c>
      <c r="L108" s="203">
        <v>0</v>
      </c>
      <c r="M108" s="281">
        <v>5.1999999999999998E-2</v>
      </c>
      <c r="N108" s="282">
        <v>0.86099999999999999</v>
      </c>
      <c r="O108" s="283">
        <v>25</v>
      </c>
      <c r="P108" s="284">
        <v>0.1</v>
      </c>
      <c r="Q108" s="53">
        <v>0</v>
      </c>
      <c r="R108" s="179" t="s">
        <v>647</v>
      </c>
      <c r="AB108" s="265"/>
    </row>
    <row r="109" spans="1:28" ht="57.6" x14ac:dyDescent="0.3">
      <c r="A109" s="40" t="s">
        <v>639</v>
      </c>
      <c r="B109" s="304" t="s">
        <v>619</v>
      </c>
      <c r="C109" s="179">
        <v>1</v>
      </c>
      <c r="D109" s="179">
        <v>2.0000000000000001E-4</v>
      </c>
      <c r="E109" s="179">
        <v>2.0000000000000001E-4</v>
      </c>
      <c r="F109" s="313" t="s">
        <v>643</v>
      </c>
      <c r="G109" s="313">
        <v>0.5</v>
      </c>
      <c r="H109" s="315" t="s">
        <v>496</v>
      </c>
      <c r="I109" s="49">
        <f t="shared" si="7"/>
        <v>1.4137166941154067E-2</v>
      </c>
      <c r="J109" s="50">
        <v>20</v>
      </c>
      <c r="K109" s="48">
        <v>30</v>
      </c>
      <c r="L109" s="203">
        <v>0</v>
      </c>
      <c r="M109" s="281">
        <v>5.1999999999999998E-2</v>
      </c>
      <c r="N109" s="282">
        <v>0.86099999999999999</v>
      </c>
      <c r="O109" s="283">
        <v>25</v>
      </c>
      <c r="P109" s="284">
        <v>0.1</v>
      </c>
      <c r="Q109" s="53">
        <v>0</v>
      </c>
      <c r="R109" s="313" t="s">
        <v>650</v>
      </c>
    </row>
    <row r="110" spans="1:28" ht="57.6" x14ac:dyDescent="0.3">
      <c r="A110" s="40" t="s">
        <v>639</v>
      </c>
      <c r="B110" s="304" t="s">
        <v>620</v>
      </c>
      <c r="C110" s="179">
        <v>1</v>
      </c>
      <c r="D110" s="179">
        <v>2.0000000000000001E-4</v>
      </c>
      <c r="E110" s="179">
        <v>2.0000000000000001E-4</v>
      </c>
      <c r="F110" s="313" t="s">
        <v>643</v>
      </c>
      <c r="G110" s="313">
        <v>0.5</v>
      </c>
      <c r="H110" s="315" t="s">
        <v>496</v>
      </c>
      <c r="I110" s="49">
        <f t="shared" si="7"/>
        <v>1.4137166941154067E-2</v>
      </c>
      <c r="J110" s="50">
        <v>20</v>
      </c>
      <c r="K110" s="48">
        <v>30</v>
      </c>
      <c r="L110" s="203">
        <v>0</v>
      </c>
      <c r="M110" s="281">
        <v>5.1999999999999998E-2</v>
      </c>
      <c r="N110" s="282">
        <v>0.86099999999999999</v>
      </c>
      <c r="O110" s="283">
        <v>25</v>
      </c>
      <c r="P110" s="284">
        <v>0.1</v>
      </c>
      <c r="Q110" s="53">
        <v>0</v>
      </c>
      <c r="R110" s="313" t="s">
        <v>650</v>
      </c>
    </row>
    <row r="111" spans="1:28" ht="57.6" x14ac:dyDescent="0.3">
      <c r="A111" s="40" t="s">
        <v>639</v>
      </c>
      <c r="B111" s="304" t="s">
        <v>621</v>
      </c>
      <c r="C111" s="179">
        <v>1</v>
      </c>
      <c r="D111" s="179">
        <v>2.0000000000000001E-4</v>
      </c>
      <c r="E111" s="179">
        <v>2.0000000000000001E-4</v>
      </c>
      <c r="F111" s="313" t="s">
        <v>643</v>
      </c>
      <c r="G111" s="313">
        <v>0.5</v>
      </c>
      <c r="H111" s="315" t="s">
        <v>496</v>
      </c>
      <c r="I111" s="49">
        <f t="shared" si="7"/>
        <v>1.4137166941154067E-2</v>
      </c>
      <c r="J111" s="50">
        <v>20</v>
      </c>
      <c r="K111" s="48">
        <v>30</v>
      </c>
      <c r="L111" s="203">
        <v>0</v>
      </c>
      <c r="M111" s="281">
        <v>5.1999999999999998E-2</v>
      </c>
      <c r="N111" s="282">
        <v>0.86099999999999999</v>
      </c>
      <c r="O111" s="283">
        <v>25</v>
      </c>
      <c r="P111" s="284">
        <v>0.1</v>
      </c>
      <c r="Q111" s="53">
        <v>0</v>
      </c>
      <c r="R111" s="313" t="s">
        <v>650</v>
      </c>
    </row>
    <row r="112" spans="1:28" ht="43.2" x14ac:dyDescent="0.3">
      <c r="A112" s="40" t="s">
        <v>639</v>
      </c>
      <c r="B112" s="304" t="s">
        <v>622</v>
      </c>
      <c r="C112" s="179">
        <v>1</v>
      </c>
      <c r="D112" s="179">
        <v>1.1999999999999999E-3</v>
      </c>
      <c r="E112" s="179">
        <v>1.1999999999999999E-3</v>
      </c>
      <c r="F112" s="46" t="s">
        <v>372</v>
      </c>
      <c r="G112" s="179">
        <v>0.5</v>
      </c>
      <c r="H112" s="315" t="s">
        <v>496</v>
      </c>
      <c r="I112" s="49">
        <f t="shared" si="7"/>
        <v>1.4137166941154067E-2</v>
      </c>
      <c r="J112" s="50">
        <v>20</v>
      </c>
      <c r="K112" s="48">
        <v>30</v>
      </c>
      <c r="L112" s="203">
        <v>0</v>
      </c>
      <c r="M112" s="281">
        <v>5.1999999999999998E-2</v>
      </c>
      <c r="N112" s="282">
        <v>0.86099999999999999</v>
      </c>
      <c r="O112" s="283">
        <v>25</v>
      </c>
      <c r="P112" s="284">
        <v>0.1</v>
      </c>
      <c r="Q112" s="53">
        <v>0</v>
      </c>
      <c r="R112" s="179" t="s">
        <v>494</v>
      </c>
    </row>
    <row r="113" spans="1:21" ht="43.2" x14ac:dyDescent="0.3">
      <c r="A113" s="40" t="s">
        <v>639</v>
      </c>
      <c r="B113" s="304" t="s">
        <v>623</v>
      </c>
      <c r="C113" s="179">
        <v>1</v>
      </c>
      <c r="D113" s="179">
        <v>1.1999999999999999E-3</v>
      </c>
      <c r="E113" s="179">
        <v>1.1999999999999999E-3</v>
      </c>
      <c r="F113" s="46" t="s">
        <v>372</v>
      </c>
      <c r="G113" s="179">
        <v>0.5</v>
      </c>
      <c r="H113" s="315" t="s">
        <v>496</v>
      </c>
      <c r="I113" s="49">
        <f t="shared" si="7"/>
        <v>1.4137166941154067E-2</v>
      </c>
      <c r="J113" s="50">
        <v>20</v>
      </c>
      <c r="K113" s="48">
        <v>30</v>
      </c>
      <c r="L113" s="203">
        <v>0</v>
      </c>
      <c r="M113" s="281">
        <v>5.1999999999999998E-2</v>
      </c>
      <c r="N113" s="282">
        <v>0.86099999999999999</v>
      </c>
      <c r="O113" s="283">
        <v>25</v>
      </c>
      <c r="P113" s="284">
        <v>0.1</v>
      </c>
      <c r="Q113" s="53">
        <v>0</v>
      </c>
      <c r="R113" s="179" t="s">
        <v>494</v>
      </c>
    </row>
    <row r="114" spans="1:21" ht="43.2" x14ac:dyDescent="0.3">
      <c r="A114" s="40" t="s">
        <v>639</v>
      </c>
      <c r="B114" s="304" t="s">
        <v>624</v>
      </c>
      <c r="C114" s="179">
        <v>1</v>
      </c>
      <c r="D114" s="179">
        <v>1.1999999999999999E-3</v>
      </c>
      <c r="E114" s="179">
        <v>1.1999999999999999E-3</v>
      </c>
      <c r="F114" s="46" t="s">
        <v>372</v>
      </c>
      <c r="G114" s="179">
        <v>0.5</v>
      </c>
      <c r="H114" s="315" t="s">
        <v>496</v>
      </c>
      <c r="I114" s="49">
        <f t="shared" si="7"/>
        <v>1.4137166941154067E-2</v>
      </c>
      <c r="J114" s="50">
        <v>20</v>
      </c>
      <c r="K114" s="48">
        <v>30</v>
      </c>
      <c r="L114" s="203">
        <v>0</v>
      </c>
      <c r="M114" s="281">
        <v>5.1999999999999998E-2</v>
      </c>
      <c r="N114" s="282">
        <v>0.86099999999999999</v>
      </c>
      <c r="O114" s="283">
        <v>25</v>
      </c>
      <c r="P114" s="284">
        <v>0.1</v>
      </c>
      <c r="Q114" s="53">
        <v>0</v>
      </c>
      <c r="R114" s="179" t="s">
        <v>494</v>
      </c>
    </row>
    <row r="115" spans="1:21" ht="43.2" x14ac:dyDescent="0.3">
      <c r="A115" s="40" t="s">
        <v>639</v>
      </c>
      <c r="B115" s="304" t="s">
        <v>625</v>
      </c>
      <c r="C115" s="179">
        <v>1</v>
      </c>
      <c r="D115" s="179">
        <v>0.5</v>
      </c>
      <c r="E115" s="179">
        <v>0.5</v>
      </c>
      <c r="F115" s="179" t="s">
        <v>643</v>
      </c>
      <c r="G115" s="179">
        <v>7.0000000000000007E-2</v>
      </c>
      <c r="H115" s="315" t="s">
        <v>496</v>
      </c>
      <c r="I115" s="49">
        <f t="shared" si="7"/>
        <v>1.4137166941154067E-2</v>
      </c>
      <c r="J115" s="50">
        <v>20</v>
      </c>
      <c r="K115" s="48">
        <v>30</v>
      </c>
      <c r="L115" s="203">
        <v>0</v>
      </c>
      <c r="M115" s="281">
        <v>5.1999999999999998E-2</v>
      </c>
      <c r="N115" s="282">
        <v>0.86099999999999999</v>
      </c>
      <c r="O115" s="283">
        <v>25</v>
      </c>
      <c r="P115" s="284">
        <v>0.1</v>
      </c>
      <c r="Q115" s="53">
        <v>0</v>
      </c>
      <c r="R115" s="179" t="s">
        <v>651</v>
      </c>
    </row>
    <row r="116" spans="1:21" ht="43.2" x14ac:dyDescent="0.3">
      <c r="A116" s="40" t="s">
        <v>639</v>
      </c>
      <c r="B116" s="304" t="s">
        <v>626</v>
      </c>
      <c r="C116" s="179">
        <v>1</v>
      </c>
      <c r="D116" s="179">
        <v>6.7000000000000004E-2</v>
      </c>
      <c r="E116" s="179">
        <v>6.7000000000000004E-2</v>
      </c>
      <c r="F116" s="46" t="s">
        <v>372</v>
      </c>
      <c r="G116" s="179">
        <v>0.25</v>
      </c>
      <c r="H116" s="315" t="s">
        <v>496</v>
      </c>
      <c r="I116" s="49">
        <f t="shared" si="7"/>
        <v>1.4137166941154067E-2</v>
      </c>
      <c r="J116" s="50">
        <v>20</v>
      </c>
      <c r="K116" s="48">
        <v>30</v>
      </c>
      <c r="L116" s="203">
        <v>0</v>
      </c>
      <c r="M116" s="281">
        <v>5.1999999999999998E-2</v>
      </c>
      <c r="N116" s="282">
        <v>0.86099999999999999</v>
      </c>
      <c r="O116" s="283">
        <v>25</v>
      </c>
      <c r="P116" s="284">
        <v>0.1</v>
      </c>
      <c r="Q116" s="53">
        <v>0</v>
      </c>
      <c r="R116" s="179" t="s">
        <v>494</v>
      </c>
    </row>
    <row r="117" spans="1:21" ht="43.2" x14ac:dyDescent="0.3">
      <c r="A117" s="40" t="s">
        <v>639</v>
      </c>
      <c r="B117" s="304" t="s">
        <v>627</v>
      </c>
      <c r="C117" s="179">
        <v>1</v>
      </c>
      <c r="D117" s="179">
        <v>4.9000000000000002E-2</v>
      </c>
      <c r="E117" s="179">
        <v>4.9000000000000002E-2</v>
      </c>
      <c r="F117" s="46" t="s">
        <v>372</v>
      </c>
      <c r="G117" s="179">
        <v>0.25</v>
      </c>
      <c r="H117" s="315" t="s">
        <v>496</v>
      </c>
      <c r="I117" s="49">
        <f t="shared" si="7"/>
        <v>1.4137166941154067E-2</v>
      </c>
      <c r="J117" s="50">
        <v>20</v>
      </c>
      <c r="K117" s="48">
        <v>30</v>
      </c>
      <c r="L117" s="203">
        <v>0</v>
      </c>
      <c r="M117" s="281">
        <v>5.1999999999999998E-2</v>
      </c>
      <c r="N117" s="282">
        <v>0.86099999999999999</v>
      </c>
      <c r="O117" s="283">
        <v>25</v>
      </c>
      <c r="P117" s="284">
        <v>0.1</v>
      </c>
      <c r="Q117" s="53">
        <v>0</v>
      </c>
      <c r="R117" s="179" t="s">
        <v>494</v>
      </c>
    </row>
    <row r="118" spans="1:21" ht="43.2" x14ac:dyDescent="0.3">
      <c r="A118" s="40" t="s">
        <v>639</v>
      </c>
      <c r="B118" s="304" t="s">
        <v>628</v>
      </c>
      <c r="C118" s="179">
        <v>1</v>
      </c>
      <c r="D118" s="179">
        <v>1.4999999999999999E-2</v>
      </c>
      <c r="E118" s="179">
        <v>1.4999999999999999E-2</v>
      </c>
      <c r="F118" s="46" t="s">
        <v>372</v>
      </c>
      <c r="G118" s="179">
        <v>0.25</v>
      </c>
      <c r="H118" s="315" t="s">
        <v>496</v>
      </c>
      <c r="I118" s="49">
        <f t="shared" si="7"/>
        <v>1.4137166941154067E-2</v>
      </c>
      <c r="J118" s="50">
        <v>20</v>
      </c>
      <c r="K118" s="48">
        <v>30</v>
      </c>
      <c r="L118" s="203">
        <v>0</v>
      </c>
      <c r="M118" s="281">
        <v>5.1999999999999998E-2</v>
      </c>
      <c r="N118" s="282">
        <v>0.86099999999999999</v>
      </c>
      <c r="O118" s="283">
        <v>25</v>
      </c>
      <c r="P118" s="284">
        <v>0.1</v>
      </c>
      <c r="Q118" s="53">
        <v>0</v>
      </c>
      <c r="R118" s="179" t="s">
        <v>494</v>
      </c>
    </row>
    <row r="119" spans="1:21" ht="43.2" x14ac:dyDescent="0.3">
      <c r="A119" s="40" t="s">
        <v>639</v>
      </c>
      <c r="B119" s="304" t="s">
        <v>629</v>
      </c>
      <c r="C119" s="179">
        <v>1</v>
      </c>
      <c r="D119" s="179">
        <v>1.2E-2</v>
      </c>
      <c r="E119" s="179">
        <v>1.2E-2</v>
      </c>
      <c r="F119" s="46" t="s">
        <v>372</v>
      </c>
      <c r="G119" s="179">
        <v>0.25</v>
      </c>
      <c r="H119" s="315" t="s">
        <v>496</v>
      </c>
      <c r="I119" s="49">
        <f t="shared" si="7"/>
        <v>1.4137166941154067E-2</v>
      </c>
      <c r="J119" s="50">
        <v>20</v>
      </c>
      <c r="K119" s="48">
        <v>30</v>
      </c>
      <c r="L119" s="203">
        <v>0</v>
      </c>
      <c r="M119" s="281">
        <v>5.1999999999999998E-2</v>
      </c>
      <c r="N119" s="282">
        <v>0.86099999999999999</v>
      </c>
      <c r="O119" s="283">
        <v>25</v>
      </c>
      <c r="P119" s="284">
        <v>0.1</v>
      </c>
      <c r="Q119" s="53">
        <v>0</v>
      </c>
      <c r="R119" s="179" t="s">
        <v>494</v>
      </c>
    </row>
    <row r="120" spans="1:21" ht="28.8" x14ac:dyDescent="0.3">
      <c r="A120" s="40" t="s">
        <v>639</v>
      </c>
      <c r="B120" s="304" t="s">
        <v>630</v>
      </c>
      <c r="C120" s="179">
        <v>1</v>
      </c>
      <c r="D120" s="179">
        <v>9.8000000000000004E-2</v>
      </c>
      <c r="E120" s="179">
        <v>9.8000000000000004E-2</v>
      </c>
      <c r="F120" s="11" t="s">
        <v>372</v>
      </c>
      <c r="G120" s="179">
        <v>0.6</v>
      </c>
      <c r="H120" s="315" t="s">
        <v>496</v>
      </c>
      <c r="I120" s="49">
        <f t="shared" si="7"/>
        <v>1.4137166941154067E-2</v>
      </c>
      <c r="J120" s="50">
        <v>20</v>
      </c>
      <c r="K120" s="48">
        <v>30</v>
      </c>
      <c r="L120" s="203">
        <v>0</v>
      </c>
      <c r="M120" s="281">
        <v>5.1999999999999998E-2</v>
      </c>
      <c r="N120" s="282">
        <v>0.86099999999999999</v>
      </c>
      <c r="O120" s="283">
        <v>25</v>
      </c>
      <c r="P120" s="284">
        <v>0.1</v>
      </c>
      <c r="Q120" s="53">
        <v>0</v>
      </c>
      <c r="R120" s="316" t="s">
        <v>494</v>
      </c>
    </row>
    <row r="121" spans="1:21" ht="28.8" x14ac:dyDescent="0.3">
      <c r="A121" s="40" t="s">
        <v>639</v>
      </c>
      <c r="B121" s="304" t="s">
        <v>631</v>
      </c>
      <c r="C121" s="179">
        <v>1</v>
      </c>
      <c r="D121" s="179">
        <v>3.2000000000000001E-2</v>
      </c>
      <c r="E121" s="179">
        <v>3.2000000000000001E-2</v>
      </c>
      <c r="F121" s="11" t="s">
        <v>372</v>
      </c>
      <c r="G121" s="179">
        <v>0.6</v>
      </c>
      <c r="H121" s="315" t="s">
        <v>496</v>
      </c>
      <c r="I121" s="49">
        <f t="shared" si="7"/>
        <v>1.4137166941154067E-2</v>
      </c>
      <c r="J121" s="50">
        <v>20</v>
      </c>
      <c r="K121" s="48">
        <v>30</v>
      </c>
      <c r="L121" s="203">
        <v>0</v>
      </c>
      <c r="M121" s="281">
        <v>5.1999999999999998E-2</v>
      </c>
      <c r="N121" s="282">
        <v>0.86099999999999999</v>
      </c>
      <c r="O121" s="283">
        <v>25</v>
      </c>
      <c r="P121" s="284">
        <v>0.1</v>
      </c>
      <c r="Q121" s="53">
        <v>0</v>
      </c>
      <c r="R121" s="316" t="s">
        <v>494</v>
      </c>
    </row>
    <row r="122" spans="1:21" ht="28.8" x14ac:dyDescent="0.3">
      <c r="A122" s="40" t="s">
        <v>639</v>
      </c>
      <c r="B122" s="304" t="s">
        <v>632</v>
      </c>
      <c r="C122" s="179">
        <v>1</v>
      </c>
      <c r="D122" s="179">
        <v>0.5</v>
      </c>
      <c r="E122" s="179">
        <v>0.5</v>
      </c>
      <c r="F122" s="179" t="s">
        <v>643</v>
      </c>
      <c r="G122" s="179">
        <v>0.6</v>
      </c>
      <c r="H122" s="315" t="s">
        <v>496</v>
      </c>
      <c r="I122" s="49">
        <f t="shared" si="7"/>
        <v>1.4137166941154067E-2</v>
      </c>
      <c r="J122" s="50">
        <v>20</v>
      </c>
      <c r="K122" s="48">
        <v>30</v>
      </c>
      <c r="L122" s="203">
        <v>0</v>
      </c>
      <c r="M122" s="281">
        <v>5.1999999999999998E-2</v>
      </c>
      <c r="N122" s="282">
        <v>0.86099999999999999</v>
      </c>
      <c r="O122" s="283">
        <v>25</v>
      </c>
      <c r="P122" s="284">
        <v>0.1</v>
      </c>
      <c r="Q122" s="53">
        <v>0</v>
      </c>
      <c r="R122" s="317" t="s">
        <v>652</v>
      </c>
    </row>
    <row r="123" spans="1:21" ht="29.4" thickBot="1" x14ac:dyDescent="0.35">
      <c r="A123" s="40" t="s">
        <v>639</v>
      </c>
      <c r="B123" s="304" t="s">
        <v>633</v>
      </c>
      <c r="C123" s="179">
        <v>1</v>
      </c>
      <c r="D123" s="179">
        <v>0.5</v>
      </c>
      <c r="E123" s="179">
        <v>0.5</v>
      </c>
      <c r="F123" s="179" t="s">
        <v>643</v>
      </c>
      <c r="G123" s="179">
        <v>1.6</v>
      </c>
      <c r="H123" s="315" t="s">
        <v>496</v>
      </c>
      <c r="I123" s="49">
        <f t="shared" si="7"/>
        <v>1.4137166941154067E-2</v>
      </c>
      <c r="J123" s="50">
        <v>20</v>
      </c>
      <c r="K123" s="48">
        <v>30</v>
      </c>
      <c r="L123" s="203">
        <v>0</v>
      </c>
      <c r="M123" s="281">
        <v>5.1999999999999998E-2</v>
      </c>
      <c r="N123" s="282">
        <v>0.86099999999999999</v>
      </c>
      <c r="O123" s="283">
        <v>25</v>
      </c>
      <c r="P123" s="284">
        <v>0.1</v>
      </c>
      <c r="Q123" s="53">
        <v>0</v>
      </c>
      <c r="R123" s="317" t="s">
        <v>652</v>
      </c>
    </row>
    <row r="124" spans="1:21" ht="15" thickBot="1" x14ac:dyDescent="0.35">
      <c r="A124" s="40" t="s">
        <v>641</v>
      </c>
      <c r="B124" s="304" t="s">
        <v>634</v>
      </c>
      <c r="C124" s="179">
        <v>1</v>
      </c>
      <c r="D124" s="179">
        <v>6.9999999999999999E-4</v>
      </c>
      <c r="E124" s="179">
        <v>6.9999999999999999E-4</v>
      </c>
      <c r="F124" s="11" t="s">
        <v>372</v>
      </c>
      <c r="G124" s="179">
        <v>3.0000000000000001E-3</v>
      </c>
      <c r="H124" s="315" t="s">
        <v>496</v>
      </c>
      <c r="I124" s="49">
        <f t="shared" si="7"/>
        <v>1.4137166941154067E-2</v>
      </c>
      <c r="J124" s="50">
        <v>20</v>
      </c>
      <c r="K124" s="48">
        <v>30</v>
      </c>
      <c r="L124" s="203">
        <v>0</v>
      </c>
      <c r="M124" s="281">
        <v>5.1999999999999998E-2</v>
      </c>
      <c r="N124" s="282">
        <v>0.86099999999999999</v>
      </c>
      <c r="O124" s="283">
        <v>25</v>
      </c>
      <c r="P124" s="284">
        <v>0.1</v>
      </c>
      <c r="Q124" s="53">
        <v>0</v>
      </c>
      <c r="R124" s="317" t="s">
        <v>648</v>
      </c>
      <c r="T124" s="332" t="s">
        <v>648</v>
      </c>
      <c r="U124" s="273">
        <f>SUMIF($R$124:$R$129,T124,$E$124:$E$129)</f>
        <v>1.1594999999999999E-2</v>
      </c>
    </row>
    <row r="125" spans="1:21" ht="15" thickBot="1" x14ac:dyDescent="0.35">
      <c r="A125" s="40" t="s">
        <v>641</v>
      </c>
      <c r="B125" s="304" t="s">
        <v>634</v>
      </c>
      <c r="C125" s="179">
        <v>1</v>
      </c>
      <c r="D125" s="179">
        <v>6.9999999999999999E-4</v>
      </c>
      <c r="E125" s="179">
        <v>6.9999999999999999E-4</v>
      </c>
      <c r="F125" s="11" t="s">
        <v>372</v>
      </c>
      <c r="G125" s="179">
        <v>3.0000000000000001E-3</v>
      </c>
      <c r="H125" s="315" t="s">
        <v>496</v>
      </c>
      <c r="I125" s="49">
        <f t="shared" si="7"/>
        <v>1.4137166941154067E-2</v>
      </c>
      <c r="J125" s="50">
        <v>20</v>
      </c>
      <c r="K125" s="48">
        <v>30</v>
      </c>
      <c r="L125" s="203">
        <v>0</v>
      </c>
      <c r="M125" s="281">
        <v>5.1999999999999998E-2</v>
      </c>
      <c r="N125" s="282">
        <v>0.86099999999999999</v>
      </c>
      <c r="O125" s="283">
        <v>25</v>
      </c>
      <c r="P125" s="284">
        <v>0.1</v>
      </c>
      <c r="Q125" s="53">
        <v>0</v>
      </c>
      <c r="R125" s="317" t="s">
        <v>648</v>
      </c>
      <c r="T125" s="332"/>
      <c r="U125" s="273">
        <f>SUMIF($R$98:$R$123,T125,$E$98:$E$123)</f>
        <v>0</v>
      </c>
    </row>
    <row r="126" spans="1:21" x14ac:dyDescent="0.3">
      <c r="A126" s="40" t="s">
        <v>641</v>
      </c>
      <c r="B126" s="304" t="s">
        <v>634</v>
      </c>
      <c r="C126" s="179">
        <v>1</v>
      </c>
      <c r="D126" s="179">
        <v>6.9999999999999999E-4</v>
      </c>
      <c r="E126" s="179">
        <v>6.9999999999999999E-4</v>
      </c>
      <c r="F126" s="11" t="s">
        <v>372</v>
      </c>
      <c r="G126" s="179">
        <v>3.0000000000000001E-3</v>
      </c>
      <c r="H126" s="315" t="s">
        <v>496</v>
      </c>
      <c r="I126" s="49">
        <f t="shared" si="7"/>
        <v>1.4137166941154067E-2</v>
      </c>
      <c r="J126" s="50">
        <v>20</v>
      </c>
      <c r="K126" s="48">
        <v>30</v>
      </c>
      <c r="L126" s="203">
        <v>0</v>
      </c>
      <c r="M126" s="281">
        <v>5.1999999999999998E-2</v>
      </c>
      <c r="N126" s="282">
        <v>0.86099999999999999</v>
      </c>
      <c r="O126" s="283">
        <v>25</v>
      </c>
      <c r="P126" s="284">
        <v>0.1</v>
      </c>
      <c r="Q126" s="53">
        <v>0</v>
      </c>
      <c r="R126" s="317" t="s">
        <v>648</v>
      </c>
      <c r="T126" s="332"/>
      <c r="U126" s="273">
        <f>SUMIF($R$98:$R$123,T126,$E$98:$E$123)</f>
        <v>0</v>
      </c>
    </row>
    <row r="127" spans="1:21" ht="43.2" x14ac:dyDescent="0.3">
      <c r="A127" s="40" t="s">
        <v>641</v>
      </c>
      <c r="B127" s="304" t="s">
        <v>635</v>
      </c>
      <c r="C127" s="179">
        <v>1</v>
      </c>
      <c r="D127" s="179">
        <v>5.0000000000000001E-4</v>
      </c>
      <c r="E127" s="179">
        <v>5.0000000000000001E-4</v>
      </c>
      <c r="F127" s="11" t="s">
        <v>372</v>
      </c>
      <c r="G127" s="179">
        <v>3.0000000000000001E-3</v>
      </c>
      <c r="H127" s="315" t="s">
        <v>496</v>
      </c>
      <c r="I127" s="49">
        <f t="shared" si="7"/>
        <v>1.4137166941154067E-2</v>
      </c>
      <c r="J127" s="50">
        <v>20</v>
      </c>
      <c r="K127" s="48">
        <v>30</v>
      </c>
      <c r="L127" s="203">
        <v>0</v>
      </c>
      <c r="M127" s="281">
        <v>5.1999999999999998E-2</v>
      </c>
      <c r="N127" s="282">
        <v>0.86099999999999999</v>
      </c>
      <c r="O127" s="283">
        <v>25</v>
      </c>
      <c r="P127" s="284">
        <v>0.1</v>
      </c>
      <c r="Q127" s="53">
        <v>0</v>
      </c>
      <c r="R127" s="317" t="s">
        <v>648</v>
      </c>
    </row>
    <row r="128" spans="1:21" ht="72" x14ac:dyDescent="0.3">
      <c r="A128" s="40" t="s">
        <v>641</v>
      </c>
      <c r="B128" s="304" t="s">
        <v>636</v>
      </c>
      <c r="C128" s="179">
        <v>1</v>
      </c>
      <c r="D128" s="179">
        <v>8.8999999999999999E-3</v>
      </c>
      <c r="E128" s="179">
        <v>8.8999999999999999E-3</v>
      </c>
      <c r="F128" s="11" t="s">
        <v>372</v>
      </c>
      <c r="G128" s="179">
        <v>3.0000000000000001E-3</v>
      </c>
      <c r="H128" s="315" t="s">
        <v>496</v>
      </c>
      <c r="I128" s="49">
        <f t="shared" si="7"/>
        <v>1.4137166941154067E-2</v>
      </c>
      <c r="J128" s="50">
        <v>20</v>
      </c>
      <c r="K128" s="48">
        <v>30</v>
      </c>
      <c r="L128" s="203">
        <v>0</v>
      </c>
      <c r="M128" s="281">
        <v>5.1999999999999998E-2</v>
      </c>
      <c r="N128" s="282">
        <v>0.86099999999999999</v>
      </c>
      <c r="O128" s="283">
        <v>25</v>
      </c>
      <c r="P128" s="284">
        <v>0.1</v>
      </c>
      <c r="Q128" s="53">
        <v>0</v>
      </c>
      <c r="R128" s="317" t="s">
        <v>648</v>
      </c>
    </row>
    <row r="129" spans="1:21" ht="58.2" thickBot="1" x14ac:dyDescent="0.35">
      <c r="A129" s="40" t="s">
        <v>641</v>
      </c>
      <c r="B129" s="304" t="s">
        <v>637</v>
      </c>
      <c r="C129" s="179">
        <v>1</v>
      </c>
      <c r="D129" s="179">
        <v>9.5000000000000005E-5</v>
      </c>
      <c r="E129" s="179">
        <v>9.5000000000000005E-5</v>
      </c>
      <c r="F129" s="11" t="s">
        <v>372</v>
      </c>
      <c r="G129" s="179">
        <v>3.0000000000000001E-3</v>
      </c>
      <c r="H129" s="315" t="s">
        <v>496</v>
      </c>
      <c r="I129" s="49">
        <f t="shared" si="7"/>
        <v>1.4137166941154067E-2</v>
      </c>
      <c r="J129" s="50">
        <v>20</v>
      </c>
      <c r="K129" s="48">
        <v>30</v>
      </c>
      <c r="L129" s="203">
        <v>0</v>
      </c>
      <c r="M129" s="281">
        <v>5.1999999999999998E-2</v>
      </c>
      <c r="N129" s="282">
        <v>0.86099999999999999</v>
      </c>
      <c r="O129" s="283">
        <v>25</v>
      </c>
      <c r="P129" s="284">
        <v>0.1</v>
      </c>
      <c r="Q129" s="53">
        <v>0</v>
      </c>
      <c r="R129" s="317" t="s">
        <v>648</v>
      </c>
    </row>
    <row r="130" spans="1:21" ht="28.8" x14ac:dyDescent="0.3">
      <c r="A130" s="40" t="s">
        <v>640</v>
      </c>
      <c r="B130" s="304" t="s">
        <v>638</v>
      </c>
      <c r="C130" s="179">
        <v>1</v>
      </c>
      <c r="D130" s="179">
        <v>0.15</v>
      </c>
      <c r="E130" s="179">
        <v>0.15</v>
      </c>
      <c r="F130" s="179" t="s">
        <v>374</v>
      </c>
      <c r="G130" s="179">
        <v>0.4</v>
      </c>
      <c r="H130" s="315" t="s">
        <v>496</v>
      </c>
      <c r="I130" s="49">
        <f t="shared" si="7"/>
        <v>1.4137166941154067E-2</v>
      </c>
      <c r="J130" s="50">
        <v>20</v>
      </c>
      <c r="K130" s="48">
        <v>30</v>
      </c>
      <c r="L130" s="203">
        <v>0</v>
      </c>
      <c r="M130" s="281">
        <v>5.1999999999999998E-2</v>
      </c>
      <c r="N130" s="282">
        <v>0.86099999999999999</v>
      </c>
      <c r="O130" s="283">
        <v>25</v>
      </c>
      <c r="P130" s="284">
        <v>0.1</v>
      </c>
      <c r="Q130" s="53">
        <v>0</v>
      </c>
      <c r="R130" s="317" t="s">
        <v>649</v>
      </c>
      <c r="T130" s="332" t="s">
        <v>649</v>
      </c>
      <c r="U130" s="273">
        <f>SUMIF($R$130:$R$131,T130,$E$130:$E$131)</f>
        <v>0.3</v>
      </c>
    </row>
    <row r="131" spans="1:21" ht="28.8" x14ac:dyDescent="0.3">
      <c r="A131" s="40" t="s">
        <v>640</v>
      </c>
      <c r="B131" s="304" t="s">
        <v>638</v>
      </c>
      <c r="C131" s="179">
        <v>1</v>
      </c>
      <c r="D131" s="179">
        <v>0.15</v>
      </c>
      <c r="E131" s="179">
        <v>0.15</v>
      </c>
      <c r="F131" s="179" t="s">
        <v>374</v>
      </c>
      <c r="G131" s="179">
        <v>0.4</v>
      </c>
      <c r="H131" s="315" t="s">
        <v>496</v>
      </c>
      <c r="I131" s="49">
        <f t="shared" si="7"/>
        <v>1.4137166941154067E-2</v>
      </c>
      <c r="J131" s="50">
        <v>20</v>
      </c>
      <c r="K131" s="48">
        <v>30</v>
      </c>
      <c r="L131" s="203">
        <v>0</v>
      </c>
      <c r="M131" s="281">
        <v>5.1999999999999998E-2</v>
      </c>
      <c r="N131" s="282">
        <v>0.86099999999999999</v>
      </c>
      <c r="O131" s="283">
        <v>25</v>
      </c>
      <c r="P131" s="284">
        <v>0.1</v>
      </c>
      <c r="Q131" s="53">
        <v>0</v>
      </c>
      <c r="R131" s="317" t="s">
        <v>649</v>
      </c>
    </row>
    <row r="132" spans="1:21" x14ac:dyDescent="0.3">
      <c r="B132" s="278"/>
      <c r="C132" s="279"/>
      <c r="E132" s="286"/>
      <c r="H132" s="275"/>
      <c r="I132" s="49"/>
      <c r="J132" s="50"/>
      <c r="K132" s="48"/>
      <c r="L132" s="203"/>
      <c r="M132" s="281"/>
      <c r="N132" s="282"/>
      <c r="O132" s="283"/>
      <c r="P132" s="284"/>
      <c r="Q132" s="53"/>
      <c r="R132"/>
    </row>
    <row r="133" spans="1:21" x14ac:dyDescent="0.3">
      <c r="B133" s="278"/>
      <c r="C133" s="279"/>
      <c r="E133" s="286"/>
      <c r="H133" s="275"/>
      <c r="I133" s="49"/>
      <c r="J133" s="50"/>
      <c r="K133" s="48"/>
      <c r="L133" s="203"/>
      <c r="M133" s="281"/>
      <c r="N133" s="282"/>
      <c r="O133" s="283"/>
      <c r="P133" s="284"/>
      <c r="Q133" s="53"/>
      <c r="R133"/>
    </row>
    <row r="134" spans="1:21" x14ac:dyDescent="0.3">
      <c r="B134" s="278"/>
      <c r="C134" s="279"/>
      <c r="E134" s="286"/>
      <c r="H134" s="275"/>
      <c r="I134" s="49"/>
      <c r="J134" s="50"/>
      <c r="K134" s="48"/>
      <c r="L134" s="203"/>
      <c r="M134" s="281"/>
      <c r="N134" s="282"/>
      <c r="O134" s="283"/>
      <c r="P134" s="284"/>
      <c r="Q134" s="53"/>
      <c r="R134"/>
    </row>
    <row r="135" spans="1:21" x14ac:dyDescent="0.3">
      <c r="B135" s="278"/>
      <c r="C135" s="279"/>
      <c r="E135" s="286"/>
      <c r="H135" s="275"/>
      <c r="I135" s="49"/>
      <c r="J135" s="50"/>
      <c r="K135" s="48"/>
      <c r="L135" s="203"/>
      <c r="M135" s="281"/>
      <c r="N135" s="282"/>
      <c r="O135" s="283"/>
      <c r="P135" s="284"/>
      <c r="Q135" s="53"/>
      <c r="R135"/>
    </row>
    <row r="136" spans="1:21" x14ac:dyDescent="0.3">
      <c r="B136" s="278"/>
      <c r="C136" s="279"/>
      <c r="E136" s="286"/>
      <c r="H136" s="275"/>
      <c r="I136" s="49"/>
      <c r="J136" s="50"/>
      <c r="K136" s="48"/>
      <c r="L136" s="203"/>
      <c r="M136" s="281"/>
      <c r="N136" s="282"/>
      <c r="O136" s="283"/>
      <c r="P136" s="284"/>
      <c r="Q136" s="53"/>
      <c r="R136"/>
    </row>
    <row r="137" spans="1:21" x14ac:dyDescent="0.3">
      <c r="B137" s="278"/>
      <c r="C137" s="279"/>
      <c r="E137" s="286"/>
      <c r="H137" s="275"/>
      <c r="I137" s="49"/>
      <c r="J137" s="50"/>
      <c r="K137" s="48"/>
      <c r="L137" s="203"/>
      <c r="M137" s="281"/>
      <c r="N137" s="282"/>
      <c r="O137" s="283"/>
      <c r="P137" s="284"/>
      <c r="Q137" s="53"/>
      <c r="R137"/>
    </row>
    <row r="138" spans="1:21" x14ac:dyDescent="0.3">
      <c r="B138" s="278"/>
      <c r="C138" s="280"/>
      <c r="E138" s="286"/>
      <c r="H138" s="275"/>
      <c r="I138" s="49"/>
      <c r="J138" s="50"/>
      <c r="K138" s="48"/>
      <c r="L138" s="203"/>
      <c r="M138" s="281"/>
      <c r="N138" s="282"/>
      <c r="O138" s="283"/>
      <c r="P138" s="284"/>
      <c r="Q138" s="53"/>
      <c r="R138"/>
    </row>
    <row r="139" spans="1:21" x14ac:dyDescent="0.3">
      <c r="B139" s="278"/>
      <c r="C139" s="285"/>
      <c r="E139" s="286"/>
      <c r="H139" s="275"/>
      <c r="I139" s="49"/>
      <c r="J139" s="50"/>
      <c r="K139" s="48"/>
      <c r="L139" s="203"/>
      <c r="M139" s="281"/>
      <c r="N139" s="282"/>
      <c r="O139" s="283"/>
      <c r="P139" s="284"/>
      <c r="Q139" s="53"/>
      <c r="R139"/>
    </row>
    <row r="140" spans="1:21" x14ac:dyDescent="0.3">
      <c r="B140" s="278"/>
      <c r="C140" s="285"/>
      <c r="E140" s="286"/>
      <c r="H140" s="275"/>
      <c r="I140" s="49"/>
      <c r="J140" s="50"/>
      <c r="K140" s="48"/>
      <c r="L140" s="203"/>
      <c r="M140" s="281"/>
      <c r="N140" s="282"/>
      <c r="O140" s="283"/>
      <c r="P140" s="284"/>
      <c r="Q140" s="53"/>
      <c r="R140"/>
    </row>
    <row r="141" spans="1:21" x14ac:dyDescent="0.3">
      <c r="B141" s="278"/>
      <c r="C141" s="285"/>
      <c r="D141" s="3"/>
      <c r="E141" s="286"/>
      <c r="H141" s="275"/>
      <c r="I141" s="49"/>
      <c r="J141" s="50"/>
      <c r="K141" s="48"/>
      <c r="L141" s="203"/>
      <c r="M141" s="281"/>
      <c r="N141" s="282"/>
      <c r="O141" s="283"/>
      <c r="P141" s="284"/>
      <c r="Q141" s="53"/>
      <c r="R141"/>
    </row>
    <row r="142" spans="1:21" x14ac:dyDescent="0.3">
      <c r="B142" s="278"/>
      <c r="C142" s="285"/>
      <c r="E142" s="286"/>
      <c r="H142" s="275"/>
      <c r="I142" s="49"/>
      <c r="J142" s="50"/>
      <c r="K142" s="48"/>
      <c r="L142" s="203"/>
      <c r="M142" s="281"/>
      <c r="N142" s="282"/>
      <c r="O142" s="283"/>
      <c r="P142" s="284"/>
      <c r="Q142" s="53"/>
      <c r="R142"/>
    </row>
    <row r="143" spans="1:21" x14ac:dyDescent="0.3">
      <c r="B143" s="278"/>
      <c r="C143" s="285"/>
      <c r="E143" s="286"/>
      <c r="H143" s="275"/>
      <c r="I143" s="49"/>
      <c r="J143" s="50"/>
      <c r="K143" s="48"/>
      <c r="L143" s="203"/>
      <c r="M143" s="281"/>
      <c r="N143" s="282"/>
      <c r="O143" s="283"/>
      <c r="P143" s="284"/>
      <c r="Q143" s="53"/>
      <c r="R143"/>
    </row>
    <row r="144" spans="1:21" x14ac:dyDescent="0.3">
      <c r="B144" s="278"/>
      <c r="C144" s="285"/>
      <c r="E144" s="286"/>
      <c r="H144" s="275"/>
      <c r="I144" s="49"/>
      <c r="J144" s="50"/>
      <c r="K144" s="48"/>
      <c r="L144" s="203"/>
      <c r="M144" s="281"/>
      <c r="N144" s="282"/>
      <c r="O144" s="283"/>
      <c r="P144" s="284"/>
      <c r="Q144" s="53"/>
      <c r="R144"/>
    </row>
    <row r="145" spans="2:18" x14ac:dyDescent="0.3">
      <c r="B145" s="278"/>
      <c r="C145" s="279"/>
      <c r="D145" s="3"/>
      <c r="E145" s="286"/>
      <c r="H145" s="275"/>
      <c r="I145" s="49"/>
      <c r="J145" s="50"/>
      <c r="K145" s="48"/>
      <c r="L145" s="203"/>
      <c r="M145" s="281"/>
      <c r="N145" s="282"/>
      <c r="O145" s="283"/>
      <c r="P145" s="284"/>
      <c r="Q145" s="53"/>
      <c r="R145"/>
    </row>
    <row r="146" spans="2:18" x14ac:dyDescent="0.3">
      <c r="B146" s="278"/>
      <c r="C146" s="279"/>
      <c r="E146" s="286"/>
      <c r="H146" s="275"/>
      <c r="I146" s="49"/>
      <c r="J146" s="50"/>
      <c r="K146" s="48"/>
      <c r="L146" s="203"/>
      <c r="M146" s="281"/>
      <c r="N146" s="282"/>
      <c r="O146" s="283"/>
      <c r="P146" s="284"/>
      <c r="Q146" s="53"/>
      <c r="R146"/>
    </row>
    <row r="147" spans="2:18" x14ac:dyDescent="0.3">
      <c r="B147" s="278"/>
      <c r="C147" s="279"/>
      <c r="E147" s="286"/>
      <c r="H147" s="275"/>
      <c r="I147" s="49"/>
      <c r="J147" s="50"/>
      <c r="K147" s="48"/>
      <c r="L147" s="203"/>
      <c r="M147" s="281"/>
      <c r="N147" s="282"/>
      <c r="O147" s="283"/>
      <c r="P147" s="284"/>
      <c r="Q147" s="53"/>
      <c r="R147"/>
    </row>
    <row r="148" spans="2:18" x14ac:dyDescent="0.3">
      <c r="B148" s="278"/>
      <c r="C148" s="279"/>
      <c r="E148" s="286"/>
      <c r="H148" s="275"/>
      <c r="I148" s="49"/>
      <c r="J148" s="50"/>
      <c r="K148" s="48"/>
      <c r="L148" s="203"/>
      <c r="M148" s="281"/>
      <c r="N148" s="282"/>
      <c r="O148" s="283"/>
      <c r="P148" s="284"/>
      <c r="Q148" s="53"/>
      <c r="R148"/>
    </row>
    <row r="149" spans="2:18" x14ac:dyDescent="0.3">
      <c r="B149" s="278"/>
      <c r="C149" s="279"/>
      <c r="E149" s="286"/>
      <c r="H149" s="275"/>
      <c r="I149" s="49"/>
      <c r="J149" s="50"/>
      <c r="K149" s="48"/>
      <c r="L149" s="203"/>
      <c r="M149" s="281"/>
      <c r="N149" s="282"/>
      <c r="O149" s="283"/>
      <c r="P149" s="284"/>
      <c r="Q149" s="53"/>
      <c r="R149"/>
    </row>
    <row r="150" spans="2:18" x14ac:dyDescent="0.3">
      <c r="B150" s="278"/>
      <c r="C150" s="279"/>
      <c r="E150" s="286"/>
      <c r="H150" s="275"/>
      <c r="I150" s="49"/>
      <c r="J150" s="50"/>
      <c r="K150" s="48"/>
      <c r="L150" s="203"/>
      <c r="M150" s="281"/>
      <c r="N150" s="282"/>
      <c r="O150" s="283"/>
      <c r="P150" s="284"/>
      <c r="Q150" s="53"/>
      <c r="R150"/>
    </row>
    <row r="151" spans="2:18" x14ac:dyDescent="0.3">
      <c r="B151" s="278"/>
      <c r="C151" s="280"/>
      <c r="E151" s="286"/>
      <c r="H151" s="275"/>
      <c r="I151" s="49"/>
      <c r="J151" s="50"/>
      <c r="K151" s="48"/>
      <c r="L151" s="203"/>
      <c r="M151" s="281"/>
      <c r="N151" s="282"/>
      <c r="O151" s="283"/>
      <c r="P151" s="284"/>
      <c r="Q151" s="53"/>
      <c r="R151"/>
    </row>
    <row r="152" spans="2:18" x14ac:dyDescent="0.3">
      <c r="B152" s="278"/>
      <c r="C152" s="285"/>
      <c r="E152" s="286"/>
      <c r="H152" s="275"/>
      <c r="I152" s="49"/>
      <c r="J152" s="50"/>
      <c r="K152" s="48"/>
      <c r="L152" s="203"/>
      <c r="M152" s="281"/>
      <c r="N152" s="282"/>
      <c r="O152" s="283"/>
      <c r="P152" s="284"/>
      <c r="Q152" s="53"/>
      <c r="R152"/>
    </row>
    <row r="153" spans="2:18" x14ac:dyDescent="0.3">
      <c r="B153" s="278"/>
      <c r="C153" s="285"/>
      <c r="E153" s="286"/>
      <c r="H153" s="275"/>
      <c r="I153" s="49"/>
      <c r="J153" s="50"/>
      <c r="K153" s="48"/>
      <c r="L153" s="203"/>
      <c r="M153" s="281"/>
      <c r="N153" s="282"/>
      <c r="O153" s="283"/>
      <c r="P153" s="284"/>
      <c r="Q153" s="53"/>
      <c r="R153"/>
    </row>
    <row r="154" spans="2:18" x14ac:dyDescent="0.3">
      <c r="B154" s="278"/>
      <c r="C154" s="285"/>
      <c r="E154" s="286"/>
      <c r="H154" s="275"/>
      <c r="I154" s="49"/>
      <c r="J154" s="50"/>
      <c r="K154" s="48"/>
      <c r="L154" s="203"/>
      <c r="M154" s="281"/>
      <c r="N154" s="282"/>
      <c r="O154" s="283"/>
      <c r="P154" s="284"/>
      <c r="Q154" s="53"/>
      <c r="R154"/>
    </row>
    <row r="155" spans="2:18" x14ac:dyDescent="0.3">
      <c r="B155" s="278"/>
      <c r="C155" s="285"/>
      <c r="E155" s="286"/>
      <c r="H155" s="275"/>
      <c r="I155" s="49"/>
      <c r="J155" s="50"/>
      <c r="K155" s="48"/>
      <c r="L155" s="203"/>
      <c r="M155" s="281"/>
      <c r="N155" s="282"/>
      <c r="O155" s="283"/>
      <c r="P155" s="284"/>
      <c r="Q155" s="53"/>
      <c r="R155"/>
    </row>
    <row r="156" spans="2:18" x14ac:dyDescent="0.3">
      <c r="B156" s="278"/>
      <c r="C156" s="285"/>
      <c r="E156" s="286"/>
      <c r="H156" s="275"/>
      <c r="I156" s="49"/>
      <c r="J156" s="50"/>
      <c r="K156" s="48"/>
      <c r="L156" s="203"/>
      <c r="M156" s="281"/>
      <c r="N156" s="282"/>
      <c r="O156" s="283"/>
      <c r="P156" s="284"/>
      <c r="Q156" s="53"/>
      <c r="R156"/>
    </row>
    <row r="157" spans="2:18" x14ac:dyDescent="0.3">
      <c r="B157" s="278"/>
      <c r="C157" s="285"/>
      <c r="E157" s="286"/>
      <c r="H157" s="275"/>
      <c r="I157" s="49"/>
      <c r="J157" s="50"/>
      <c r="K157" s="48"/>
      <c r="L157" s="203"/>
      <c r="M157" s="281"/>
      <c r="N157" s="282"/>
      <c r="O157" s="283"/>
      <c r="P157" s="284"/>
      <c r="Q157" s="53"/>
      <c r="R157"/>
    </row>
    <row r="158" spans="2:18" x14ac:dyDescent="0.3">
      <c r="B158" s="278"/>
      <c r="C158" s="279"/>
      <c r="E158" s="286"/>
      <c r="H158" s="275"/>
      <c r="I158" s="49"/>
      <c r="J158" s="50"/>
      <c r="K158" s="48"/>
      <c r="L158" s="203"/>
      <c r="M158" s="281"/>
      <c r="N158" s="282"/>
      <c r="O158" s="283"/>
      <c r="P158" s="284"/>
      <c r="Q158" s="53"/>
      <c r="R158"/>
    </row>
    <row r="159" spans="2:18" x14ac:dyDescent="0.3">
      <c r="B159" s="278"/>
      <c r="C159" s="279"/>
      <c r="E159" s="286"/>
      <c r="H159" s="275"/>
      <c r="I159" s="49"/>
      <c r="J159" s="50"/>
      <c r="K159" s="48"/>
      <c r="L159" s="203"/>
      <c r="M159" s="281"/>
      <c r="N159" s="282"/>
      <c r="O159" s="283"/>
      <c r="P159" s="284"/>
      <c r="Q159" s="53"/>
      <c r="R159"/>
    </row>
    <row r="160" spans="2:18" x14ac:dyDescent="0.3">
      <c r="B160" s="278"/>
      <c r="C160" s="279"/>
      <c r="E160" s="286"/>
      <c r="H160" s="275"/>
      <c r="I160" s="49"/>
      <c r="J160" s="50"/>
      <c r="K160" s="48"/>
      <c r="L160" s="203"/>
      <c r="M160" s="281"/>
      <c r="N160" s="282"/>
      <c r="O160" s="283"/>
      <c r="P160" s="284"/>
      <c r="Q160" s="53"/>
      <c r="R160"/>
    </row>
    <row r="161" spans="2:25" x14ac:dyDescent="0.3">
      <c r="B161" s="278"/>
      <c r="C161" s="279"/>
      <c r="E161" s="286"/>
      <c r="H161" s="275"/>
      <c r="I161" s="49"/>
      <c r="J161" s="50"/>
      <c r="K161" s="48"/>
      <c r="L161" s="203"/>
      <c r="M161" s="281"/>
      <c r="N161" s="282"/>
      <c r="O161" s="283"/>
      <c r="P161" s="284"/>
      <c r="Q161" s="53"/>
      <c r="R161"/>
    </row>
    <row r="162" spans="2:25" x14ac:dyDescent="0.3">
      <c r="B162" s="278"/>
      <c r="C162" s="279"/>
      <c r="E162" s="286"/>
      <c r="H162" s="275"/>
      <c r="I162" s="49"/>
      <c r="J162" s="50"/>
      <c r="K162" s="48"/>
      <c r="L162" s="203"/>
      <c r="M162" s="281"/>
      <c r="N162" s="282"/>
      <c r="O162" s="283"/>
      <c r="P162" s="284"/>
      <c r="Q162" s="53"/>
      <c r="R162"/>
      <c r="V162" s="302"/>
    </row>
    <row r="163" spans="2:25" x14ac:dyDescent="0.3">
      <c r="B163" s="278"/>
      <c r="C163" s="279"/>
      <c r="E163" s="286"/>
      <c r="H163" s="275"/>
      <c r="I163" s="49"/>
      <c r="J163" s="50"/>
      <c r="K163" s="48"/>
      <c r="L163" s="203"/>
      <c r="M163" s="281"/>
      <c r="N163" s="282"/>
      <c r="O163" s="283"/>
      <c r="P163" s="284"/>
      <c r="Q163" s="53"/>
      <c r="R163"/>
      <c r="V163" s="302"/>
    </row>
    <row r="164" spans="2:25" x14ac:dyDescent="0.3">
      <c r="B164" s="278"/>
      <c r="C164" s="280"/>
      <c r="E164" s="286"/>
      <c r="H164" s="275"/>
      <c r="I164" s="49"/>
      <c r="J164" s="50"/>
      <c r="K164" s="48"/>
      <c r="L164" s="203"/>
      <c r="M164" s="281"/>
      <c r="N164" s="282"/>
      <c r="O164" s="283"/>
      <c r="P164" s="284"/>
      <c r="Q164" s="53"/>
      <c r="R164"/>
      <c r="V164" s="302"/>
    </row>
    <row r="165" spans="2:25" x14ac:dyDescent="0.3">
      <c r="B165" s="278"/>
      <c r="C165" s="285"/>
      <c r="E165" s="286"/>
      <c r="H165" s="275"/>
      <c r="I165" s="49"/>
      <c r="J165" s="50"/>
      <c r="K165" s="48"/>
      <c r="L165" s="203"/>
      <c r="M165" s="281"/>
      <c r="N165" s="282"/>
      <c r="O165" s="283"/>
      <c r="P165" s="284"/>
      <c r="Q165" s="53"/>
      <c r="R165"/>
    </row>
    <row r="166" spans="2:25" x14ac:dyDescent="0.3">
      <c r="B166" s="278"/>
      <c r="C166" s="285"/>
      <c r="E166" s="286"/>
      <c r="H166" s="275"/>
      <c r="I166" s="49"/>
      <c r="J166" s="50"/>
      <c r="K166" s="48"/>
      <c r="L166" s="203"/>
      <c r="M166" s="281"/>
      <c r="N166" s="282"/>
      <c r="O166" s="283"/>
      <c r="P166" s="284"/>
      <c r="Q166" s="53"/>
      <c r="R166"/>
      <c r="V166" s="277"/>
    </row>
    <row r="167" spans="2:25" x14ac:dyDescent="0.3">
      <c r="B167" s="278"/>
      <c r="C167" s="285"/>
      <c r="E167" s="286"/>
      <c r="H167" s="275"/>
      <c r="I167" s="49"/>
      <c r="J167" s="50"/>
      <c r="K167" s="48"/>
      <c r="L167" s="203"/>
      <c r="M167" s="281"/>
      <c r="N167" s="282"/>
      <c r="O167" s="283"/>
      <c r="P167" s="284"/>
      <c r="Q167" s="53"/>
      <c r="R167"/>
    </row>
    <row r="168" spans="2:25" x14ac:dyDescent="0.3">
      <c r="B168" s="278"/>
      <c r="C168" s="285"/>
      <c r="E168" s="286"/>
      <c r="H168" s="275"/>
      <c r="I168" s="49"/>
      <c r="J168" s="50"/>
      <c r="K168" s="48"/>
      <c r="L168" s="203"/>
      <c r="M168" s="281"/>
      <c r="N168" s="282"/>
      <c r="O168" s="283"/>
      <c r="P168" s="284"/>
      <c r="Q168" s="53"/>
      <c r="R168"/>
    </row>
    <row r="169" spans="2:25" ht="15" thickBot="1" x14ac:dyDescent="0.35">
      <c r="B169" s="278"/>
      <c r="C169" s="285"/>
      <c r="E169" s="286"/>
      <c r="H169" s="275"/>
      <c r="I169" s="49"/>
      <c r="J169" s="50"/>
      <c r="K169" s="48"/>
      <c r="L169" s="203"/>
      <c r="M169" s="281"/>
      <c r="N169" s="282"/>
      <c r="O169" s="283"/>
      <c r="P169" s="284"/>
      <c r="Q169" s="53"/>
      <c r="R169"/>
    </row>
    <row r="170" spans="2:25" ht="15" thickBot="1" x14ac:dyDescent="0.35">
      <c r="B170" s="278"/>
      <c r="C170" s="285"/>
      <c r="E170" s="286"/>
      <c r="H170" s="275"/>
      <c r="I170" s="49"/>
      <c r="J170" s="50"/>
      <c r="K170" s="48"/>
      <c r="L170" s="203"/>
      <c r="M170" s="281"/>
      <c r="N170" s="282"/>
      <c r="O170" s="283"/>
      <c r="P170" s="284"/>
      <c r="Q170" s="53"/>
      <c r="R170"/>
      <c r="T170" s="56"/>
      <c r="U170" s="273"/>
    </row>
    <row r="171" spans="2:25" ht="15" thickBot="1" x14ac:dyDescent="0.35">
      <c r="B171" s="278"/>
      <c r="C171" s="279"/>
      <c r="E171" s="286"/>
      <c r="H171" s="275"/>
      <c r="I171" s="49"/>
      <c r="J171" s="50"/>
      <c r="K171" s="48"/>
      <c r="L171" s="203"/>
      <c r="M171" s="281"/>
      <c r="N171" s="282"/>
      <c r="O171" s="283"/>
      <c r="P171" s="284"/>
      <c r="Q171" s="53"/>
      <c r="R171"/>
      <c r="T171" s="276"/>
      <c r="U171" s="273"/>
    </row>
    <row r="172" spans="2:25" ht="15" thickBot="1" x14ac:dyDescent="0.35">
      <c r="B172" s="278"/>
      <c r="C172" s="279"/>
      <c r="E172" s="286"/>
      <c r="H172" s="275"/>
      <c r="I172" s="49"/>
      <c r="J172" s="50"/>
      <c r="K172" s="48"/>
      <c r="L172" s="203"/>
      <c r="M172" s="281"/>
      <c r="N172" s="282"/>
      <c r="O172" s="283"/>
      <c r="P172" s="284"/>
      <c r="Q172" s="53"/>
      <c r="R172"/>
      <c r="T172" s="56"/>
      <c r="U172" s="273"/>
    </row>
    <row r="173" spans="2:25" ht="15" thickBot="1" x14ac:dyDescent="0.35">
      <c r="B173" s="278"/>
      <c r="C173" s="279"/>
      <c r="E173" s="286"/>
      <c r="H173" s="275"/>
      <c r="I173" s="49"/>
      <c r="J173" s="50"/>
      <c r="K173" s="48"/>
      <c r="L173" s="203"/>
      <c r="M173" s="281"/>
      <c r="N173" s="282"/>
      <c r="O173" s="283"/>
      <c r="P173" s="284"/>
      <c r="Q173" s="53"/>
      <c r="R173"/>
      <c r="T173" s="56"/>
      <c r="U173" s="273"/>
    </row>
    <row r="174" spans="2:25" ht="210" customHeight="1" thickBot="1" x14ac:dyDescent="0.35">
      <c r="B174" s="278"/>
      <c r="C174" s="279"/>
      <c r="E174" s="286"/>
      <c r="H174" s="275"/>
      <c r="I174" s="49"/>
      <c r="J174" s="50"/>
      <c r="K174" s="48"/>
      <c r="L174" s="203"/>
      <c r="M174" s="281"/>
      <c r="N174" s="282"/>
      <c r="O174" s="283"/>
      <c r="P174" s="284"/>
      <c r="Q174" s="53"/>
      <c r="R174"/>
      <c r="T174" s="56"/>
      <c r="U174" s="273"/>
      <c r="Y174" s="7"/>
    </row>
    <row r="175" spans="2:25" ht="15" thickBot="1" x14ac:dyDescent="0.35">
      <c r="B175" s="278"/>
      <c r="C175" s="279"/>
      <c r="E175" s="286"/>
      <c r="H175" s="275"/>
      <c r="I175" s="49"/>
      <c r="J175" s="50"/>
      <c r="K175" s="48"/>
      <c r="L175" s="203"/>
      <c r="M175" s="281"/>
      <c r="N175" s="282"/>
      <c r="O175" s="283"/>
      <c r="P175" s="284"/>
      <c r="Q175" s="53"/>
      <c r="R175"/>
      <c r="T175" s="56"/>
      <c r="U175" s="273"/>
    </row>
    <row r="176" spans="2:25" ht="15" thickBot="1" x14ac:dyDescent="0.35">
      <c r="B176" s="278"/>
      <c r="C176" s="279"/>
      <c r="E176" s="286"/>
      <c r="H176" s="275"/>
      <c r="I176" s="49"/>
      <c r="J176" s="50"/>
      <c r="K176" s="48"/>
      <c r="L176" s="203"/>
      <c r="M176" s="281"/>
      <c r="N176" s="282"/>
      <c r="O176" s="283"/>
      <c r="P176" s="284"/>
      <c r="Q176" s="53"/>
      <c r="R176"/>
      <c r="T176" s="56"/>
      <c r="U176" s="273"/>
    </row>
    <row r="177" spans="2:21" ht="15" thickBot="1" x14ac:dyDescent="0.35">
      <c r="B177" s="278"/>
      <c r="C177" s="280"/>
      <c r="E177" s="286"/>
      <c r="H177" s="275"/>
      <c r="I177" s="49"/>
      <c r="J177" s="50"/>
      <c r="K177" s="48"/>
      <c r="L177" s="203"/>
      <c r="M177" s="281"/>
      <c r="N177" s="282"/>
      <c r="O177" s="283"/>
      <c r="P177" s="284"/>
      <c r="Q177" s="53"/>
      <c r="R177"/>
      <c r="T177" s="276"/>
      <c r="U177" s="273"/>
    </row>
    <row r="178" spans="2:21" x14ac:dyDescent="0.3">
      <c r="B178" s="278"/>
      <c r="C178" s="285"/>
      <c r="E178" s="286"/>
      <c r="I178" s="49"/>
      <c r="J178" s="50"/>
      <c r="K178" s="48"/>
      <c r="L178" s="203"/>
      <c r="M178" s="281"/>
      <c r="N178" s="282"/>
      <c r="O178" s="283"/>
      <c r="P178" s="284"/>
      <c r="Q178" s="53"/>
      <c r="R178"/>
      <c r="U178" s="273"/>
    </row>
    <row r="179" spans="2:21" x14ac:dyDescent="0.3">
      <c r="B179" s="278"/>
      <c r="C179" s="285"/>
      <c r="E179" s="286"/>
      <c r="I179" s="49"/>
      <c r="J179" s="50"/>
      <c r="K179" s="48"/>
      <c r="L179" s="203"/>
      <c r="M179" s="281"/>
      <c r="N179" s="282"/>
      <c r="O179" s="283"/>
      <c r="P179" s="284"/>
      <c r="Q179" s="53"/>
      <c r="R179"/>
    </row>
    <row r="180" spans="2:21" x14ac:dyDescent="0.3">
      <c r="B180" s="278"/>
      <c r="C180" s="285"/>
      <c r="E180" s="286"/>
      <c r="I180" s="49"/>
      <c r="J180" s="50"/>
      <c r="K180" s="48"/>
      <c r="L180" s="203"/>
      <c r="M180" s="281"/>
      <c r="N180" s="282"/>
      <c r="O180" s="283"/>
      <c r="P180" s="284"/>
      <c r="Q180" s="53"/>
      <c r="R180"/>
    </row>
    <row r="181" spans="2:21" x14ac:dyDescent="0.3">
      <c r="B181" s="278"/>
      <c r="C181" s="285"/>
      <c r="E181" s="286"/>
      <c r="I181" s="49"/>
      <c r="J181" s="50"/>
      <c r="K181" s="48"/>
      <c r="L181" s="203"/>
      <c r="M181" s="281"/>
      <c r="N181" s="282"/>
      <c r="O181" s="283"/>
      <c r="P181" s="284"/>
      <c r="Q181" s="53"/>
      <c r="R181"/>
    </row>
    <row r="182" spans="2:21" x14ac:dyDescent="0.3">
      <c r="B182" s="278"/>
      <c r="C182" s="285"/>
      <c r="E182" s="286"/>
      <c r="I182" s="49"/>
      <c r="J182" s="50"/>
      <c r="K182" s="48"/>
      <c r="L182" s="203"/>
      <c r="M182" s="281"/>
      <c r="N182" s="282"/>
      <c r="O182" s="283"/>
      <c r="P182" s="284"/>
      <c r="Q182" s="53"/>
      <c r="R182"/>
    </row>
    <row r="183" spans="2:21" x14ac:dyDescent="0.3">
      <c r="B183" s="278"/>
      <c r="C183" s="285"/>
      <c r="E183" s="286"/>
      <c r="I183" s="49"/>
      <c r="J183" s="50"/>
      <c r="K183" s="48"/>
      <c r="L183" s="203"/>
      <c r="M183" s="281"/>
      <c r="N183" s="282"/>
      <c r="O183" s="283"/>
      <c r="P183" s="284"/>
      <c r="Q183" s="53"/>
      <c r="R183"/>
    </row>
    <row r="184" spans="2:21" x14ac:dyDescent="0.3">
      <c r="B184" s="278"/>
      <c r="C184" s="279"/>
      <c r="E184" s="286"/>
      <c r="I184" s="49"/>
      <c r="J184" s="50"/>
      <c r="K184" s="48"/>
      <c r="L184" s="203"/>
      <c r="M184" s="281"/>
      <c r="N184" s="282"/>
      <c r="O184" s="283"/>
      <c r="P184" s="284"/>
      <c r="Q184" s="53"/>
      <c r="R184"/>
    </row>
    <row r="185" spans="2:21" x14ac:dyDescent="0.3">
      <c r="B185" s="278"/>
      <c r="C185" s="279"/>
      <c r="E185" s="286"/>
      <c r="I185" s="49"/>
      <c r="J185" s="50"/>
      <c r="K185" s="48"/>
      <c r="L185" s="203"/>
      <c r="M185" s="281"/>
      <c r="N185" s="282"/>
      <c r="O185" s="283"/>
      <c r="P185" s="284"/>
      <c r="Q185" s="53"/>
      <c r="R185"/>
    </row>
    <row r="186" spans="2:21" x14ac:dyDescent="0.3">
      <c r="B186" s="278"/>
      <c r="C186" s="279"/>
      <c r="E186" s="286"/>
      <c r="I186" s="49"/>
      <c r="J186" s="50"/>
      <c r="K186" s="48"/>
      <c r="L186" s="203"/>
      <c r="M186" s="281"/>
      <c r="N186" s="282"/>
      <c r="O186" s="283"/>
      <c r="P186" s="284"/>
      <c r="Q186" s="53"/>
      <c r="R186"/>
    </row>
    <row r="187" spans="2:21" x14ac:dyDescent="0.3">
      <c r="B187" s="278"/>
      <c r="C187" s="279"/>
      <c r="E187" s="286"/>
      <c r="I187" s="49"/>
      <c r="J187" s="50"/>
      <c r="K187" s="48"/>
      <c r="L187" s="203"/>
      <c r="M187" s="281"/>
      <c r="N187" s="282"/>
      <c r="O187" s="283"/>
      <c r="P187" s="284"/>
      <c r="Q187" s="53"/>
      <c r="R187"/>
    </row>
    <row r="188" spans="2:21" x14ac:dyDescent="0.3">
      <c r="B188" s="278"/>
      <c r="C188" s="279"/>
      <c r="E188" s="286"/>
      <c r="I188" s="49"/>
      <c r="J188" s="50"/>
      <c r="K188" s="48"/>
      <c r="L188" s="203"/>
      <c r="M188" s="281"/>
      <c r="N188" s="282"/>
      <c r="O188" s="283"/>
      <c r="P188" s="284"/>
      <c r="Q188" s="53"/>
      <c r="R188"/>
    </row>
    <row r="189" spans="2:21" x14ac:dyDescent="0.3">
      <c r="B189" s="278"/>
      <c r="C189" s="279"/>
      <c r="E189" s="286"/>
      <c r="I189" s="49"/>
      <c r="J189" s="50"/>
      <c r="K189" s="48"/>
      <c r="L189" s="203"/>
      <c r="M189" s="281"/>
      <c r="N189" s="282"/>
      <c r="O189" s="283"/>
      <c r="P189" s="284"/>
      <c r="Q189" s="53"/>
      <c r="R189"/>
    </row>
    <row r="190" spans="2:21" x14ac:dyDescent="0.3">
      <c r="B190" s="278"/>
      <c r="C190" s="280"/>
      <c r="E190" s="286"/>
      <c r="I190" s="49"/>
      <c r="J190" s="50"/>
      <c r="K190" s="48"/>
      <c r="L190" s="203"/>
      <c r="M190" s="281"/>
      <c r="N190" s="282"/>
      <c r="O190" s="283"/>
      <c r="P190" s="284"/>
      <c r="Q190" s="53"/>
      <c r="R190"/>
    </row>
    <row r="191" spans="2:21" x14ac:dyDescent="0.3">
      <c r="B191" s="278"/>
      <c r="C191" s="285"/>
      <c r="E191" s="286"/>
      <c r="I191" s="49"/>
      <c r="J191" s="50"/>
      <c r="K191" s="48"/>
      <c r="L191" s="203"/>
      <c r="M191" s="281"/>
      <c r="N191" s="282"/>
      <c r="O191" s="283"/>
      <c r="P191" s="284"/>
      <c r="Q191" s="53"/>
      <c r="R191"/>
    </row>
    <row r="192" spans="2:21" x14ac:dyDescent="0.3">
      <c r="B192" s="278"/>
      <c r="C192" s="285"/>
      <c r="E192" s="286"/>
      <c r="I192" s="49"/>
      <c r="J192" s="50"/>
      <c r="K192" s="48"/>
      <c r="L192" s="203"/>
      <c r="M192" s="281"/>
      <c r="N192" s="282"/>
      <c r="O192" s="283"/>
      <c r="P192" s="284"/>
      <c r="Q192" s="53"/>
      <c r="R192"/>
    </row>
    <row r="193" spans="2:24" x14ac:dyDescent="0.3">
      <c r="B193" s="278"/>
      <c r="C193" s="285"/>
      <c r="E193" s="286"/>
      <c r="I193" s="49"/>
      <c r="J193" s="50"/>
      <c r="K193" s="48"/>
      <c r="L193" s="203"/>
      <c r="M193" s="281"/>
      <c r="N193" s="282"/>
      <c r="O193" s="283"/>
      <c r="P193" s="284"/>
      <c r="Q193" s="53"/>
      <c r="R193"/>
    </row>
    <row r="194" spans="2:24" x14ac:dyDescent="0.3">
      <c r="B194" s="278"/>
      <c r="C194" s="285"/>
      <c r="E194" s="286"/>
      <c r="I194" s="49"/>
      <c r="J194" s="50"/>
      <c r="K194" s="48"/>
      <c r="L194" s="203"/>
      <c r="M194" s="281"/>
      <c r="N194" s="282"/>
      <c r="O194" s="283"/>
      <c r="P194" s="284"/>
      <c r="Q194" s="53"/>
      <c r="R194"/>
    </row>
    <row r="195" spans="2:24" x14ac:dyDescent="0.3">
      <c r="B195" s="278"/>
      <c r="C195" s="285"/>
      <c r="E195" s="286"/>
      <c r="I195" s="49"/>
      <c r="J195" s="50"/>
      <c r="K195" s="48"/>
      <c r="L195" s="203"/>
      <c r="M195" s="281"/>
      <c r="N195" s="282"/>
      <c r="O195" s="283"/>
      <c r="P195" s="284"/>
      <c r="Q195" s="53"/>
      <c r="R195"/>
    </row>
    <row r="196" spans="2:24" x14ac:dyDescent="0.3">
      <c r="B196" s="278"/>
      <c r="C196" s="285"/>
      <c r="E196" s="286"/>
      <c r="I196" s="49"/>
      <c r="J196" s="50"/>
      <c r="K196" s="48"/>
      <c r="L196" s="203"/>
      <c r="M196" s="281"/>
      <c r="N196" s="282"/>
      <c r="O196" s="283"/>
      <c r="P196" s="284"/>
      <c r="Q196" s="53"/>
      <c r="R196"/>
    </row>
    <row r="197" spans="2:24" ht="15" thickBot="1" x14ac:dyDescent="0.35">
      <c r="B197" s="278"/>
      <c r="C197" s="279"/>
      <c r="E197" s="286"/>
      <c r="I197" s="49"/>
      <c r="J197" s="50"/>
      <c r="K197" s="48"/>
      <c r="L197" s="203"/>
      <c r="M197" s="281"/>
      <c r="N197" s="282"/>
      <c r="O197" s="283"/>
      <c r="P197" s="284"/>
      <c r="Q197" s="53"/>
      <c r="R197"/>
    </row>
    <row r="198" spans="2:24" ht="15" thickBot="1" x14ac:dyDescent="0.35">
      <c r="B198" s="278"/>
      <c r="C198" s="279"/>
      <c r="D198" s="299"/>
      <c r="E198" s="286"/>
      <c r="I198" s="49"/>
      <c r="J198" s="50"/>
      <c r="K198" s="48"/>
      <c r="L198" s="203"/>
      <c r="M198" s="281"/>
      <c r="N198" s="282"/>
      <c r="O198" s="283"/>
      <c r="P198" s="284"/>
      <c r="Q198" s="53"/>
      <c r="R198"/>
      <c r="T198" s="56"/>
      <c r="U198" s="273"/>
    </row>
    <row r="199" spans="2:24" ht="15" thickBot="1" x14ac:dyDescent="0.35">
      <c r="B199" s="278"/>
      <c r="C199" s="279"/>
      <c r="E199" s="286"/>
      <c r="I199" s="49"/>
      <c r="J199" s="50"/>
      <c r="K199" s="48"/>
      <c r="L199" s="203"/>
      <c r="M199" s="281"/>
      <c r="N199" s="282"/>
      <c r="O199" s="283"/>
      <c r="P199" s="284"/>
      <c r="Q199" s="53"/>
      <c r="R199"/>
      <c r="T199" s="56"/>
      <c r="U199" s="273"/>
    </row>
    <row r="200" spans="2:24" ht="15" thickBot="1" x14ac:dyDescent="0.35">
      <c r="B200" s="278"/>
      <c r="C200" s="279"/>
      <c r="E200" s="286"/>
      <c r="I200" s="49"/>
      <c r="J200" s="50"/>
      <c r="K200" s="48"/>
      <c r="L200" s="203"/>
      <c r="M200" s="281"/>
      <c r="N200" s="282"/>
      <c r="O200" s="283"/>
      <c r="P200" s="284"/>
      <c r="Q200" s="53"/>
      <c r="R200"/>
      <c r="U200" s="273"/>
    </row>
    <row r="201" spans="2:24" ht="15" thickBot="1" x14ac:dyDescent="0.35">
      <c r="B201" s="278"/>
      <c r="C201" s="279"/>
      <c r="E201" s="286"/>
      <c r="I201" s="49"/>
      <c r="J201" s="50"/>
      <c r="K201" s="48"/>
      <c r="L201" s="203"/>
      <c r="M201" s="281"/>
      <c r="N201" s="282"/>
      <c r="O201" s="283"/>
      <c r="P201" s="284"/>
      <c r="Q201" s="53"/>
      <c r="R201"/>
      <c r="U201" s="273"/>
    </row>
    <row r="202" spans="2:24" ht="15" thickBot="1" x14ac:dyDescent="0.35">
      <c r="B202" s="278"/>
      <c r="C202" s="279"/>
      <c r="E202" s="286"/>
      <c r="I202" s="49"/>
      <c r="J202" s="50"/>
      <c r="K202" s="48"/>
      <c r="L202" s="203"/>
      <c r="M202" s="281"/>
      <c r="N202" s="282"/>
      <c r="O202" s="283"/>
      <c r="P202" s="284"/>
      <c r="Q202" s="53"/>
      <c r="R202"/>
      <c r="U202" s="273"/>
    </row>
    <row r="203" spans="2:24" ht="15" thickBot="1" x14ac:dyDescent="0.35">
      <c r="U203" s="273"/>
    </row>
    <row r="204" spans="2:24" ht="15" thickBot="1" x14ac:dyDescent="0.35">
      <c r="U204" s="273"/>
    </row>
    <row r="205" spans="2:24" ht="15" thickBot="1" x14ac:dyDescent="0.35">
      <c r="U205" s="273"/>
      <c r="X205" s="300"/>
    </row>
    <row r="206" spans="2:24" ht="15" thickBot="1" x14ac:dyDescent="0.35">
      <c r="U206" s="273"/>
      <c r="X206" s="301"/>
    </row>
    <row r="207" spans="2:24" ht="15" thickBot="1" x14ac:dyDescent="0.35">
      <c r="X207" s="301"/>
    </row>
    <row r="208" spans="2:24" ht="15" thickBot="1" x14ac:dyDescent="0.35">
      <c r="X208" s="301"/>
    </row>
    <row r="209" spans="24:24" ht="15" thickBot="1" x14ac:dyDescent="0.35">
      <c r="X209" s="301"/>
    </row>
    <row r="210" spans="24:24" ht="15" thickBot="1" x14ac:dyDescent="0.35">
      <c r="X210" s="301"/>
    </row>
    <row r="211" spans="24:24" ht="15" thickBot="1" x14ac:dyDescent="0.35">
      <c r="X211" s="301"/>
    </row>
  </sheetData>
  <mergeCells count="12">
    <mergeCell ref="O1:O2"/>
    <mergeCell ref="N1:N2"/>
    <mergeCell ref="P1:P2"/>
    <mergeCell ref="K1:K2"/>
    <mergeCell ref="Q1:Q2"/>
    <mergeCell ref="M1:M2"/>
    <mergeCell ref="L1:L2"/>
    <mergeCell ref="I1:I2"/>
    <mergeCell ref="A1:B1"/>
    <mergeCell ref="C1:E1"/>
    <mergeCell ref="F1:H1"/>
    <mergeCell ref="J1:J2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D5B0F-108D-4B11-8E34-1AC8C410ED4B}">
  <sheetPr codeName="Лист30"/>
  <dimension ref="A1:BA290"/>
  <sheetViews>
    <sheetView tabSelected="1" zoomScaleNormal="100" workbookViewId="0">
      <pane ySplit="1" topLeftCell="A263" activePane="bottomLeft" state="frozen"/>
      <selection pane="bottomLeft" activeCell="A282" sqref="A282:XFD290"/>
    </sheetView>
  </sheetViews>
  <sheetFormatPr defaultRowHeight="14.4" x14ac:dyDescent="0.3"/>
  <cols>
    <col min="1" max="1" width="12" style="6" customWidth="1"/>
    <col min="2" max="2" width="31.6640625" style="6" customWidth="1"/>
    <col min="3" max="3" width="54.554687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16.33203125" customWidth="1"/>
    <col min="13" max="13" width="13.33203125" customWidth="1"/>
    <col min="14" max="14" width="35.5546875" customWidth="1"/>
    <col min="15" max="15" width="27.88671875" customWidth="1"/>
    <col min="16" max="19" width="5.109375" bestFit="1" customWidth="1"/>
    <col min="20" max="21" width="3.6640625" bestFit="1" customWidth="1"/>
    <col min="22" max="24" width="6.109375" bestFit="1" customWidth="1"/>
    <col min="25" max="26" width="3.6640625" bestFit="1" customWidth="1"/>
    <col min="27" max="28" width="6.109375" bestFit="1" customWidth="1"/>
    <col min="29" max="30" width="3.6640625" bestFit="1" customWidth="1"/>
    <col min="31" max="34" width="5.109375" bestFit="1" customWidth="1"/>
    <col min="35" max="35" width="3.6640625" bestFit="1" customWidth="1"/>
    <col min="36" max="36" width="10.88671875" customWidth="1"/>
    <col min="37" max="37" width="6" bestFit="1" customWidth="1"/>
    <col min="38" max="39" width="8.5546875" bestFit="1" customWidth="1"/>
    <col min="40" max="40" width="8.88671875" bestFit="1" customWidth="1"/>
    <col min="41" max="41" width="2" customWidth="1"/>
    <col min="42" max="42" width="2.109375" customWidth="1"/>
    <col min="43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4.5546875" customWidth="1"/>
    <col min="53" max="53" width="17.88671875" customWidth="1"/>
  </cols>
  <sheetData>
    <row r="1" spans="1:53" ht="64.95" customHeight="1" thickBot="1" x14ac:dyDescent="0.35">
      <c r="A1" s="4" t="s">
        <v>468</v>
      </c>
      <c r="B1" s="4" t="s">
        <v>344</v>
      </c>
      <c r="C1" s="4" t="s">
        <v>11</v>
      </c>
      <c r="D1" s="5" t="s">
        <v>24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125</v>
      </c>
      <c r="M1" s="1" t="str">
        <f t="shared" ref="M1:N7" si="0">A1</f>
        <v>№ Сценария</v>
      </c>
      <c r="N1" s="1" t="str">
        <f t="shared" si="0"/>
        <v>Оборудование, характеристики аварии</v>
      </c>
      <c r="O1" t="str">
        <f t="shared" ref="O1:O7" si="1">D1</f>
        <v>Кратко сценарий</v>
      </c>
      <c r="P1" s="290" t="s">
        <v>29</v>
      </c>
      <c r="Q1" s="290" t="s">
        <v>30</v>
      </c>
      <c r="R1" s="290" t="s">
        <v>31</v>
      </c>
      <c r="S1" s="290" t="s">
        <v>32</v>
      </c>
      <c r="T1" s="290" t="s">
        <v>345</v>
      </c>
      <c r="U1" s="290" t="s">
        <v>260</v>
      </c>
      <c r="V1" s="290" t="s">
        <v>347</v>
      </c>
      <c r="W1" s="290" t="s">
        <v>34</v>
      </c>
      <c r="X1" s="290" t="s">
        <v>346</v>
      </c>
      <c r="Y1" s="290" t="s">
        <v>36</v>
      </c>
      <c r="Z1" s="290" t="s">
        <v>37</v>
      </c>
      <c r="AA1" s="290" t="s">
        <v>38</v>
      </c>
      <c r="AB1" s="290" t="s">
        <v>39</v>
      </c>
      <c r="AC1" s="291" t="s">
        <v>40</v>
      </c>
      <c r="AD1" s="291" t="s">
        <v>41</v>
      </c>
      <c r="AE1" s="290" t="s">
        <v>42</v>
      </c>
      <c r="AF1" s="290" t="s">
        <v>43</v>
      </c>
      <c r="AG1" s="290" t="s">
        <v>44</v>
      </c>
      <c r="AH1" s="290" t="s">
        <v>45</v>
      </c>
      <c r="AI1" s="290" t="s">
        <v>259</v>
      </c>
      <c r="AJ1" s="292" t="s">
        <v>482</v>
      </c>
      <c r="AK1" s="292" t="s">
        <v>483</v>
      </c>
      <c r="AL1" s="293" t="s">
        <v>484</v>
      </c>
      <c r="AM1" s="294" t="s">
        <v>485</v>
      </c>
      <c r="AN1" s="294" t="s">
        <v>58</v>
      </c>
      <c r="AQ1" s="5" t="s">
        <v>49</v>
      </c>
      <c r="AR1" s="5" t="s">
        <v>50</v>
      </c>
      <c r="AS1" s="5" t="s">
        <v>51</v>
      </c>
      <c r="AT1" s="5" t="s">
        <v>52</v>
      </c>
      <c r="AU1" s="5" t="s">
        <v>53</v>
      </c>
      <c r="AV1" s="5" t="s">
        <v>54</v>
      </c>
      <c r="AW1" s="5" t="s">
        <v>113</v>
      </c>
      <c r="AX1" s="5" t="s">
        <v>114</v>
      </c>
      <c r="AY1" s="5" t="s">
        <v>55</v>
      </c>
      <c r="AZ1" s="5" t="s">
        <v>480</v>
      </c>
      <c r="BA1" s="5" t="s">
        <v>481</v>
      </c>
    </row>
    <row r="2" spans="1:53" s="91" customFormat="1" ht="15" thickBot="1" x14ac:dyDescent="0.35">
      <c r="A2" s="81" t="s">
        <v>467</v>
      </c>
      <c r="B2" s="82" t="s">
        <v>653</v>
      </c>
      <c r="C2" s="83" t="s">
        <v>143</v>
      </c>
      <c r="D2" s="84" t="s">
        <v>25</v>
      </c>
      <c r="E2" s="85">
        <v>1.0000000000000001E-5</v>
      </c>
      <c r="F2" s="82">
        <v>3</v>
      </c>
      <c r="G2" s="81">
        <v>0.1</v>
      </c>
      <c r="H2" s="86">
        <f t="shared" ref="H2:H7" si="2">E2*F2*G2</f>
        <v>3.0000000000000005E-6</v>
      </c>
      <c r="I2" s="87">
        <v>3645</v>
      </c>
      <c r="J2" s="88">
        <f>I2</f>
        <v>3645</v>
      </c>
      <c r="K2" s="89" t="s">
        <v>122</v>
      </c>
      <c r="L2" s="90">
        <v>3950</v>
      </c>
      <c r="M2" s="91" t="str">
        <f t="shared" si="0"/>
        <v>C1</v>
      </c>
      <c r="N2" s="91" t="str">
        <f t="shared" si="0"/>
        <v>РВС №1н-3н, нефть</v>
      </c>
      <c r="O2" s="91" t="str">
        <f t="shared" si="1"/>
        <v>Полное-пожар</v>
      </c>
      <c r="P2" s="91">
        <v>49.8</v>
      </c>
      <c r="Q2" s="91">
        <v>67</v>
      </c>
      <c r="R2" s="91">
        <v>92.3</v>
      </c>
      <c r="S2" s="91">
        <v>163</v>
      </c>
      <c r="T2" s="91" t="s">
        <v>46</v>
      </c>
      <c r="U2" s="91" t="s">
        <v>46</v>
      </c>
      <c r="V2" s="91" t="s">
        <v>46</v>
      </c>
      <c r="W2" s="91" t="s">
        <v>46</v>
      </c>
      <c r="X2" s="91" t="s">
        <v>46</v>
      </c>
      <c r="Y2" s="91" t="s">
        <v>46</v>
      </c>
      <c r="Z2" s="91" t="s">
        <v>46</v>
      </c>
      <c r="AA2" s="91" t="s">
        <v>46</v>
      </c>
      <c r="AB2" s="91" t="s">
        <v>46</v>
      </c>
      <c r="AC2" s="91" t="s">
        <v>46</v>
      </c>
      <c r="AD2" s="91" t="s">
        <v>46</v>
      </c>
      <c r="AE2" s="91" t="s">
        <v>46</v>
      </c>
      <c r="AF2" s="91" t="s">
        <v>46</v>
      </c>
      <c r="AG2" s="91" t="s">
        <v>46</v>
      </c>
      <c r="AH2" s="91" t="s">
        <v>46</v>
      </c>
      <c r="AI2" s="91" t="s">
        <v>46</v>
      </c>
      <c r="AJ2" s="92">
        <v>1</v>
      </c>
      <c r="AK2" s="92">
        <v>2</v>
      </c>
      <c r="AL2" s="93">
        <v>0.75</v>
      </c>
      <c r="AM2" s="93">
        <v>2.7E-2</v>
      </c>
      <c r="AN2" s="93">
        <v>3</v>
      </c>
      <c r="AQ2" s="94">
        <f>AM2*I2+AL2</f>
        <v>99.164999999999992</v>
      </c>
      <c r="AR2" s="94">
        <f t="shared" ref="AR2:AR7" si="3">0.1*AQ2</f>
        <v>9.9164999999999992</v>
      </c>
      <c r="AS2" s="95">
        <f t="shared" ref="AS2:AS7" si="4">AJ2*3+0.25*AK2</f>
        <v>3.5</v>
      </c>
      <c r="AT2" s="95">
        <f t="shared" ref="AT2:AT7" si="5">SUM(AQ2:AS2)/4</f>
        <v>28.145374999999998</v>
      </c>
      <c r="AU2" s="94">
        <f>10068.2*J2*POWER(10,-6)</f>
        <v>36.698588999999998</v>
      </c>
      <c r="AV2" s="95">
        <f t="shared" ref="AV2:AV7" si="6">AU2+AT2+AS2+AR2+AQ2</f>
        <v>177.42546399999998</v>
      </c>
      <c r="AW2" s="96">
        <f t="shared" ref="AW2:AW7" si="7">AJ2*H2</f>
        <v>3.0000000000000005E-6</v>
      </c>
      <c r="AX2" s="96">
        <f t="shared" ref="AX2:AX7" si="8">H2*AK2</f>
        <v>6.000000000000001E-6</v>
      </c>
      <c r="AY2" s="96">
        <f t="shared" ref="AY2:AY7" si="9">H2*AV2</f>
        <v>5.3227639199999999E-4</v>
      </c>
      <c r="AZ2" s="289">
        <f>AW2/DB!$B$23</f>
        <v>3.6144578313253017E-9</v>
      </c>
      <c r="BA2" s="289">
        <f>AX2/DB!$B$23</f>
        <v>7.2289156626506035E-9</v>
      </c>
    </row>
    <row r="3" spans="1:53" s="91" customFormat="1" ht="15" thickBot="1" x14ac:dyDescent="0.35">
      <c r="A3" s="81" t="s">
        <v>469</v>
      </c>
      <c r="B3" s="81" t="str">
        <f>B2</f>
        <v>РВС №1н-3н, нефть</v>
      </c>
      <c r="C3" s="83" t="s">
        <v>149</v>
      </c>
      <c r="D3" s="84" t="s">
        <v>28</v>
      </c>
      <c r="E3" s="97">
        <f>E2</f>
        <v>1.0000000000000001E-5</v>
      </c>
      <c r="F3" s="98">
        <f>F2</f>
        <v>3</v>
      </c>
      <c r="G3" s="81">
        <v>0.18000000000000002</v>
      </c>
      <c r="H3" s="86">
        <f t="shared" si="2"/>
        <v>5.4000000000000017E-6</v>
      </c>
      <c r="I3" s="99">
        <f>I2</f>
        <v>3645</v>
      </c>
      <c r="J3" s="189">
        <f>POWER(10,-6)*25*SQRT(100)*3600*L2/1000*0.1</f>
        <v>0.35550000000000004</v>
      </c>
      <c r="K3" s="89" t="s">
        <v>123</v>
      </c>
      <c r="L3" s="90">
        <v>0</v>
      </c>
      <c r="M3" s="91" t="str">
        <f t="shared" si="0"/>
        <v>C2</v>
      </c>
      <c r="N3" s="91" t="str">
        <f t="shared" si="0"/>
        <v>РВС №1н-3н, нефть</v>
      </c>
      <c r="O3" s="91" t="str">
        <f t="shared" si="1"/>
        <v>Полное-взрыв</v>
      </c>
      <c r="P3" s="91" t="s">
        <v>46</v>
      </c>
      <c r="Q3" s="91" t="s">
        <v>46</v>
      </c>
      <c r="R3" s="91" t="s">
        <v>46</v>
      </c>
      <c r="S3" s="91" t="s">
        <v>46</v>
      </c>
      <c r="T3" s="91">
        <v>0</v>
      </c>
      <c r="U3" s="91">
        <v>0</v>
      </c>
      <c r="V3" s="91">
        <v>53.6</v>
      </c>
      <c r="W3" s="91">
        <v>179.1</v>
      </c>
      <c r="X3" s="91">
        <v>261.60000000000002</v>
      </c>
      <c r="Y3" s="91" t="s">
        <v>46</v>
      </c>
      <c r="Z3" s="91" t="s">
        <v>46</v>
      </c>
      <c r="AA3" s="91" t="s">
        <v>46</v>
      </c>
      <c r="AB3" s="91" t="s">
        <v>46</v>
      </c>
      <c r="AC3" s="91" t="s">
        <v>46</v>
      </c>
      <c r="AD3" s="91" t="s">
        <v>46</v>
      </c>
      <c r="AE3" s="91" t="s">
        <v>46</v>
      </c>
      <c r="AF3" s="91" t="s">
        <v>46</v>
      </c>
      <c r="AG3" s="91" t="s">
        <v>46</v>
      </c>
      <c r="AH3" s="91" t="s">
        <v>46</v>
      </c>
      <c r="AI3" s="91" t="s">
        <v>46</v>
      </c>
      <c r="AJ3" s="92">
        <v>3</v>
      </c>
      <c r="AK3" s="92">
        <v>2</v>
      </c>
      <c r="AL3" s="91">
        <f>AL2</f>
        <v>0.75</v>
      </c>
      <c r="AM3" s="91">
        <f>AM2</f>
        <v>2.7E-2</v>
      </c>
      <c r="AN3" s="91">
        <f>AN2</f>
        <v>3</v>
      </c>
      <c r="AQ3" s="94">
        <f t="shared" ref="AQ3:AQ7" si="10">AM3*I3+AL3</f>
        <v>99.164999999999992</v>
      </c>
      <c r="AR3" s="94">
        <f t="shared" si="3"/>
        <v>9.9164999999999992</v>
      </c>
      <c r="AS3" s="95">
        <f t="shared" si="4"/>
        <v>9.5</v>
      </c>
      <c r="AT3" s="95">
        <f t="shared" si="5"/>
        <v>29.645374999999998</v>
      </c>
      <c r="AU3" s="94">
        <v>16.642734600000001</v>
      </c>
      <c r="AV3" s="95">
        <f t="shared" si="6"/>
        <v>164.86960959999999</v>
      </c>
      <c r="AW3" s="96">
        <f t="shared" si="7"/>
        <v>1.6200000000000004E-5</v>
      </c>
      <c r="AX3" s="96">
        <f t="shared" si="8"/>
        <v>1.0800000000000003E-5</v>
      </c>
      <c r="AY3" s="96">
        <f t="shared" si="9"/>
        <v>8.9029589184000022E-4</v>
      </c>
      <c r="AZ3" s="289">
        <f>AW3/DB!$B$23</f>
        <v>1.9518072289156633E-8</v>
      </c>
      <c r="BA3" s="289">
        <f>AX3/DB!$B$23</f>
        <v>1.3012048192771088E-8</v>
      </c>
    </row>
    <row r="4" spans="1:53" s="91" customFormat="1" x14ac:dyDescent="0.3">
      <c r="A4" s="81" t="s">
        <v>470</v>
      </c>
      <c r="B4" s="81" t="str">
        <f>B2</f>
        <v>РВС №1н-3н, нефть</v>
      </c>
      <c r="C4" s="83" t="s">
        <v>145</v>
      </c>
      <c r="D4" s="84" t="s">
        <v>26</v>
      </c>
      <c r="E4" s="97">
        <f>E2</f>
        <v>1.0000000000000001E-5</v>
      </c>
      <c r="F4" s="98">
        <f>F2</f>
        <v>3</v>
      </c>
      <c r="G4" s="81">
        <v>0.72000000000000008</v>
      </c>
      <c r="H4" s="86">
        <f t="shared" si="2"/>
        <v>2.1600000000000007E-5</v>
      </c>
      <c r="I4" s="99">
        <f>I2</f>
        <v>3645</v>
      </c>
      <c r="J4" s="101">
        <v>0</v>
      </c>
      <c r="K4" s="89" t="s">
        <v>124</v>
      </c>
      <c r="L4" s="90">
        <v>0</v>
      </c>
      <c r="M4" s="91" t="str">
        <f t="shared" si="0"/>
        <v>C3</v>
      </c>
      <c r="N4" s="91" t="str">
        <f t="shared" si="0"/>
        <v>РВС №1н-3н, нефть</v>
      </c>
      <c r="O4" s="91" t="str">
        <f t="shared" si="1"/>
        <v>Полное-ликвидация</v>
      </c>
      <c r="P4" s="91" t="s">
        <v>46</v>
      </c>
      <c r="Q4" s="91" t="s">
        <v>46</v>
      </c>
      <c r="R4" s="91" t="s">
        <v>46</v>
      </c>
      <c r="S4" s="91" t="s">
        <v>46</v>
      </c>
      <c r="T4" s="91" t="s">
        <v>46</v>
      </c>
      <c r="U4" s="91" t="s">
        <v>46</v>
      </c>
      <c r="V4" s="91" t="s">
        <v>46</v>
      </c>
      <c r="W4" s="91" t="s">
        <v>46</v>
      </c>
      <c r="X4" s="91" t="s">
        <v>46</v>
      </c>
      <c r="Y4" s="91" t="s">
        <v>46</v>
      </c>
      <c r="Z4" s="91" t="s">
        <v>46</v>
      </c>
      <c r="AA4" s="91" t="s">
        <v>46</v>
      </c>
      <c r="AB4" s="91" t="s">
        <v>46</v>
      </c>
      <c r="AC4" s="91" t="s">
        <v>46</v>
      </c>
      <c r="AD4" s="91" t="s">
        <v>46</v>
      </c>
      <c r="AE4" s="91" t="s">
        <v>46</v>
      </c>
      <c r="AF4" s="91" t="s">
        <v>46</v>
      </c>
      <c r="AG4" s="91" t="s">
        <v>46</v>
      </c>
      <c r="AH4" s="91" t="s">
        <v>46</v>
      </c>
      <c r="AI4" s="91" t="s">
        <v>46</v>
      </c>
      <c r="AJ4" s="91">
        <v>0</v>
      </c>
      <c r="AK4" s="91">
        <v>0</v>
      </c>
      <c r="AL4" s="91">
        <f>AL2</f>
        <v>0.75</v>
      </c>
      <c r="AM4" s="91">
        <f>AM2</f>
        <v>2.7E-2</v>
      </c>
      <c r="AN4" s="91">
        <f>AN2</f>
        <v>3</v>
      </c>
      <c r="AQ4" s="94">
        <f t="shared" si="10"/>
        <v>99.164999999999992</v>
      </c>
      <c r="AR4" s="94">
        <f t="shared" si="3"/>
        <v>9.9164999999999992</v>
      </c>
      <c r="AS4" s="95">
        <f t="shared" si="4"/>
        <v>0</v>
      </c>
      <c r="AT4" s="95">
        <f t="shared" si="5"/>
        <v>27.270374999999998</v>
      </c>
      <c r="AU4" s="94">
        <f>1333*J3*POWER(10,-6)</f>
        <v>4.7388150000000006E-4</v>
      </c>
      <c r="AV4" s="95">
        <f t="shared" si="6"/>
        <v>136.35234888150001</v>
      </c>
      <c r="AW4" s="96">
        <f t="shared" si="7"/>
        <v>0</v>
      </c>
      <c r="AX4" s="96">
        <f t="shared" si="8"/>
        <v>0</v>
      </c>
      <c r="AY4" s="96">
        <f t="shared" si="9"/>
        <v>2.945210735840401E-3</v>
      </c>
      <c r="AZ4" s="289">
        <f>AW4/DB!$B$23</f>
        <v>0</v>
      </c>
      <c r="BA4" s="289">
        <f>AX4/DB!$B$23</f>
        <v>0</v>
      </c>
    </row>
    <row r="5" spans="1:53" s="91" customFormat="1" x14ac:dyDescent="0.3">
      <c r="A5" s="81" t="s">
        <v>471</v>
      </c>
      <c r="B5" s="81" t="str">
        <f>B2</f>
        <v>РВС №1н-3н, нефть</v>
      </c>
      <c r="C5" s="83" t="s">
        <v>146</v>
      </c>
      <c r="D5" s="84" t="s">
        <v>47</v>
      </c>
      <c r="E5" s="85">
        <v>1E-4</v>
      </c>
      <c r="F5" s="98">
        <f>F2</f>
        <v>3</v>
      </c>
      <c r="G5" s="81">
        <v>0.1</v>
      </c>
      <c r="H5" s="86">
        <f t="shared" si="2"/>
        <v>3.0000000000000004E-5</v>
      </c>
      <c r="I5" s="99">
        <f>0.15*I2</f>
        <v>546.75</v>
      </c>
      <c r="J5" s="88">
        <f>I5</f>
        <v>546.75</v>
      </c>
      <c r="K5" s="102" t="s">
        <v>126</v>
      </c>
      <c r="L5" s="103">
        <v>45390</v>
      </c>
      <c r="M5" s="91" t="str">
        <f t="shared" si="0"/>
        <v>C4</v>
      </c>
      <c r="N5" s="91" t="str">
        <f t="shared" si="0"/>
        <v>РВС №1н-3н, нефть</v>
      </c>
      <c r="O5" s="91" t="str">
        <f t="shared" si="1"/>
        <v>Частичное-пожар</v>
      </c>
      <c r="P5" s="91">
        <v>16</v>
      </c>
      <c r="Q5" s="91">
        <v>22.4</v>
      </c>
      <c r="R5" s="91">
        <v>32.299999999999997</v>
      </c>
      <c r="S5" s="91">
        <v>61</v>
      </c>
      <c r="T5" s="91" t="s">
        <v>46</v>
      </c>
      <c r="U5" s="91" t="s">
        <v>46</v>
      </c>
      <c r="V5" s="91" t="s">
        <v>46</v>
      </c>
      <c r="W5" s="91" t="s">
        <v>46</v>
      </c>
      <c r="X5" s="91" t="s">
        <v>46</v>
      </c>
      <c r="Y5" s="91" t="s">
        <v>46</v>
      </c>
      <c r="Z5" s="91" t="s">
        <v>46</v>
      </c>
      <c r="AA5" s="91" t="s">
        <v>46</v>
      </c>
      <c r="AB5" s="91" t="s">
        <v>46</v>
      </c>
      <c r="AC5" s="91" t="s">
        <v>46</v>
      </c>
      <c r="AD5" s="91" t="s">
        <v>46</v>
      </c>
      <c r="AE5" s="91" t="s">
        <v>46</v>
      </c>
      <c r="AF5" s="91" t="s">
        <v>46</v>
      </c>
      <c r="AG5" s="91" t="s">
        <v>46</v>
      </c>
      <c r="AH5" s="91" t="s">
        <v>46</v>
      </c>
      <c r="AI5" s="91" t="s">
        <v>46</v>
      </c>
      <c r="AJ5" s="91">
        <v>0</v>
      </c>
      <c r="AK5" s="91">
        <v>2</v>
      </c>
      <c r="AL5" s="91">
        <f>0.1*$AL$2</f>
        <v>7.5000000000000011E-2</v>
      </c>
      <c r="AM5" s="91">
        <f>AM2</f>
        <v>2.7E-2</v>
      </c>
      <c r="AN5" s="91">
        <f>ROUNDUP(AN2/3,0)</f>
        <v>1</v>
      </c>
      <c r="AQ5" s="94">
        <f t="shared" si="10"/>
        <v>14.837249999999999</v>
      </c>
      <c r="AR5" s="94">
        <f t="shared" si="3"/>
        <v>1.483725</v>
      </c>
      <c r="AS5" s="95">
        <f t="shared" si="4"/>
        <v>0.5</v>
      </c>
      <c r="AT5" s="95">
        <f t="shared" si="5"/>
        <v>4.2052437500000002</v>
      </c>
      <c r="AU5" s="94">
        <f>10068.2*J5*POWER(10,-6)</f>
        <v>5.5047883500000001</v>
      </c>
      <c r="AV5" s="95">
        <f t="shared" si="6"/>
        <v>26.531007099999997</v>
      </c>
      <c r="AW5" s="96">
        <f t="shared" si="7"/>
        <v>0</v>
      </c>
      <c r="AX5" s="96">
        <f t="shared" si="8"/>
        <v>6.0000000000000008E-5</v>
      </c>
      <c r="AY5" s="96">
        <f t="shared" si="9"/>
        <v>7.9593021300000005E-4</v>
      </c>
      <c r="AZ5" s="289">
        <f>AW5/DB!$B$23</f>
        <v>0</v>
      </c>
      <c r="BA5" s="289">
        <f>AX5/DB!$B$23</f>
        <v>7.228915662650603E-8</v>
      </c>
    </row>
    <row r="6" spans="1:53" s="91" customFormat="1" x14ac:dyDescent="0.3">
      <c r="A6" s="81" t="s">
        <v>472</v>
      </c>
      <c r="B6" s="81" t="str">
        <f>B2</f>
        <v>РВС №1н-3н, нефть</v>
      </c>
      <c r="C6" s="83" t="s">
        <v>147</v>
      </c>
      <c r="D6" s="84" t="s">
        <v>112</v>
      </c>
      <c r="E6" s="97">
        <f>E5</f>
        <v>1E-4</v>
      </c>
      <c r="F6" s="98">
        <f>F2</f>
        <v>3</v>
      </c>
      <c r="G6" s="81">
        <v>4.5000000000000005E-2</v>
      </c>
      <c r="H6" s="86">
        <f t="shared" si="2"/>
        <v>1.3500000000000003E-5</v>
      </c>
      <c r="I6" s="99">
        <f>0.15*I2</f>
        <v>546.75</v>
      </c>
      <c r="J6" s="88">
        <f>0.15*J3</f>
        <v>5.3325000000000004E-2</v>
      </c>
      <c r="K6" s="102" t="s">
        <v>127</v>
      </c>
      <c r="L6" s="103">
        <v>3</v>
      </c>
      <c r="M6" s="91" t="str">
        <f t="shared" si="0"/>
        <v>C5</v>
      </c>
      <c r="N6" s="91" t="str">
        <f t="shared" si="0"/>
        <v>РВС №1н-3н, нефть</v>
      </c>
      <c r="O6" s="91" t="str">
        <f t="shared" si="1"/>
        <v>Частичное-пожар-вспышка</v>
      </c>
      <c r="P6" s="91" t="s">
        <v>46</v>
      </c>
      <c r="Q6" s="91" t="s">
        <v>46</v>
      </c>
      <c r="R6" s="91" t="s">
        <v>46</v>
      </c>
      <c r="S6" s="91" t="s">
        <v>46</v>
      </c>
      <c r="T6" s="91" t="s">
        <v>46</v>
      </c>
      <c r="U6" s="91" t="s">
        <v>46</v>
      </c>
      <c r="V6" s="91" t="s">
        <v>46</v>
      </c>
      <c r="W6" s="91" t="s">
        <v>46</v>
      </c>
      <c r="X6" s="91" t="s">
        <v>46</v>
      </c>
      <c r="Y6" s="91" t="s">
        <v>46</v>
      </c>
      <c r="Z6" s="91" t="s">
        <v>46</v>
      </c>
      <c r="AA6" s="91">
        <v>12.74</v>
      </c>
      <c r="AB6" s="91">
        <v>15.29</v>
      </c>
      <c r="AC6" s="91" t="s">
        <v>46</v>
      </c>
      <c r="AD6" s="91" t="s">
        <v>46</v>
      </c>
      <c r="AE6" s="91" t="s">
        <v>46</v>
      </c>
      <c r="AF6" s="91" t="s">
        <v>46</v>
      </c>
      <c r="AG6" s="91" t="s">
        <v>46</v>
      </c>
      <c r="AH6" s="91" t="s">
        <v>46</v>
      </c>
      <c r="AI6" s="91" t="s">
        <v>46</v>
      </c>
      <c r="AJ6" s="91">
        <v>0</v>
      </c>
      <c r="AK6" s="91">
        <v>1</v>
      </c>
      <c r="AL6" s="91">
        <f>0.1*$AL$2</f>
        <v>7.5000000000000011E-2</v>
      </c>
      <c r="AM6" s="91">
        <f>AM2</f>
        <v>2.7E-2</v>
      </c>
      <c r="AN6" s="91">
        <f>ROUNDUP(AN2/3,0)</f>
        <v>1</v>
      </c>
      <c r="AQ6" s="94">
        <f t="shared" si="10"/>
        <v>14.837249999999999</v>
      </c>
      <c r="AR6" s="94">
        <f t="shared" si="3"/>
        <v>1.483725</v>
      </c>
      <c r="AS6" s="95">
        <f t="shared" si="4"/>
        <v>0.25</v>
      </c>
      <c r="AT6" s="95">
        <f t="shared" si="5"/>
        <v>4.1427437500000002</v>
      </c>
      <c r="AU6" s="94">
        <f>10068.2*J6*POWER(10,-6)*10</f>
        <v>5.3688676500000011E-3</v>
      </c>
      <c r="AV6" s="95">
        <f t="shared" si="6"/>
        <v>20.719087617649997</v>
      </c>
      <c r="AW6" s="96">
        <f t="shared" si="7"/>
        <v>0</v>
      </c>
      <c r="AX6" s="96">
        <f t="shared" si="8"/>
        <v>1.3500000000000003E-5</v>
      </c>
      <c r="AY6" s="96">
        <f t="shared" si="9"/>
        <v>2.7970768283827504E-4</v>
      </c>
      <c r="AZ6" s="289">
        <f>AW6/DB!$B$23</f>
        <v>0</v>
      </c>
      <c r="BA6" s="289">
        <f>AX6/DB!$B$23</f>
        <v>1.626506024096386E-8</v>
      </c>
    </row>
    <row r="7" spans="1:53" s="91" customFormat="1" ht="15" thickBot="1" x14ac:dyDescent="0.35">
      <c r="A7" s="81" t="s">
        <v>473</v>
      </c>
      <c r="B7" s="81" t="str">
        <f>B2</f>
        <v>РВС №1н-3н, нефть</v>
      </c>
      <c r="C7" s="83" t="s">
        <v>148</v>
      </c>
      <c r="D7" s="84" t="s">
        <v>27</v>
      </c>
      <c r="E7" s="97">
        <f>E5</f>
        <v>1E-4</v>
      </c>
      <c r="F7" s="98">
        <f>F2</f>
        <v>3</v>
      </c>
      <c r="G7" s="81">
        <v>0.85499999999999998</v>
      </c>
      <c r="H7" s="86">
        <f t="shared" si="2"/>
        <v>2.565E-4</v>
      </c>
      <c r="I7" s="99">
        <f>0.15*I2</f>
        <v>546.75</v>
      </c>
      <c r="J7" s="101">
        <v>0</v>
      </c>
      <c r="K7" s="104" t="s">
        <v>138</v>
      </c>
      <c r="L7" s="104">
        <v>9</v>
      </c>
      <c r="M7" s="91" t="str">
        <f t="shared" si="0"/>
        <v>C6</v>
      </c>
      <c r="N7" s="91" t="str">
        <f t="shared" si="0"/>
        <v>РВС №1н-3н, нефть</v>
      </c>
      <c r="O7" s="91" t="str">
        <f t="shared" si="1"/>
        <v>Частичное-ликвидация</v>
      </c>
      <c r="P7" s="91" t="s">
        <v>46</v>
      </c>
      <c r="Q7" s="91" t="s">
        <v>46</v>
      </c>
      <c r="R7" s="91" t="s">
        <v>46</v>
      </c>
      <c r="S7" s="91" t="s">
        <v>46</v>
      </c>
      <c r="T7" s="91" t="s">
        <v>46</v>
      </c>
      <c r="U7" s="91" t="s">
        <v>46</v>
      </c>
      <c r="V7" s="91" t="s">
        <v>46</v>
      </c>
      <c r="W7" s="91" t="s">
        <v>46</v>
      </c>
      <c r="X7" s="91" t="s">
        <v>46</v>
      </c>
      <c r="Y7" s="91" t="s">
        <v>46</v>
      </c>
      <c r="Z7" s="91" t="s">
        <v>46</v>
      </c>
      <c r="AA7" s="91" t="s">
        <v>46</v>
      </c>
      <c r="AB7" s="91" t="s">
        <v>46</v>
      </c>
      <c r="AC7" s="91" t="s">
        <v>46</v>
      </c>
      <c r="AD7" s="91" t="s">
        <v>46</v>
      </c>
      <c r="AE7" s="91" t="s">
        <v>46</v>
      </c>
      <c r="AF7" s="91" t="s">
        <v>46</v>
      </c>
      <c r="AG7" s="91" t="s">
        <v>46</v>
      </c>
      <c r="AH7" s="91" t="s">
        <v>46</v>
      </c>
      <c r="AI7" s="91" t="s">
        <v>46</v>
      </c>
      <c r="AJ7" s="91">
        <v>0</v>
      </c>
      <c r="AK7" s="91">
        <v>0</v>
      </c>
      <c r="AL7" s="91">
        <f>0.1*$AL$2</f>
        <v>7.5000000000000011E-2</v>
      </c>
      <c r="AM7" s="91">
        <f>AM2</f>
        <v>2.7E-2</v>
      </c>
      <c r="AN7" s="91">
        <f>ROUNDUP(AN2/3,0)</f>
        <v>1</v>
      </c>
      <c r="AQ7" s="94">
        <f t="shared" si="10"/>
        <v>14.837249999999999</v>
      </c>
      <c r="AR7" s="94">
        <f t="shared" si="3"/>
        <v>1.483725</v>
      </c>
      <c r="AS7" s="95">
        <f t="shared" si="4"/>
        <v>0</v>
      </c>
      <c r="AT7" s="95">
        <f t="shared" si="5"/>
        <v>4.0802437500000002</v>
      </c>
      <c r="AU7" s="94">
        <f>1333*J6*POWER(10,-6)</f>
        <v>7.1082225000000004E-5</v>
      </c>
      <c r="AV7" s="95">
        <f t="shared" si="6"/>
        <v>20.401289832225</v>
      </c>
      <c r="AW7" s="96">
        <f t="shared" si="7"/>
        <v>0</v>
      </c>
      <c r="AX7" s="96">
        <f t="shared" si="8"/>
        <v>0</v>
      </c>
      <c r="AY7" s="96">
        <f t="shared" si="9"/>
        <v>5.2329308419657126E-3</v>
      </c>
      <c r="AZ7" s="289">
        <f>AW7/DB!$B$23</f>
        <v>0</v>
      </c>
      <c r="BA7" s="289">
        <f>AX7/DB!$B$23</f>
        <v>0</v>
      </c>
    </row>
    <row r="8" spans="1:53" s="91" customFormat="1" x14ac:dyDescent="0.3">
      <c r="A8" s="92"/>
      <c r="B8" s="92"/>
      <c r="D8" s="183"/>
      <c r="E8" s="184"/>
      <c r="F8" s="185"/>
      <c r="G8" s="92"/>
      <c r="H8" s="96"/>
      <c r="I8" s="95"/>
      <c r="J8" s="92"/>
      <c r="K8" s="288" t="s">
        <v>466</v>
      </c>
      <c r="L8" s="287" t="s">
        <v>642</v>
      </c>
      <c r="AQ8" s="94"/>
      <c r="AR8" s="94"/>
      <c r="AS8" s="95"/>
      <c r="AT8" s="95"/>
      <c r="AU8" s="94"/>
      <c r="AV8" s="95"/>
      <c r="AW8" s="96"/>
      <c r="AX8" s="96"/>
      <c r="AY8" s="96"/>
    </row>
    <row r="9" spans="1:53" s="91" customFormat="1" x14ac:dyDescent="0.3">
      <c r="A9" s="92"/>
      <c r="B9" s="92"/>
      <c r="D9" s="183"/>
      <c r="E9" s="184"/>
      <c r="F9" s="185"/>
      <c r="G9" s="92"/>
      <c r="H9" s="96"/>
      <c r="I9" s="95"/>
      <c r="J9" s="92"/>
      <c r="K9" s="92"/>
      <c r="L9" s="92"/>
      <c r="AQ9" s="94"/>
      <c r="AR9" s="94"/>
      <c r="AS9" s="95"/>
      <c r="AT9" s="95"/>
      <c r="AU9" s="94"/>
      <c r="AV9" s="95"/>
      <c r="AW9" s="96"/>
      <c r="AX9" s="96"/>
      <c r="AY9" s="96"/>
    </row>
    <row r="10" spans="1:53" s="91" customFormat="1" x14ac:dyDescent="0.3">
      <c r="A10" s="92"/>
      <c r="B10" s="92"/>
      <c r="D10" s="183"/>
      <c r="E10" s="184"/>
      <c r="F10" s="185"/>
      <c r="G10" s="92"/>
      <c r="H10" s="96"/>
      <c r="I10" s="95"/>
      <c r="J10" s="92"/>
      <c r="K10" s="92"/>
      <c r="L10" s="92"/>
      <c r="AQ10" s="94"/>
      <c r="AR10" s="94"/>
      <c r="AS10" s="95"/>
      <c r="AT10" s="95"/>
      <c r="AU10" s="94"/>
      <c r="AV10" s="95"/>
      <c r="AW10" s="96"/>
      <c r="AX10" s="96"/>
      <c r="AY10" s="96"/>
    </row>
    <row r="11" spans="1:53" ht="15" thickBot="1" x14ac:dyDescent="0.35"/>
    <row r="12" spans="1:53" s="91" customFormat="1" ht="15" thickBot="1" x14ac:dyDescent="0.35">
      <c r="A12" s="81" t="s">
        <v>723</v>
      </c>
      <c r="B12" s="82" t="s">
        <v>654</v>
      </c>
      <c r="C12" s="83" t="s">
        <v>143</v>
      </c>
      <c r="D12" s="84" t="s">
        <v>25</v>
      </c>
      <c r="E12" s="85">
        <v>1.0000000000000001E-5</v>
      </c>
      <c r="F12" s="82">
        <v>3</v>
      </c>
      <c r="G12" s="81">
        <v>0.1</v>
      </c>
      <c r="H12" s="86">
        <f t="shared" ref="H12:H17" si="11">E12*F12*G12</f>
        <v>3.0000000000000005E-6</v>
      </c>
      <c r="I12" s="87">
        <v>2000</v>
      </c>
      <c r="J12" s="88">
        <f>I12</f>
        <v>2000</v>
      </c>
      <c r="K12" s="89" t="s">
        <v>122</v>
      </c>
      <c r="L12" s="90">
        <v>3450</v>
      </c>
      <c r="M12" s="91" t="str">
        <f t="shared" ref="M12:M17" si="12">A12</f>
        <v>C7</v>
      </c>
      <c r="N12" s="91" t="str">
        <f t="shared" ref="N12:N17" si="13">B12</f>
        <v>РВС №4н, 1в-2в, нефть, пластовая вода</v>
      </c>
      <c r="O12" s="91" t="str">
        <f t="shared" ref="O12:O17" si="14">D12</f>
        <v>Полное-пожар</v>
      </c>
      <c r="P12" s="91">
        <v>46.6</v>
      </c>
      <c r="Q12" s="91">
        <v>62.9</v>
      </c>
      <c r="R12" s="91">
        <v>86.9</v>
      </c>
      <c r="S12" s="91">
        <v>153.9</v>
      </c>
      <c r="T12" s="91" t="s">
        <v>46</v>
      </c>
      <c r="U12" s="91" t="s">
        <v>46</v>
      </c>
      <c r="V12" s="91" t="s">
        <v>46</v>
      </c>
      <c r="W12" s="91" t="s">
        <v>46</v>
      </c>
      <c r="X12" s="91" t="s">
        <v>46</v>
      </c>
      <c r="Y12" s="91" t="s">
        <v>46</v>
      </c>
      <c r="Z12" s="91" t="s">
        <v>46</v>
      </c>
      <c r="AA12" s="91" t="s">
        <v>46</v>
      </c>
      <c r="AB12" s="91" t="s">
        <v>46</v>
      </c>
      <c r="AC12" s="91" t="s">
        <v>46</v>
      </c>
      <c r="AD12" s="91" t="s">
        <v>46</v>
      </c>
      <c r="AE12" s="91" t="s">
        <v>46</v>
      </c>
      <c r="AF12" s="91" t="s">
        <v>46</v>
      </c>
      <c r="AG12" s="91" t="s">
        <v>46</v>
      </c>
      <c r="AH12" s="91" t="s">
        <v>46</v>
      </c>
      <c r="AI12" s="91" t="s">
        <v>46</v>
      </c>
      <c r="AJ12" s="92">
        <v>1</v>
      </c>
      <c r="AK12" s="92">
        <v>2</v>
      </c>
      <c r="AL12" s="93">
        <v>0.75</v>
      </c>
      <c r="AM12" s="93">
        <v>2.7E-2</v>
      </c>
      <c r="AN12" s="93">
        <v>3</v>
      </c>
      <c r="AQ12" s="94">
        <f>AM12*I12+AL12</f>
        <v>54.75</v>
      </c>
      <c r="AR12" s="94">
        <f t="shared" ref="AR12:AR17" si="15">0.1*AQ12</f>
        <v>5.4750000000000005</v>
      </c>
      <c r="AS12" s="95">
        <f t="shared" ref="AS12:AS17" si="16">AJ12*3+0.25*AK12</f>
        <v>3.5</v>
      </c>
      <c r="AT12" s="95">
        <f t="shared" ref="AT12:AT17" si="17">SUM(AQ12:AS12)/4</f>
        <v>15.93125</v>
      </c>
      <c r="AU12" s="94">
        <f>10068.2*J12*POWER(10,-6)</f>
        <v>20.136399999999998</v>
      </c>
      <c r="AV12" s="95">
        <f t="shared" ref="AV12:AV17" si="18">AU12+AT12+AS12+AR12+AQ12</f>
        <v>99.792650000000009</v>
      </c>
      <c r="AW12" s="96">
        <f t="shared" ref="AW12:AW17" si="19">AJ12*H12</f>
        <v>3.0000000000000005E-6</v>
      </c>
      <c r="AX12" s="96">
        <f t="shared" ref="AX12:AX17" si="20">H12*AK12</f>
        <v>6.000000000000001E-6</v>
      </c>
      <c r="AY12" s="96">
        <f t="shared" ref="AY12:AY17" si="21">H12*AV12</f>
        <v>2.9937795000000008E-4</v>
      </c>
      <c r="AZ12" s="289">
        <f>AW12/DB!$B$23</f>
        <v>3.6144578313253017E-9</v>
      </c>
      <c r="BA12" s="289">
        <f>AX12/DB!$B$23</f>
        <v>7.2289156626506035E-9</v>
      </c>
    </row>
    <row r="13" spans="1:53" s="91" customFormat="1" ht="15" thickBot="1" x14ac:dyDescent="0.35">
      <c r="A13" s="81" t="s">
        <v>724</v>
      </c>
      <c r="B13" s="81" t="str">
        <f>B12</f>
        <v>РВС №4н, 1в-2в, нефть, пластовая вода</v>
      </c>
      <c r="C13" s="83" t="s">
        <v>149</v>
      </c>
      <c r="D13" s="84" t="s">
        <v>28</v>
      </c>
      <c r="E13" s="97">
        <f>E12</f>
        <v>1.0000000000000001E-5</v>
      </c>
      <c r="F13" s="98">
        <f>F12</f>
        <v>3</v>
      </c>
      <c r="G13" s="81">
        <v>0.18000000000000002</v>
      </c>
      <c r="H13" s="86">
        <f t="shared" si="11"/>
        <v>5.4000000000000017E-6</v>
      </c>
      <c r="I13" s="99">
        <f>I12</f>
        <v>2000</v>
      </c>
      <c r="J13" s="189">
        <f>POWER(10,-6)*25*SQRT(100)*3600*L12/1000*0.1</f>
        <v>0.3105</v>
      </c>
      <c r="K13" s="89" t="s">
        <v>123</v>
      </c>
      <c r="L13" s="90">
        <v>0</v>
      </c>
      <c r="M13" s="91" t="str">
        <f t="shared" si="12"/>
        <v>C8</v>
      </c>
      <c r="N13" s="91" t="str">
        <f t="shared" si="13"/>
        <v>РВС №4н, 1в-2в, нефть, пластовая вода</v>
      </c>
      <c r="O13" s="91" t="str">
        <f t="shared" si="14"/>
        <v>Полное-взрыв</v>
      </c>
      <c r="P13" s="91" t="s">
        <v>46</v>
      </c>
      <c r="Q13" s="91" t="s">
        <v>46</v>
      </c>
      <c r="R13" s="91" t="s">
        <v>46</v>
      </c>
      <c r="S13" s="91" t="s">
        <v>46</v>
      </c>
      <c r="T13" s="91">
        <v>0</v>
      </c>
      <c r="U13" s="91">
        <v>0</v>
      </c>
      <c r="V13" s="91">
        <v>51.1</v>
      </c>
      <c r="W13" s="91">
        <v>171.1</v>
      </c>
      <c r="X13" s="91">
        <v>250.1</v>
      </c>
      <c r="Y13" s="91" t="s">
        <v>46</v>
      </c>
      <c r="Z13" s="91" t="s">
        <v>46</v>
      </c>
      <c r="AA13" s="91" t="s">
        <v>46</v>
      </c>
      <c r="AB13" s="91" t="s">
        <v>46</v>
      </c>
      <c r="AC13" s="91" t="s">
        <v>46</v>
      </c>
      <c r="AD13" s="91" t="s">
        <v>46</v>
      </c>
      <c r="AE13" s="91" t="s">
        <v>46</v>
      </c>
      <c r="AF13" s="91" t="s">
        <v>46</v>
      </c>
      <c r="AG13" s="91" t="s">
        <v>46</v>
      </c>
      <c r="AH13" s="91" t="s">
        <v>46</v>
      </c>
      <c r="AI13" s="91" t="s">
        <v>46</v>
      </c>
      <c r="AJ13" s="92">
        <v>2</v>
      </c>
      <c r="AK13" s="92">
        <v>2</v>
      </c>
      <c r="AL13" s="91">
        <f>AL12</f>
        <v>0.75</v>
      </c>
      <c r="AM13" s="91">
        <f>AM12</f>
        <v>2.7E-2</v>
      </c>
      <c r="AN13" s="91">
        <f>AN12</f>
        <v>3</v>
      </c>
      <c r="AQ13" s="94">
        <f t="shared" ref="AQ13:AQ17" si="22">AM13*I13+AL13</f>
        <v>54.75</v>
      </c>
      <c r="AR13" s="94">
        <f t="shared" si="15"/>
        <v>5.4750000000000005</v>
      </c>
      <c r="AS13" s="95">
        <f t="shared" si="16"/>
        <v>6.5</v>
      </c>
      <c r="AT13" s="95">
        <f t="shared" si="17"/>
        <v>16.681249999999999</v>
      </c>
      <c r="AU13" s="94">
        <v>16.642734600000001</v>
      </c>
      <c r="AV13" s="95">
        <f t="shared" si="18"/>
        <v>100.04898460000001</v>
      </c>
      <c r="AW13" s="96">
        <f t="shared" si="19"/>
        <v>1.0800000000000003E-5</v>
      </c>
      <c r="AX13" s="96">
        <f t="shared" si="20"/>
        <v>1.0800000000000003E-5</v>
      </c>
      <c r="AY13" s="96">
        <f t="shared" si="21"/>
        <v>5.402645168400002E-4</v>
      </c>
      <c r="AZ13" s="289">
        <f>AW13/DB!$B$23</f>
        <v>1.3012048192771088E-8</v>
      </c>
      <c r="BA13" s="289">
        <f>AX13/DB!$B$23</f>
        <v>1.3012048192771088E-8</v>
      </c>
    </row>
    <row r="14" spans="1:53" s="91" customFormat="1" x14ac:dyDescent="0.3">
      <c r="A14" s="81" t="s">
        <v>725</v>
      </c>
      <c r="B14" s="81" t="str">
        <f>B12</f>
        <v>РВС №4н, 1в-2в, нефть, пластовая вода</v>
      </c>
      <c r="C14" s="83" t="s">
        <v>145</v>
      </c>
      <c r="D14" s="84" t="s">
        <v>26</v>
      </c>
      <c r="E14" s="97">
        <f>E12</f>
        <v>1.0000000000000001E-5</v>
      </c>
      <c r="F14" s="98">
        <f>F12</f>
        <v>3</v>
      </c>
      <c r="G14" s="81">
        <v>0.72000000000000008</v>
      </c>
      <c r="H14" s="86">
        <f t="shared" si="11"/>
        <v>2.1600000000000007E-5</v>
      </c>
      <c r="I14" s="99">
        <f>I12</f>
        <v>2000</v>
      </c>
      <c r="J14" s="101">
        <v>0</v>
      </c>
      <c r="K14" s="89" t="s">
        <v>124</v>
      </c>
      <c r="L14" s="90">
        <v>0</v>
      </c>
      <c r="M14" s="91" t="str">
        <f t="shared" si="12"/>
        <v>C9</v>
      </c>
      <c r="N14" s="91" t="str">
        <f t="shared" si="13"/>
        <v>РВС №4н, 1в-2в, нефть, пластовая вода</v>
      </c>
      <c r="O14" s="91" t="str">
        <f t="shared" si="14"/>
        <v>Полное-ликвидация</v>
      </c>
      <c r="P14" s="91" t="s">
        <v>46</v>
      </c>
      <c r="Q14" s="91" t="s">
        <v>46</v>
      </c>
      <c r="R14" s="91" t="s">
        <v>46</v>
      </c>
      <c r="S14" s="91" t="s">
        <v>46</v>
      </c>
      <c r="T14" s="91" t="s">
        <v>46</v>
      </c>
      <c r="U14" s="91" t="s">
        <v>46</v>
      </c>
      <c r="V14" s="91" t="s">
        <v>46</v>
      </c>
      <c r="W14" s="91" t="s">
        <v>46</v>
      </c>
      <c r="X14" s="91" t="s">
        <v>46</v>
      </c>
      <c r="Y14" s="91" t="s">
        <v>46</v>
      </c>
      <c r="Z14" s="91" t="s">
        <v>46</v>
      </c>
      <c r="AA14" s="91" t="s">
        <v>46</v>
      </c>
      <c r="AB14" s="91" t="s">
        <v>46</v>
      </c>
      <c r="AC14" s="91" t="s">
        <v>46</v>
      </c>
      <c r="AD14" s="91" t="s">
        <v>46</v>
      </c>
      <c r="AE14" s="91" t="s">
        <v>46</v>
      </c>
      <c r="AF14" s="91" t="s">
        <v>46</v>
      </c>
      <c r="AG14" s="91" t="s">
        <v>46</v>
      </c>
      <c r="AH14" s="91" t="s">
        <v>46</v>
      </c>
      <c r="AI14" s="91" t="s">
        <v>46</v>
      </c>
      <c r="AJ14" s="91">
        <v>0</v>
      </c>
      <c r="AK14" s="91">
        <v>0</v>
      </c>
      <c r="AL14" s="91">
        <f>AL12</f>
        <v>0.75</v>
      </c>
      <c r="AM14" s="91">
        <f>AM12</f>
        <v>2.7E-2</v>
      </c>
      <c r="AN14" s="91">
        <f>AN12</f>
        <v>3</v>
      </c>
      <c r="AQ14" s="94">
        <f t="shared" si="22"/>
        <v>54.75</v>
      </c>
      <c r="AR14" s="94">
        <f t="shared" si="15"/>
        <v>5.4750000000000005</v>
      </c>
      <c r="AS14" s="95">
        <f t="shared" si="16"/>
        <v>0</v>
      </c>
      <c r="AT14" s="95">
        <f t="shared" si="17"/>
        <v>15.05625</v>
      </c>
      <c r="AU14" s="94">
        <f>1333*J13*POWER(10,-6)</f>
        <v>4.1389649999999998E-4</v>
      </c>
      <c r="AV14" s="95">
        <f t="shared" si="18"/>
        <v>75.281663896499992</v>
      </c>
      <c r="AW14" s="96">
        <f t="shared" si="19"/>
        <v>0</v>
      </c>
      <c r="AX14" s="96">
        <f t="shared" si="20"/>
        <v>0</v>
      </c>
      <c r="AY14" s="96">
        <f t="shared" si="21"/>
        <v>1.6260839401644003E-3</v>
      </c>
      <c r="AZ14" s="289">
        <f>AW14/DB!$B$23</f>
        <v>0</v>
      </c>
      <c r="BA14" s="289">
        <f>AX14/DB!$B$23</f>
        <v>0</v>
      </c>
    </row>
    <row r="15" spans="1:53" s="91" customFormat="1" x14ac:dyDescent="0.3">
      <c r="A15" s="81" t="s">
        <v>726</v>
      </c>
      <c r="B15" s="81" t="str">
        <f>B12</f>
        <v>РВС №4н, 1в-2в, нефть, пластовая вода</v>
      </c>
      <c r="C15" s="83" t="s">
        <v>146</v>
      </c>
      <c r="D15" s="84" t="s">
        <v>47</v>
      </c>
      <c r="E15" s="85">
        <v>1E-4</v>
      </c>
      <c r="F15" s="98">
        <f>F12</f>
        <v>3</v>
      </c>
      <c r="G15" s="81">
        <v>0.1</v>
      </c>
      <c r="H15" s="86">
        <f t="shared" si="11"/>
        <v>3.0000000000000004E-5</v>
      </c>
      <c r="I15" s="99">
        <f>0.15*I12</f>
        <v>300</v>
      </c>
      <c r="J15" s="88">
        <f>I15</f>
        <v>300</v>
      </c>
      <c r="K15" s="102" t="s">
        <v>126</v>
      </c>
      <c r="L15" s="103">
        <v>45390</v>
      </c>
      <c r="M15" s="91" t="str">
        <f t="shared" si="12"/>
        <v>C10</v>
      </c>
      <c r="N15" s="91" t="str">
        <f t="shared" si="13"/>
        <v>РВС №4н, 1в-2в, нефть, пластовая вода</v>
      </c>
      <c r="O15" s="91" t="str">
        <f t="shared" si="14"/>
        <v>Частичное-пожар</v>
      </c>
      <c r="P15" s="91">
        <v>15</v>
      </c>
      <c r="Q15" s="91">
        <v>20.9</v>
      </c>
      <c r="R15" s="91">
        <v>30.3</v>
      </c>
      <c r="S15" s="91">
        <v>57.5</v>
      </c>
      <c r="T15" s="91" t="s">
        <v>46</v>
      </c>
      <c r="U15" s="91" t="s">
        <v>46</v>
      </c>
      <c r="V15" s="91" t="s">
        <v>46</v>
      </c>
      <c r="W15" s="91" t="s">
        <v>46</v>
      </c>
      <c r="X15" s="91" t="s">
        <v>46</v>
      </c>
      <c r="Y15" s="91" t="s">
        <v>46</v>
      </c>
      <c r="Z15" s="91" t="s">
        <v>46</v>
      </c>
      <c r="AA15" s="91" t="s">
        <v>46</v>
      </c>
      <c r="AB15" s="91" t="s">
        <v>46</v>
      </c>
      <c r="AC15" s="91" t="s">
        <v>46</v>
      </c>
      <c r="AD15" s="91" t="s">
        <v>46</v>
      </c>
      <c r="AE15" s="91" t="s">
        <v>46</v>
      </c>
      <c r="AF15" s="91" t="s">
        <v>46</v>
      </c>
      <c r="AG15" s="91" t="s">
        <v>46</v>
      </c>
      <c r="AH15" s="91" t="s">
        <v>46</v>
      </c>
      <c r="AI15" s="91" t="s">
        <v>46</v>
      </c>
      <c r="AJ15" s="91">
        <v>0</v>
      </c>
      <c r="AK15" s="91">
        <v>2</v>
      </c>
      <c r="AL15" s="91">
        <f>0.1*$AL$2</f>
        <v>7.5000000000000011E-2</v>
      </c>
      <c r="AM15" s="91">
        <f>AM12</f>
        <v>2.7E-2</v>
      </c>
      <c r="AN15" s="91">
        <f>ROUNDUP(AN12/3,0)</f>
        <v>1</v>
      </c>
      <c r="AQ15" s="94">
        <f t="shared" si="22"/>
        <v>8.1749999999999989</v>
      </c>
      <c r="AR15" s="94">
        <f t="shared" si="15"/>
        <v>0.81749999999999989</v>
      </c>
      <c r="AS15" s="95">
        <f t="shared" si="16"/>
        <v>0.5</v>
      </c>
      <c r="AT15" s="95">
        <f t="shared" si="17"/>
        <v>2.3731249999999999</v>
      </c>
      <c r="AU15" s="94">
        <f>10068.2*J15*POWER(10,-6)</f>
        <v>3.0204599999999999</v>
      </c>
      <c r="AV15" s="95">
        <f t="shared" si="18"/>
        <v>14.886084999999998</v>
      </c>
      <c r="AW15" s="96">
        <f t="shared" si="19"/>
        <v>0</v>
      </c>
      <c r="AX15" s="96">
        <f t="shared" si="20"/>
        <v>6.0000000000000008E-5</v>
      </c>
      <c r="AY15" s="96">
        <f t="shared" si="21"/>
        <v>4.4658254999999997E-4</v>
      </c>
      <c r="AZ15" s="289">
        <f>AW15/DB!$B$23</f>
        <v>0</v>
      </c>
      <c r="BA15" s="289">
        <f>AX15/DB!$B$23</f>
        <v>7.228915662650603E-8</v>
      </c>
    </row>
    <row r="16" spans="1:53" s="91" customFormat="1" x14ac:dyDescent="0.3">
      <c r="A16" s="81" t="s">
        <v>727</v>
      </c>
      <c r="B16" s="81" t="str">
        <f>B12</f>
        <v>РВС №4н, 1в-2в, нефть, пластовая вода</v>
      </c>
      <c r="C16" s="83" t="s">
        <v>147</v>
      </c>
      <c r="D16" s="84" t="s">
        <v>112</v>
      </c>
      <c r="E16" s="97">
        <f>E15</f>
        <v>1E-4</v>
      </c>
      <c r="F16" s="98">
        <f>F12</f>
        <v>3</v>
      </c>
      <c r="G16" s="81">
        <v>4.5000000000000005E-2</v>
      </c>
      <c r="H16" s="86">
        <f t="shared" si="11"/>
        <v>1.3500000000000003E-5</v>
      </c>
      <c r="I16" s="99">
        <f>0.15*I12</f>
        <v>300</v>
      </c>
      <c r="J16" s="88">
        <f>0.15*J13</f>
        <v>4.6574999999999998E-2</v>
      </c>
      <c r="K16" s="102" t="s">
        <v>127</v>
      </c>
      <c r="L16" s="103">
        <v>3</v>
      </c>
      <c r="M16" s="91" t="str">
        <f t="shared" si="12"/>
        <v>C11</v>
      </c>
      <c r="N16" s="91" t="str">
        <f t="shared" si="13"/>
        <v>РВС №4н, 1в-2в, нефть, пластовая вода</v>
      </c>
      <c r="O16" s="91" t="str">
        <f t="shared" si="14"/>
        <v>Частичное-пожар-вспышка</v>
      </c>
      <c r="P16" s="91" t="s">
        <v>46</v>
      </c>
      <c r="Q16" s="91" t="s">
        <v>46</v>
      </c>
      <c r="R16" s="91" t="s">
        <v>46</v>
      </c>
      <c r="S16" s="91" t="s">
        <v>46</v>
      </c>
      <c r="T16" s="91" t="s">
        <v>46</v>
      </c>
      <c r="U16" s="91" t="s">
        <v>46</v>
      </c>
      <c r="V16" s="91" t="s">
        <v>46</v>
      </c>
      <c r="W16" s="91" t="s">
        <v>46</v>
      </c>
      <c r="X16" s="91" t="s">
        <v>46</v>
      </c>
      <c r="Y16" s="91" t="s">
        <v>46</v>
      </c>
      <c r="Z16" s="91" t="s">
        <v>46</v>
      </c>
      <c r="AA16" s="91">
        <v>12.18</v>
      </c>
      <c r="AB16" s="91">
        <v>14.62</v>
      </c>
      <c r="AC16" s="91" t="s">
        <v>46</v>
      </c>
      <c r="AD16" s="91" t="s">
        <v>46</v>
      </c>
      <c r="AE16" s="91" t="s">
        <v>46</v>
      </c>
      <c r="AF16" s="91" t="s">
        <v>46</v>
      </c>
      <c r="AG16" s="91" t="s">
        <v>46</v>
      </c>
      <c r="AH16" s="91" t="s">
        <v>46</v>
      </c>
      <c r="AI16" s="91" t="s">
        <v>46</v>
      </c>
      <c r="AJ16" s="91">
        <v>0</v>
      </c>
      <c r="AK16" s="91">
        <v>1</v>
      </c>
      <c r="AL16" s="91">
        <f>0.1*$AL$2</f>
        <v>7.5000000000000011E-2</v>
      </c>
      <c r="AM16" s="91">
        <f>AM12</f>
        <v>2.7E-2</v>
      </c>
      <c r="AN16" s="91">
        <f>ROUNDUP(AN12/3,0)</f>
        <v>1</v>
      </c>
      <c r="AQ16" s="94">
        <f t="shared" si="22"/>
        <v>8.1749999999999989</v>
      </c>
      <c r="AR16" s="94">
        <f t="shared" si="15"/>
        <v>0.81749999999999989</v>
      </c>
      <c r="AS16" s="95">
        <f t="shared" si="16"/>
        <v>0.25</v>
      </c>
      <c r="AT16" s="95">
        <f t="shared" si="17"/>
        <v>2.3106249999999999</v>
      </c>
      <c r="AU16" s="94">
        <f>10068.2*J16*POWER(10,-6)*10</f>
        <v>4.6892641500000005E-3</v>
      </c>
      <c r="AV16" s="95">
        <f t="shared" si="18"/>
        <v>11.557814264149998</v>
      </c>
      <c r="AW16" s="96">
        <f t="shared" si="19"/>
        <v>0</v>
      </c>
      <c r="AX16" s="96">
        <f t="shared" si="20"/>
        <v>1.3500000000000003E-5</v>
      </c>
      <c r="AY16" s="96">
        <f t="shared" si="21"/>
        <v>1.56030492566025E-4</v>
      </c>
      <c r="AZ16" s="289">
        <f>AW16/DB!$B$23</f>
        <v>0</v>
      </c>
      <c r="BA16" s="289">
        <f>AX16/DB!$B$23</f>
        <v>1.626506024096386E-8</v>
      </c>
    </row>
    <row r="17" spans="1:53" s="91" customFormat="1" ht="15" thickBot="1" x14ac:dyDescent="0.35">
      <c r="A17" s="81" t="s">
        <v>728</v>
      </c>
      <c r="B17" s="81" t="str">
        <f>B12</f>
        <v>РВС №4н, 1в-2в, нефть, пластовая вода</v>
      </c>
      <c r="C17" s="83" t="s">
        <v>148</v>
      </c>
      <c r="D17" s="84" t="s">
        <v>27</v>
      </c>
      <c r="E17" s="97">
        <f>E15</f>
        <v>1E-4</v>
      </c>
      <c r="F17" s="98">
        <f>F12</f>
        <v>3</v>
      </c>
      <c r="G17" s="81">
        <v>0.85499999999999998</v>
      </c>
      <c r="H17" s="86">
        <f t="shared" si="11"/>
        <v>2.565E-4</v>
      </c>
      <c r="I17" s="99">
        <f>0.15*I12</f>
        <v>300</v>
      </c>
      <c r="J17" s="101">
        <v>0</v>
      </c>
      <c r="K17" s="104" t="s">
        <v>138</v>
      </c>
      <c r="L17" s="104">
        <v>9</v>
      </c>
      <c r="M17" s="91" t="str">
        <f t="shared" si="12"/>
        <v>C12</v>
      </c>
      <c r="N17" s="91" t="str">
        <f t="shared" si="13"/>
        <v>РВС №4н, 1в-2в, нефть, пластовая вода</v>
      </c>
      <c r="O17" s="91" t="str">
        <f t="shared" si="14"/>
        <v>Частичное-ликвидация</v>
      </c>
      <c r="P17" s="91" t="s">
        <v>46</v>
      </c>
      <c r="Q17" s="91" t="s">
        <v>46</v>
      </c>
      <c r="R17" s="91" t="s">
        <v>46</v>
      </c>
      <c r="S17" s="91" t="s">
        <v>46</v>
      </c>
      <c r="T17" s="91" t="s">
        <v>46</v>
      </c>
      <c r="U17" s="91" t="s">
        <v>46</v>
      </c>
      <c r="V17" s="91" t="s">
        <v>46</v>
      </c>
      <c r="W17" s="91" t="s">
        <v>46</v>
      </c>
      <c r="X17" s="91" t="s">
        <v>46</v>
      </c>
      <c r="Y17" s="91" t="s">
        <v>46</v>
      </c>
      <c r="Z17" s="91" t="s">
        <v>46</v>
      </c>
      <c r="AA17" s="91" t="s">
        <v>46</v>
      </c>
      <c r="AB17" s="91" t="s">
        <v>46</v>
      </c>
      <c r="AC17" s="91" t="s">
        <v>46</v>
      </c>
      <c r="AD17" s="91" t="s">
        <v>46</v>
      </c>
      <c r="AE17" s="91" t="s">
        <v>46</v>
      </c>
      <c r="AF17" s="91" t="s">
        <v>46</v>
      </c>
      <c r="AG17" s="91" t="s">
        <v>46</v>
      </c>
      <c r="AH17" s="91" t="s">
        <v>46</v>
      </c>
      <c r="AI17" s="91" t="s">
        <v>46</v>
      </c>
      <c r="AJ17" s="91">
        <v>0</v>
      </c>
      <c r="AK17" s="91">
        <v>0</v>
      </c>
      <c r="AL17" s="91">
        <f>0.1*$AL$2</f>
        <v>7.5000000000000011E-2</v>
      </c>
      <c r="AM17" s="91">
        <f>AM12</f>
        <v>2.7E-2</v>
      </c>
      <c r="AN17" s="91">
        <f>ROUNDUP(AN12/3,0)</f>
        <v>1</v>
      </c>
      <c r="AQ17" s="94">
        <f t="shared" si="22"/>
        <v>8.1749999999999989</v>
      </c>
      <c r="AR17" s="94">
        <f t="shared" si="15"/>
        <v>0.81749999999999989</v>
      </c>
      <c r="AS17" s="95">
        <f t="shared" si="16"/>
        <v>0</v>
      </c>
      <c r="AT17" s="95">
        <f t="shared" si="17"/>
        <v>2.2481249999999999</v>
      </c>
      <c r="AU17" s="94">
        <f>1333*J16*POWER(10,-6)</f>
        <v>6.2084474999999996E-5</v>
      </c>
      <c r="AV17" s="95">
        <f t="shared" si="18"/>
        <v>11.240687084474999</v>
      </c>
      <c r="AW17" s="96">
        <f t="shared" si="19"/>
        <v>0</v>
      </c>
      <c r="AX17" s="96">
        <f t="shared" si="20"/>
        <v>0</v>
      </c>
      <c r="AY17" s="96">
        <f t="shared" si="21"/>
        <v>2.8832362371678374E-3</v>
      </c>
      <c r="AZ17" s="289">
        <f>AW17/DB!$B$23</f>
        <v>0</v>
      </c>
      <c r="BA17" s="289">
        <f>AX17/DB!$B$23</f>
        <v>0</v>
      </c>
    </row>
    <row r="18" spans="1:53" s="91" customFormat="1" x14ac:dyDescent="0.3">
      <c r="A18" s="92"/>
      <c r="B18" s="92"/>
      <c r="D18" s="183"/>
      <c r="E18" s="184"/>
      <c r="F18" s="185"/>
      <c r="G18" s="92"/>
      <c r="H18" s="96"/>
      <c r="I18" s="95"/>
      <c r="J18" s="92"/>
      <c r="K18" s="288" t="s">
        <v>466</v>
      </c>
      <c r="L18" s="287" t="s">
        <v>642</v>
      </c>
      <c r="AQ18" s="94"/>
      <c r="AR18" s="94"/>
      <c r="AS18" s="95"/>
      <c r="AT18" s="95"/>
      <c r="AU18" s="94"/>
      <c r="AV18" s="95"/>
      <c r="AW18" s="96"/>
      <c r="AX18" s="96"/>
      <c r="AY18" s="96"/>
    </row>
    <row r="19" spans="1:53" s="91" customFormat="1" x14ac:dyDescent="0.3">
      <c r="A19" s="92"/>
      <c r="B19" s="92"/>
      <c r="D19" s="183"/>
      <c r="E19" s="184"/>
      <c r="F19" s="185"/>
      <c r="G19" s="92"/>
      <c r="H19" s="96"/>
      <c r="I19" s="95"/>
      <c r="J19" s="92"/>
      <c r="K19" s="92"/>
      <c r="L19" s="92"/>
      <c r="AQ19" s="94"/>
      <c r="AR19" s="94"/>
      <c r="AS19" s="95"/>
      <c r="AT19" s="95"/>
      <c r="AU19" s="94"/>
      <c r="AV19" s="95"/>
      <c r="AW19" s="96"/>
      <c r="AX19" s="96"/>
      <c r="AY19" s="96"/>
    </row>
    <row r="20" spans="1:53" s="91" customFormat="1" x14ac:dyDescent="0.3">
      <c r="A20" s="92"/>
      <c r="B20" s="92"/>
      <c r="D20" s="183"/>
      <c r="E20" s="184"/>
      <c r="F20" s="185"/>
      <c r="G20" s="92"/>
      <c r="H20" s="96"/>
      <c r="I20" s="95"/>
      <c r="J20" s="92"/>
      <c r="K20" s="92"/>
      <c r="L20" s="92"/>
      <c r="AQ20" s="94"/>
      <c r="AR20" s="94"/>
      <c r="AS20" s="95"/>
      <c r="AT20" s="95"/>
      <c r="AU20" s="94"/>
      <c r="AV20" s="95"/>
      <c r="AW20" s="96"/>
      <c r="AX20" s="96"/>
      <c r="AY20" s="96"/>
    </row>
    <row r="21" spans="1:53" ht="15" thickBot="1" x14ac:dyDescent="0.35"/>
    <row r="22" spans="1:53" s="139" customFormat="1" ht="18" customHeight="1" x14ac:dyDescent="0.3">
      <c r="A22" s="130" t="s">
        <v>729</v>
      </c>
      <c r="B22" s="131" t="s">
        <v>655</v>
      </c>
      <c r="C22" s="13" t="s">
        <v>143</v>
      </c>
      <c r="D22" s="132" t="s">
        <v>25</v>
      </c>
      <c r="E22" s="133">
        <v>9.9999999999999995E-7</v>
      </c>
      <c r="F22" s="131">
        <v>1</v>
      </c>
      <c r="G22" s="130">
        <v>0.05</v>
      </c>
      <c r="H22" s="134">
        <f>E22*F22*G22</f>
        <v>4.9999999999999998E-8</v>
      </c>
      <c r="I22" s="135">
        <v>14.6</v>
      </c>
      <c r="J22" s="136">
        <f>I22</f>
        <v>14.6</v>
      </c>
      <c r="K22" s="137" t="s">
        <v>122</v>
      </c>
      <c r="L22" s="138">
        <v>200</v>
      </c>
      <c r="M22" s="139" t="str">
        <f t="shared" ref="M22:N30" si="23">A22</f>
        <v>C13</v>
      </c>
      <c r="N22" s="139" t="str">
        <f t="shared" si="23"/>
        <v>Сепаратор нефтегазовый С-2.1 НГС I-6-2600-16ГС, нефть, попутный нефтяной газ</v>
      </c>
      <c r="O22" s="139" t="str">
        <f t="shared" ref="O22:O29" si="24">D22</f>
        <v>Полное-пожар</v>
      </c>
      <c r="P22" s="139">
        <v>11.4</v>
      </c>
      <c r="Q22" s="139">
        <v>16.100000000000001</v>
      </c>
      <c r="R22" s="139">
        <v>23.6</v>
      </c>
      <c r="S22" s="139">
        <v>45.4</v>
      </c>
      <c r="T22" s="139" t="s">
        <v>46</v>
      </c>
      <c r="U22" s="139" t="s">
        <v>46</v>
      </c>
      <c r="V22" s="139" t="s">
        <v>46</v>
      </c>
      <c r="W22" s="139" t="s">
        <v>46</v>
      </c>
      <c r="X22" s="139" t="s">
        <v>46</v>
      </c>
      <c r="Y22" s="139" t="s">
        <v>46</v>
      </c>
      <c r="Z22" s="139" t="s">
        <v>46</v>
      </c>
      <c r="AA22" s="139" t="s">
        <v>46</v>
      </c>
      <c r="AB22" s="139" t="s">
        <v>46</v>
      </c>
      <c r="AC22" s="139" t="s">
        <v>46</v>
      </c>
      <c r="AD22" s="139" t="s">
        <v>46</v>
      </c>
      <c r="AE22" s="139" t="s">
        <v>46</v>
      </c>
      <c r="AF22" s="139" t="s">
        <v>46</v>
      </c>
      <c r="AG22" s="139" t="s">
        <v>46</v>
      </c>
      <c r="AH22" s="139" t="s">
        <v>46</v>
      </c>
      <c r="AI22" s="139" t="s">
        <v>46</v>
      </c>
      <c r="AJ22" s="140">
        <v>0</v>
      </c>
      <c r="AK22" s="140">
        <v>2</v>
      </c>
      <c r="AL22" s="141">
        <v>0.75</v>
      </c>
      <c r="AM22" s="141">
        <v>2.7E-2</v>
      </c>
      <c r="AN22" s="141">
        <v>3</v>
      </c>
      <c r="AQ22" s="142">
        <f>AM22*I22+AL22</f>
        <v>1.1442000000000001</v>
      </c>
      <c r="AR22" s="142">
        <f>0.1*AQ22</f>
        <v>0.11442000000000002</v>
      </c>
      <c r="AS22" s="143">
        <f>AJ22*3+0.25*AK22</f>
        <v>0.5</v>
      </c>
      <c r="AT22" s="143">
        <f>SUM(AQ22:AS22)/4</f>
        <v>0.43965500000000002</v>
      </c>
      <c r="AU22" s="142">
        <f>10068.2*J22*POWER(10,-6)</f>
        <v>0.14699572</v>
      </c>
      <c r="AV22" s="143">
        <f t="shared" ref="AV22:AV30" si="25">AU22+AT22+AS22+AR22+AQ22</f>
        <v>2.3452707200000003</v>
      </c>
      <c r="AW22" s="144">
        <f>AJ22*H22</f>
        <v>0</v>
      </c>
      <c r="AX22" s="144">
        <f>H22*AK22</f>
        <v>9.9999999999999995E-8</v>
      </c>
      <c r="AY22" s="144">
        <f>H22*AV22</f>
        <v>1.1726353600000001E-7</v>
      </c>
      <c r="AZ22" s="289">
        <f>AW22/[1]DB!$B$23</f>
        <v>0</v>
      </c>
      <c r="BA22" s="289">
        <f>AX22/[1]DB!$B$23</f>
        <v>1.2048192771084336E-10</v>
      </c>
    </row>
    <row r="23" spans="1:53" s="139" customFormat="1" x14ac:dyDescent="0.3">
      <c r="A23" s="130" t="s">
        <v>730</v>
      </c>
      <c r="B23" s="130" t="str">
        <f>B22</f>
        <v>Сепаратор нефтегазовый С-2.1 НГС I-6-2600-16ГС, нефть, попутный нефтяной газ</v>
      </c>
      <c r="C23" s="13" t="s">
        <v>149</v>
      </c>
      <c r="D23" s="132" t="s">
        <v>28</v>
      </c>
      <c r="E23" s="145">
        <f>E22</f>
        <v>9.9999999999999995E-7</v>
      </c>
      <c r="F23" s="146">
        <f>F22</f>
        <v>1</v>
      </c>
      <c r="G23" s="130">
        <v>0.19</v>
      </c>
      <c r="H23" s="134">
        <f t="shared" ref="H23:H30" si="26">E23*F23*G23</f>
        <v>1.8999999999999998E-7</v>
      </c>
      <c r="I23" s="147">
        <f>I22</f>
        <v>14.6</v>
      </c>
      <c r="J23" s="333">
        <f>POWER(10,-6)*35*SQRT(100)*3600*L22/1000*0.1</f>
        <v>2.5199999999999997E-2</v>
      </c>
      <c r="K23" s="148" t="s">
        <v>123</v>
      </c>
      <c r="L23" s="149">
        <v>2</v>
      </c>
      <c r="M23" s="139" t="str">
        <f t="shared" si="23"/>
        <v>C14</v>
      </c>
      <c r="N23" s="139" t="str">
        <f t="shared" si="23"/>
        <v>Сепаратор нефтегазовый С-2.1 НГС I-6-2600-16ГС, нефть, попутный нефтяной газ</v>
      </c>
      <c r="O23" s="139" t="str">
        <f t="shared" si="24"/>
        <v>Полное-взрыв</v>
      </c>
      <c r="P23" s="139" t="s">
        <v>46</v>
      </c>
      <c r="Q23" s="139" t="s">
        <v>46</v>
      </c>
      <c r="R23" s="139" t="s">
        <v>46</v>
      </c>
      <c r="S23" s="139" t="s">
        <v>46</v>
      </c>
      <c r="T23" s="139">
        <v>0</v>
      </c>
      <c r="U23" s="139">
        <v>0</v>
      </c>
      <c r="V23" s="139">
        <v>22.1</v>
      </c>
      <c r="W23" s="139">
        <v>74.099999999999994</v>
      </c>
      <c r="X23" s="139">
        <v>108.1</v>
      </c>
      <c r="Y23" s="139" t="s">
        <v>46</v>
      </c>
      <c r="Z23" s="139" t="s">
        <v>46</v>
      </c>
      <c r="AA23" s="139" t="s">
        <v>46</v>
      </c>
      <c r="AB23" s="139" t="s">
        <v>46</v>
      </c>
      <c r="AC23" s="139" t="s">
        <v>46</v>
      </c>
      <c r="AD23" s="139" t="s">
        <v>46</v>
      </c>
      <c r="AE23" s="139" t="s">
        <v>46</v>
      </c>
      <c r="AF23" s="139" t="s">
        <v>46</v>
      </c>
      <c r="AG23" s="139" t="s">
        <v>46</v>
      </c>
      <c r="AH23" s="139" t="s">
        <v>46</v>
      </c>
      <c r="AI23" s="139" t="s">
        <v>46</v>
      </c>
      <c r="AJ23" s="140">
        <v>1</v>
      </c>
      <c r="AK23" s="140">
        <v>2</v>
      </c>
      <c r="AL23" s="139">
        <f>AL22</f>
        <v>0.75</v>
      </c>
      <c r="AM23" s="139">
        <f>AM22</f>
        <v>2.7E-2</v>
      </c>
      <c r="AN23" s="139">
        <f>AN22</f>
        <v>3</v>
      </c>
      <c r="AQ23" s="142">
        <f>AM23*I23+AL23</f>
        <v>1.1442000000000001</v>
      </c>
      <c r="AR23" s="142">
        <f t="shared" ref="AR23:AR29" si="27">0.1*AQ23</f>
        <v>0.11442000000000002</v>
      </c>
      <c r="AS23" s="143">
        <f t="shared" ref="AS23:AS29" si="28">AJ23*3+0.25*AK23</f>
        <v>3.5</v>
      </c>
      <c r="AT23" s="143">
        <f t="shared" ref="AT23:AT29" si="29">SUM(AQ23:AS23)/4</f>
        <v>1.1896550000000001</v>
      </c>
      <c r="AU23" s="142">
        <f>10068.2*J23*POWER(10,-6)*10</f>
        <v>2.5371864E-3</v>
      </c>
      <c r="AV23" s="143">
        <f t="shared" si="25"/>
        <v>5.9508121864000003</v>
      </c>
      <c r="AW23" s="144">
        <f t="shared" ref="AW23:AW29" si="30">AJ23*H23</f>
        <v>1.8999999999999998E-7</v>
      </c>
      <c r="AX23" s="144">
        <f t="shared" ref="AX23:AX29" si="31">H23*AK23</f>
        <v>3.7999999999999996E-7</v>
      </c>
      <c r="AY23" s="144">
        <f t="shared" ref="AY23" si="32">H23*AV23</f>
        <v>1.1306543154159999E-6</v>
      </c>
      <c r="AZ23" s="289">
        <f>AW23/[1]DB!$B$23</f>
        <v>2.2891566265060238E-10</v>
      </c>
      <c r="BA23" s="289">
        <f>AX23/[1]DB!$B$23</f>
        <v>4.5783132530120476E-10</v>
      </c>
    </row>
    <row r="24" spans="1:53" s="139" customFormat="1" x14ac:dyDescent="0.3">
      <c r="A24" s="130" t="s">
        <v>731</v>
      </c>
      <c r="B24" s="130" t="str">
        <f>B22</f>
        <v>Сепаратор нефтегазовый С-2.1 НГС I-6-2600-16ГС, нефть, попутный нефтяной газ</v>
      </c>
      <c r="C24" s="13" t="s">
        <v>188</v>
      </c>
      <c r="D24" s="132" t="s">
        <v>26</v>
      </c>
      <c r="E24" s="145">
        <f>E22</f>
        <v>9.9999999999999995E-7</v>
      </c>
      <c r="F24" s="146">
        <f t="shared" ref="F24:F29" si="33">F23</f>
        <v>1</v>
      </c>
      <c r="G24" s="130">
        <v>0.76</v>
      </c>
      <c r="H24" s="134">
        <f t="shared" si="26"/>
        <v>7.5999999999999992E-7</v>
      </c>
      <c r="I24" s="147">
        <f>I22</f>
        <v>14.6</v>
      </c>
      <c r="J24" s="150">
        <v>0</v>
      </c>
      <c r="K24" s="148" t="s">
        <v>124</v>
      </c>
      <c r="L24" s="149">
        <v>1.05</v>
      </c>
      <c r="M24" s="139" t="str">
        <f t="shared" si="23"/>
        <v>C15</v>
      </c>
      <c r="N24" s="139" t="str">
        <f t="shared" si="23"/>
        <v>Сепаратор нефтегазовый С-2.1 НГС I-6-2600-16ГС, нефть, попутный нефтяной газ</v>
      </c>
      <c r="O24" s="139" t="str">
        <f t="shared" si="24"/>
        <v>Полное-ликвидация</v>
      </c>
      <c r="P24" s="139" t="s">
        <v>46</v>
      </c>
      <c r="Q24" s="139" t="s">
        <v>46</v>
      </c>
      <c r="R24" s="139" t="s">
        <v>46</v>
      </c>
      <c r="S24" s="139" t="s">
        <v>46</v>
      </c>
      <c r="T24" s="139" t="s">
        <v>46</v>
      </c>
      <c r="U24" s="139" t="s">
        <v>46</v>
      </c>
      <c r="V24" s="139" t="s">
        <v>46</v>
      </c>
      <c r="W24" s="139" t="s">
        <v>46</v>
      </c>
      <c r="X24" s="139" t="s">
        <v>46</v>
      </c>
      <c r="Y24" s="139" t="s">
        <v>46</v>
      </c>
      <c r="Z24" s="139" t="s">
        <v>46</v>
      </c>
      <c r="AA24" s="139" t="s">
        <v>46</v>
      </c>
      <c r="AB24" s="139" t="s">
        <v>46</v>
      </c>
      <c r="AC24" s="139" t="s">
        <v>46</v>
      </c>
      <c r="AD24" s="139" t="s">
        <v>46</v>
      </c>
      <c r="AE24" s="139" t="s">
        <v>46</v>
      </c>
      <c r="AF24" s="139" t="s">
        <v>46</v>
      </c>
      <c r="AG24" s="139" t="s">
        <v>46</v>
      </c>
      <c r="AH24" s="139" t="s">
        <v>46</v>
      </c>
      <c r="AI24" s="139" t="s">
        <v>46</v>
      </c>
      <c r="AJ24" s="139">
        <v>0</v>
      </c>
      <c r="AK24" s="139">
        <v>0</v>
      </c>
      <c r="AL24" s="139">
        <f>AL22</f>
        <v>0.75</v>
      </c>
      <c r="AM24" s="139">
        <f>AM22</f>
        <v>2.7E-2</v>
      </c>
      <c r="AN24" s="139">
        <f>AN22</f>
        <v>3</v>
      </c>
      <c r="AQ24" s="142">
        <f>AM24*I24*0.1+AL24</f>
        <v>0.78942000000000001</v>
      </c>
      <c r="AR24" s="142">
        <f t="shared" si="27"/>
        <v>7.8942000000000012E-2</v>
      </c>
      <c r="AS24" s="143">
        <f t="shared" si="28"/>
        <v>0</v>
      </c>
      <c r="AT24" s="143">
        <f t="shared" si="29"/>
        <v>0.21709050000000002</v>
      </c>
      <c r="AU24" s="142">
        <f>1333*J22*POWER(10,-6)</f>
        <v>1.9461799999999998E-2</v>
      </c>
      <c r="AV24" s="143">
        <f t="shared" si="25"/>
        <v>1.1049142999999999</v>
      </c>
      <c r="AW24" s="144">
        <f t="shared" si="30"/>
        <v>0</v>
      </c>
      <c r="AX24" s="144">
        <f t="shared" si="31"/>
        <v>0</v>
      </c>
      <c r="AY24" s="144">
        <f>H24*AV24</f>
        <v>8.3973486799999983E-7</v>
      </c>
      <c r="AZ24" s="289">
        <f>AW24/[1]DB!$B$23</f>
        <v>0</v>
      </c>
      <c r="BA24" s="289">
        <f>AX24/[1]DB!$B$23</f>
        <v>0</v>
      </c>
    </row>
    <row r="25" spans="1:53" s="139" customFormat="1" x14ac:dyDescent="0.3">
      <c r="A25" s="130" t="s">
        <v>732</v>
      </c>
      <c r="B25" s="130" t="str">
        <f>B22</f>
        <v>Сепаратор нефтегазовый С-2.1 НГС I-6-2600-16ГС, нефть, попутный нефтяной газ</v>
      </c>
      <c r="C25" s="13" t="s">
        <v>160</v>
      </c>
      <c r="D25" s="132" t="s">
        <v>161</v>
      </c>
      <c r="E25" s="133">
        <v>1.0000000000000001E-5</v>
      </c>
      <c r="F25" s="146">
        <f t="shared" si="33"/>
        <v>1</v>
      </c>
      <c r="G25" s="130">
        <v>4.0000000000000008E-2</v>
      </c>
      <c r="H25" s="134">
        <f t="shared" si="26"/>
        <v>4.0000000000000009E-7</v>
      </c>
      <c r="I25" s="147">
        <f>0.15*I22</f>
        <v>2.19</v>
      </c>
      <c r="J25" s="136">
        <f>I25</f>
        <v>2.19</v>
      </c>
      <c r="K25" s="148" t="s">
        <v>126</v>
      </c>
      <c r="L25" s="149">
        <v>45390</v>
      </c>
      <c r="M25" s="139" t="str">
        <f t="shared" si="23"/>
        <v>C16</v>
      </c>
      <c r="N25" s="139" t="str">
        <f t="shared" si="23"/>
        <v>Сепаратор нефтегазовый С-2.1 НГС I-6-2600-16ГС, нефть, попутный нефтяной газ</v>
      </c>
      <c r="O25" s="139" t="str">
        <f t="shared" si="24"/>
        <v>Частичное факел</v>
      </c>
      <c r="P25" s="139" t="s">
        <v>46</v>
      </c>
      <c r="Q25" s="139" t="s">
        <v>46</v>
      </c>
      <c r="R25" s="139" t="s">
        <v>46</v>
      </c>
      <c r="S25" s="139" t="s">
        <v>46</v>
      </c>
      <c r="T25" s="139" t="s">
        <v>46</v>
      </c>
      <c r="U25" s="139" t="s">
        <v>46</v>
      </c>
      <c r="V25" s="139" t="s">
        <v>46</v>
      </c>
      <c r="W25" s="139" t="s">
        <v>46</v>
      </c>
      <c r="X25" s="139" t="s">
        <v>46</v>
      </c>
      <c r="Y25" s="139">
        <v>15</v>
      </c>
      <c r="Z25" s="139">
        <v>3</v>
      </c>
      <c r="AA25" s="139" t="s">
        <v>46</v>
      </c>
      <c r="AB25" s="139" t="s">
        <v>46</v>
      </c>
      <c r="AC25" s="139" t="s">
        <v>46</v>
      </c>
      <c r="AD25" s="139" t="s">
        <v>46</v>
      </c>
      <c r="AE25" s="139" t="s">
        <v>46</v>
      </c>
      <c r="AF25" s="139" t="s">
        <v>46</v>
      </c>
      <c r="AG25" s="139" t="s">
        <v>46</v>
      </c>
      <c r="AH25" s="139" t="s">
        <v>46</v>
      </c>
      <c r="AI25" s="139" t="s">
        <v>46</v>
      </c>
      <c r="AJ25" s="139">
        <v>0</v>
      </c>
      <c r="AK25" s="139">
        <v>1</v>
      </c>
      <c r="AL25" s="139">
        <f>0.1*$AL$2</f>
        <v>7.5000000000000011E-2</v>
      </c>
      <c r="AM25" s="139">
        <f>AM23</f>
        <v>2.7E-2</v>
      </c>
      <c r="AN25" s="139">
        <f>AN22</f>
        <v>3</v>
      </c>
      <c r="AQ25" s="142">
        <f>AM25*I25*0.1+AL25</f>
        <v>8.0913000000000013E-2</v>
      </c>
      <c r="AR25" s="142">
        <f t="shared" si="27"/>
        <v>8.0913000000000009E-3</v>
      </c>
      <c r="AS25" s="143">
        <f t="shared" si="28"/>
        <v>0.25</v>
      </c>
      <c r="AT25" s="143">
        <f t="shared" si="29"/>
        <v>8.4751075000000009E-2</v>
      </c>
      <c r="AU25" s="142">
        <f>10068.2*J25*POWER(10,-6)</f>
        <v>2.2049357999999998E-2</v>
      </c>
      <c r="AV25" s="143">
        <f t="shared" si="25"/>
        <v>0.44580473300000001</v>
      </c>
      <c r="AW25" s="144">
        <f t="shared" si="30"/>
        <v>0</v>
      </c>
      <c r="AX25" s="144">
        <f t="shared" si="31"/>
        <v>4.0000000000000009E-7</v>
      </c>
      <c r="AY25" s="144">
        <f t="shared" ref="AY25:AY29" si="34">H25*AV25</f>
        <v>1.7832189320000005E-7</v>
      </c>
      <c r="AZ25" s="289">
        <f>AW25/[1]DB!$B$23</f>
        <v>0</v>
      </c>
      <c r="BA25" s="289">
        <f>AX25/[1]DB!$B$23</f>
        <v>4.8192771084337365E-10</v>
      </c>
    </row>
    <row r="26" spans="1:53" s="139" customFormat="1" x14ac:dyDescent="0.3">
      <c r="A26" s="130" t="s">
        <v>733</v>
      </c>
      <c r="B26" s="130" t="str">
        <f>B22</f>
        <v>Сепаратор нефтегазовый С-2.1 НГС I-6-2600-16ГС, нефть, попутный нефтяной газ</v>
      </c>
      <c r="C26" s="13" t="s">
        <v>189</v>
      </c>
      <c r="D26" s="132" t="s">
        <v>27</v>
      </c>
      <c r="E26" s="145">
        <f>E25</f>
        <v>1.0000000000000001E-5</v>
      </c>
      <c r="F26" s="146">
        <f t="shared" si="33"/>
        <v>1</v>
      </c>
      <c r="G26" s="130">
        <v>0.16000000000000003</v>
      </c>
      <c r="H26" s="134">
        <f t="shared" si="26"/>
        <v>1.6000000000000004E-6</v>
      </c>
      <c r="I26" s="147">
        <f>0.15*I22</f>
        <v>2.19</v>
      </c>
      <c r="J26" s="136">
        <v>0</v>
      </c>
      <c r="K26" s="148" t="s">
        <v>127</v>
      </c>
      <c r="L26" s="149">
        <v>3</v>
      </c>
      <c r="M26" s="139" t="str">
        <f t="shared" si="23"/>
        <v>C17</v>
      </c>
      <c r="N26" s="139" t="str">
        <f t="shared" si="23"/>
        <v>Сепаратор нефтегазовый С-2.1 НГС I-6-2600-16ГС, нефть, попутный нефтяной газ</v>
      </c>
      <c r="O26" s="139" t="str">
        <f t="shared" si="24"/>
        <v>Частичное-ликвидация</v>
      </c>
      <c r="P26" s="139" t="s">
        <v>46</v>
      </c>
      <c r="Q26" s="139" t="s">
        <v>46</v>
      </c>
      <c r="R26" s="139" t="s">
        <v>46</v>
      </c>
      <c r="S26" s="139" t="s">
        <v>46</v>
      </c>
      <c r="T26" s="139" t="s">
        <v>46</v>
      </c>
      <c r="U26" s="139" t="s">
        <v>46</v>
      </c>
      <c r="V26" s="139" t="s">
        <v>46</v>
      </c>
      <c r="W26" s="139" t="s">
        <v>46</v>
      </c>
      <c r="X26" s="139" t="s">
        <v>46</v>
      </c>
      <c r="Y26" s="139" t="s">
        <v>46</v>
      </c>
      <c r="Z26" s="139" t="s">
        <v>46</v>
      </c>
      <c r="AA26" s="139" t="s">
        <v>46</v>
      </c>
      <c r="AB26" s="139" t="s">
        <v>46</v>
      </c>
      <c r="AC26" s="139" t="s">
        <v>46</v>
      </c>
      <c r="AD26" s="139" t="s">
        <v>46</v>
      </c>
      <c r="AE26" s="139" t="s">
        <v>46</v>
      </c>
      <c r="AF26" s="139" t="s">
        <v>46</v>
      </c>
      <c r="AG26" s="139" t="s">
        <v>46</v>
      </c>
      <c r="AH26" s="139" t="s">
        <v>46</v>
      </c>
      <c r="AI26" s="139" t="s">
        <v>46</v>
      </c>
      <c r="AJ26" s="139">
        <v>0</v>
      </c>
      <c r="AK26" s="139">
        <v>1</v>
      </c>
      <c r="AL26" s="139">
        <f>0.1*$AL$2</f>
        <v>7.5000000000000011E-2</v>
      </c>
      <c r="AM26" s="139">
        <f>AM22</f>
        <v>2.7E-2</v>
      </c>
      <c r="AN26" s="139">
        <f>ROUNDUP(AN22/3,0)</f>
        <v>1</v>
      </c>
      <c r="AQ26" s="142">
        <f>AM26*I26+AL26</f>
        <v>0.13413</v>
      </c>
      <c r="AR26" s="142">
        <f t="shared" si="27"/>
        <v>1.3413000000000001E-2</v>
      </c>
      <c r="AS26" s="143">
        <f t="shared" si="28"/>
        <v>0.25</v>
      </c>
      <c r="AT26" s="143">
        <f t="shared" si="29"/>
        <v>9.9385749999999995E-2</v>
      </c>
      <c r="AU26" s="142">
        <f>1333*J23*POWER(10,-6)*10</f>
        <v>3.3591599999999991E-4</v>
      </c>
      <c r="AV26" s="143">
        <f t="shared" si="25"/>
        <v>0.49726466599999997</v>
      </c>
      <c r="AW26" s="144">
        <f t="shared" si="30"/>
        <v>0</v>
      </c>
      <c r="AX26" s="144">
        <f t="shared" si="31"/>
        <v>1.6000000000000004E-6</v>
      </c>
      <c r="AY26" s="144">
        <f t="shared" si="34"/>
        <v>7.9562346560000007E-7</v>
      </c>
      <c r="AZ26" s="289">
        <f>AW26/[1]DB!$B$23</f>
        <v>0</v>
      </c>
      <c r="BA26" s="289">
        <f>AX26/[1]DB!$B$23</f>
        <v>1.9277108433734946E-9</v>
      </c>
    </row>
    <row r="27" spans="1:53" s="139" customFormat="1" x14ac:dyDescent="0.3">
      <c r="A27" s="130" t="s">
        <v>734</v>
      </c>
      <c r="B27" s="130" t="str">
        <f>B22</f>
        <v>Сепаратор нефтегазовый С-2.1 НГС I-6-2600-16ГС, нефть, попутный нефтяной газ</v>
      </c>
      <c r="C27" s="13" t="s">
        <v>162</v>
      </c>
      <c r="D27" s="132" t="s">
        <v>161</v>
      </c>
      <c r="E27" s="145">
        <f>E26</f>
        <v>1.0000000000000001E-5</v>
      </c>
      <c r="F27" s="146">
        <f t="shared" si="33"/>
        <v>1</v>
      </c>
      <c r="G27" s="130">
        <v>4.0000000000000008E-2</v>
      </c>
      <c r="H27" s="134">
        <f t="shared" si="26"/>
        <v>4.0000000000000009E-7</v>
      </c>
      <c r="I27" s="147">
        <f>I25*0.15</f>
        <v>0.32849999999999996</v>
      </c>
      <c r="J27" s="136">
        <f>I27</f>
        <v>0.32849999999999996</v>
      </c>
      <c r="K27" s="151" t="s">
        <v>138</v>
      </c>
      <c r="L27" s="152">
        <v>12</v>
      </c>
      <c r="M27" s="139" t="str">
        <f t="shared" si="23"/>
        <v>C18</v>
      </c>
      <c r="N27" s="139" t="str">
        <f t="shared" si="23"/>
        <v>Сепаратор нефтегазовый С-2.1 НГС I-6-2600-16ГС, нефть, попутный нефтяной газ</v>
      </c>
      <c r="O27" s="139" t="str">
        <f t="shared" si="24"/>
        <v>Частичное факел</v>
      </c>
      <c r="P27" s="139" t="s">
        <v>46</v>
      </c>
      <c r="Q27" s="139" t="s">
        <v>46</v>
      </c>
      <c r="R27" s="139" t="s">
        <v>46</v>
      </c>
      <c r="S27" s="139" t="s">
        <v>46</v>
      </c>
      <c r="T27" s="139" t="s">
        <v>46</v>
      </c>
      <c r="U27" s="139" t="s">
        <v>46</v>
      </c>
      <c r="V27" s="139" t="s">
        <v>46</v>
      </c>
      <c r="W27" s="139" t="s">
        <v>46</v>
      </c>
      <c r="X27" s="139" t="s">
        <v>46</v>
      </c>
      <c r="Y27" s="139">
        <v>11</v>
      </c>
      <c r="Z27" s="139">
        <v>2</v>
      </c>
      <c r="AA27" s="139" t="s">
        <v>46</v>
      </c>
      <c r="AB27" s="139" t="s">
        <v>46</v>
      </c>
      <c r="AC27" s="139" t="s">
        <v>46</v>
      </c>
      <c r="AD27" s="139" t="s">
        <v>46</v>
      </c>
      <c r="AE27" s="139" t="s">
        <v>46</v>
      </c>
      <c r="AF27" s="139" t="s">
        <v>46</v>
      </c>
      <c r="AG27" s="139" t="s">
        <v>46</v>
      </c>
      <c r="AH27" s="139" t="s">
        <v>46</v>
      </c>
      <c r="AI27" s="139" t="s">
        <v>46</v>
      </c>
      <c r="AJ27" s="139">
        <v>0</v>
      </c>
      <c r="AK27" s="139">
        <v>1</v>
      </c>
      <c r="AL27" s="139">
        <f>0.1*$AL$2</f>
        <v>7.5000000000000011E-2</v>
      </c>
      <c r="AM27" s="139">
        <f>AM22</f>
        <v>2.7E-2</v>
      </c>
      <c r="AN27" s="139">
        <f>AN26</f>
        <v>1</v>
      </c>
      <c r="AQ27" s="142">
        <f>AM27*I27+AL27</f>
        <v>8.3869500000000013E-2</v>
      </c>
      <c r="AR27" s="142">
        <f t="shared" si="27"/>
        <v>8.3869500000000024E-3</v>
      </c>
      <c r="AS27" s="143">
        <f t="shared" si="28"/>
        <v>0.25</v>
      </c>
      <c r="AT27" s="143">
        <f t="shared" si="29"/>
        <v>8.5564112500000011E-2</v>
      </c>
      <c r="AU27" s="142">
        <f>10068.2*J27*POWER(10,-6)</f>
        <v>3.3074036999999998E-3</v>
      </c>
      <c r="AV27" s="143">
        <f t="shared" si="25"/>
        <v>0.43112796620000005</v>
      </c>
      <c r="AW27" s="144">
        <f t="shared" si="30"/>
        <v>0</v>
      </c>
      <c r="AX27" s="144">
        <f t="shared" si="31"/>
        <v>4.0000000000000009E-7</v>
      </c>
      <c r="AY27" s="144">
        <f t="shared" si="34"/>
        <v>1.7245118648000005E-7</v>
      </c>
      <c r="AZ27" s="289">
        <f>AW27/[1]DB!$B$23</f>
        <v>0</v>
      </c>
      <c r="BA27" s="289">
        <f>AX27/[1]DB!$B$23</f>
        <v>4.8192771084337365E-10</v>
      </c>
    </row>
    <row r="28" spans="1:53" s="139" customFormat="1" x14ac:dyDescent="0.3">
      <c r="A28" s="130" t="s">
        <v>506</v>
      </c>
      <c r="B28" s="130" t="str">
        <f>B22</f>
        <v>Сепаратор нефтегазовый С-2.1 НГС I-6-2600-16ГС, нефть, попутный нефтяной газ</v>
      </c>
      <c r="C28" s="13" t="s">
        <v>163</v>
      </c>
      <c r="D28" s="132" t="s">
        <v>112</v>
      </c>
      <c r="E28" s="145">
        <f>E26</f>
        <v>1.0000000000000001E-5</v>
      </c>
      <c r="F28" s="146">
        <f t="shared" si="33"/>
        <v>1</v>
      </c>
      <c r="G28" s="130">
        <v>0.15200000000000002</v>
      </c>
      <c r="H28" s="134">
        <f t="shared" si="26"/>
        <v>1.5200000000000003E-6</v>
      </c>
      <c r="I28" s="147">
        <f>I25*0.15</f>
        <v>0.32849999999999996</v>
      </c>
      <c r="J28" s="136">
        <f>I28</f>
        <v>0.32849999999999996</v>
      </c>
      <c r="K28" s="334" t="s">
        <v>466</v>
      </c>
      <c r="L28" s="287" t="s">
        <v>642</v>
      </c>
      <c r="M28" s="139" t="str">
        <f t="shared" si="23"/>
        <v>C19</v>
      </c>
      <c r="N28" s="139" t="str">
        <f t="shared" si="23"/>
        <v>Сепаратор нефтегазовый С-2.1 НГС I-6-2600-16ГС, нефть, попутный нефтяной газ</v>
      </c>
      <c r="O28" s="139" t="str">
        <f t="shared" si="24"/>
        <v>Частичное-пожар-вспышка</v>
      </c>
      <c r="P28" s="139" t="s">
        <v>46</v>
      </c>
      <c r="Q28" s="139" t="s">
        <v>46</v>
      </c>
      <c r="R28" s="139" t="s">
        <v>46</v>
      </c>
      <c r="S28" s="139" t="s">
        <v>46</v>
      </c>
      <c r="T28" s="139" t="s">
        <v>46</v>
      </c>
      <c r="U28" s="139" t="s">
        <v>46</v>
      </c>
      <c r="V28" s="139" t="s">
        <v>46</v>
      </c>
      <c r="W28" s="139" t="s">
        <v>46</v>
      </c>
      <c r="X28" s="139" t="s">
        <v>46</v>
      </c>
      <c r="Y28" s="139" t="s">
        <v>46</v>
      </c>
      <c r="Z28" s="139" t="s">
        <v>46</v>
      </c>
      <c r="AA28" s="139">
        <v>23.21</v>
      </c>
      <c r="AB28" s="139">
        <v>27.85</v>
      </c>
      <c r="AC28" s="139" t="s">
        <v>46</v>
      </c>
      <c r="AD28" s="139" t="s">
        <v>46</v>
      </c>
      <c r="AE28" s="139" t="s">
        <v>46</v>
      </c>
      <c r="AF28" s="139" t="s">
        <v>46</v>
      </c>
      <c r="AG28" s="139" t="s">
        <v>46</v>
      </c>
      <c r="AH28" s="139" t="s">
        <v>46</v>
      </c>
      <c r="AI28" s="139" t="s">
        <v>46</v>
      </c>
      <c r="AJ28" s="139">
        <v>0</v>
      </c>
      <c r="AK28" s="139">
        <v>1</v>
      </c>
      <c r="AL28" s="139">
        <f>0.1*$AL$2</f>
        <v>7.5000000000000011E-2</v>
      </c>
      <c r="AM28" s="139">
        <f>AM22</f>
        <v>2.7E-2</v>
      </c>
      <c r="AN28" s="139">
        <f>ROUNDUP(AN22/3,0)</f>
        <v>1</v>
      </c>
      <c r="AQ28" s="142">
        <f>AM28*I28+AL28</f>
        <v>8.3869500000000013E-2</v>
      </c>
      <c r="AR28" s="142">
        <f t="shared" si="27"/>
        <v>8.3869500000000024E-3</v>
      </c>
      <c r="AS28" s="143">
        <f t="shared" si="28"/>
        <v>0.25</v>
      </c>
      <c r="AT28" s="143">
        <f t="shared" si="29"/>
        <v>8.5564112500000011E-2</v>
      </c>
      <c r="AU28" s="142">
        <f>10068.2*J28*POWER(10,-6)</f>
        <v>3.3074036999999998E-3</v>
      </c>
      <c r="AV28" s="143">
        <f t="shared" si="25"/>
        <v>0.43112796620000005</v>
      </c>
      <c r="AW28" s="144">
        <f t="shared" si="30"/>
        <v>0</v>
      </c>
      <c r="AX28" s="144">
        <f t="shared" si="31"/>
        <v>1.5200000000000003E-6</v>
      </c>
      <c r="AY28" s="144">
        <f t="shared" si="34"/>
        <v>6.5531450862400018E-7</v>
      </c>
      <c r="AZ28" s="289">
        <f>AW28/[1]DB!$B$23</f>
        <v>0</v>
      </c>
      <c r="BA28" s="289">
        <f>AX28/[1]DB!$B$23</f>
        <v>1.8313253012048197E-9</v>
      </c>
    </row>
    <row r="29" spans="1:53" s="139" customFormat="1" ht="15" thickBot="1" x14ac:dyDescent="0.35">
      <c r="A29" s="130" t="s">
        <v>507</v>
      </c>
      <c r="B29" s="130" t="str">
        <f>B22</f>
        <v>Сепаратор нефтегазовый С-2.1 НГС I-6-2600-16ГС, нефть, попутный нефтяной газ</v>
      </c>
      <c r="C29" s="13" t="s">
        <v>164</v>
      </c>
      <c r="D29" s="132" t="s">
        <v>27</v>
      </c>
      <c r="E29" s="145">
        <f>E26</f>
        <v>1.0000000000000001E-5</v>
      </c>
      <c r="F29" s="146">
        <f t="shared" si="33"/>
        <v>1</v>
      </c>
      <c r="G29" s="130">
        <v>0.6080000000000001</v>
      </c>
      <c r="H29" s="134">
        <f t="shared" si="26"/>
        <v>6.0800000000000011E-6</v>
      </c>
      <c r="I29" s="147">
        <f>I25*0.15</f>
        <v>0.32849999999999996</v>
      </c>
      <c r="J29" s="150">
        <v>0</v>
      </c>
      <c r="K29" s="153"/>
      <c r="L29" s="154"/>
      <c r="M29" s="139" t="str">
        <f t="shared" si="23"/>
        <v>C20</v>
      </c>
      <c r="N29" s="139" t="str">
        <f t="shared" si="23"/>
        <v>Сепаратор нефтегазовый С-2.1 НГС I-6-2600-16ГС, нефть, попутный нефтяной газ</v>
      </c>
      <c r="O29" s="139" t="str">
        <f t="shared" si="24"/>
        <v>Частичное-ликвидация</v>
      </c>
      <c r="P29" s="139" t="s">
        <v>46</v>
      </c>
      <c r="Q29" s="139" t="s">
        <v>46</v>
      </c>
      <c r="R29" s="139" t="s">
        <v>46</v>
      </c>
      <c r="S29" s="139" t="s">
        <v>46</v>
      </c>
      <c r="T29" s="139" t="s">
        <v>46</v>
      </c>
      <c r="U29" s="139" t="s">
        <v>46</v>
      </c>
      <c r="V29" s="139" t="s">
        <v>46</v>
      </c>
      <c r="W29" s="139" t="s">
        <v>46</v>
      </c>
      <c r="X29" s="139" t="s">
        <v>46</v>
      </c>
      <c r="Y29" s="139" t="s">
        <v>46</v>
      </c>
      <c r="Z29" s="139" t="s">
        <v>46</v>
      </c>
      <c r="AA29" s="139" t="s">
        <v>46</v>
      </c>
      <c r="AB29" s="139" t="s">
        <v>46</v>
      </c>
      <c r="AC29" s="139" t="s">
        <v>46</v>
      </c>
      <c r="AD29" s="139" t="s">
        <v>46</v>
      </c>
      <c r="AE29" s="139" t="s">
        <v>46</v>
      </c>
      <c r="AF29" s="139" t="s">
        <v>46</v>
      </c>
      <c r="AG29" s="139" t="s">
        <v>46</v>
      </c>
      <c r="AH29" s="139" t="s">
        <v>46</v>
      </c>
      <c r="AI29" s="139" t="s">
        <v>46</v>
      </c>
      <c r="AJ29" s="139">
        <v>0</v>
      </c>
      <c r="AK29" s="139">
        <v>0</v>
      </c>
      <c r="AL29" s="139">
        <f>0.1*$AL$2</f>
        <v>7.5000000000000011E-2</v>
      </c>
      <c r="AM29" s="139">
        <f>AM22</f>
        <v>2.7E-2</v>
      </c>
      <c r="AN29" s="139">
        <f>ROUNDUP(AN22/3,0)</f>
        <v>1</v>
      </c>
      <c r="AQ29" s="142">
        <f>AM29*I29*0.1+AL29</f>
        <v>7.5886950000000009E-2</v>
      </c>
      <c r="AR29" s="142">
        <f t="shared" si="27"/>
        <v>7.5886950000000012E-3</v>
      </c>
      <c r="AS29" s="143">
        <f t="shared" si="28"/>
        <v>0</v>
      </c>
      <c r="AT29" s="143">
        <f t="shared" si="29"/>
        <v>2.0868911250000004E-2</v>
      </c>
      <c r="AU29" s="142">
        <f>1333*J27*POWER(10,-6)</f>
        <v>4.3789049999999992E-4</v>
      </c>
      <c r="AV29" s="143">
        <f t="shared" si="25"/>
        <v>0.10478244675000001</v>
      </c>
      <c r="AW29" s="144">
        <f t="shared" si="30"/>
        <v>0</v>
      </c>
      <c r="AX29" s="144">
        <f t="shared" si="31"/>
        <v>0</v>
      </c>
      <c r="AY29" s="144">
        <f t="shared" si="34"/>
        <v>6.3707727624000017E-7</v>
      </c>
      <c r="AZ29" s="289">
        <f>AW29/[1]DB!$B$23</f>
        <v>0</v>
      </c>
      <c r="BA29" s="289">
        <f>AX29/[1]DB!$B$23</f>
        <v>0</v>
      </c>
    </row>
    <row r="30" spans="1:53" s="139" customFormat="1" x14ac:dyDescent="0.3">
      <c r="A30" s="193" t="s">
        <v>508</v>
      </c>
      <c r="B30" s="193" t="str">
        <f>B22</f>
        <v>Сепаратор нефтегазовый С-2.1 НГС I-6-2600-16ГС, нефть, попутный нефтяной газ</v>
      </c>
      <c r="C30" s="193" t="s">
        <v>341</v>
      </c>
      <c r="D30" s="193" t="s">
        <v>342</v>
      </c>
      <c r="E30" s="194">
        <v>2.5000000000000001E-5</v>
      </c>
      <c r="F30" s="146">
        <v>1</v>
      </c>
      <c r="G30" s="193">
        <v>1</v>
      </c>
      <c r="H30" s="195">
        <f t="shared" si="26"/>
        <v>2.5000000000000001E-5</v>
      </c>
      <c r="I30" s="196">
        <f>I22</f>
        <v>14.6</v>
      </c>
      <c r="J30" s="196">
        <f>J22*0.1</f>
        <v>1.46</v>
      </c>
      <c r="K30" s="193"/>
      <c r="L30" s="193"/>
      <c r="M30" s="197" t="str">
        <f t="shared" si="23"/>
        <v>C21</v>
      </c>
      <c r="N30" s="197"/>
      <c r="O30" s="197"/>
      <c r="P30" s="197">
        <v>11.4</v>
      </c>
      <c r="Q30" s="197">
        <v>16.100000000000001</v>
      </c>
      <c r="R30" s="197">
        <v>23.6</v>
      </c>
      <c r="S30" s="197">
        <v>45.4</v>
      </c>
      <c r="T30" s="197"/>
      <c r="U30" s="197"/>
      <c r="V30" s="197" t="s">
        <v>46</v>
      </c>
      <c r="W30" s="197" t="s">
        <v>46</v>
      </c>
      <c r="X30" s="197" t="s">
        <v>46</v>
      </c>
      <c r="Y30" s="197" t="s">
        <v>46</v>
      </c>
      <c r="Z30" s="197"/>
      <c r="AA30" s="197"/>
      <c r="AB30" s="197"/>
      <c r="AC30" s="197"/>
      <c r="AD30" s="197"/>
      <c r="AE30" s="197">
        <v>21.5</v>
      </c>
      <c r="AF30" s="197">
        <v>49</v>
      </c>
      <c r="AG30" s="197">
        <v>63</v>
      </c>
      <c r="AH30" s="197">
        <v>86.5</v>
      </c>
      <c r="AI30" s="197"/>
      <c r="AJ30" s="197">
        <v>0</v>
      </c>
      <c r="AK30" s="197">
        <v>2</v>
      </c>
      <c r="AL30" s="197">
        <f>AL22</f>
        <v>0.75</v>
      </c>
      <c r="AM30" s="197">
        <f>AM22</f>
        <v>2.7E-2</v>
      </c>
      <c r="AN30" s="197">
        <v>5</v>
      </c>
      <c r="AO30" s="197"/>
      <c r="AP30" s="197"/>
      <c r="AQ30" s="198">
        <f>AM30*I30+AL30</f>
        <v>1.1442000000000001</v>
      </c>
      <c r="AR30" s="198">
        <f>0.1*AQ30</f>
        <v>0.11442000000000002</v>
      </c>
      <c r="AS30" s="199">
        <f>AJ30*3+0.25*AK30</f>
        <v>0.5</v>
      </c>
      <c r="AT30" s="199">
        <f>SUM(AQ30:AS30)/4</f>
        <v>0.43965500000000002</v>
      </c>
      <c r="AU30" s="198">
        <f>10068.2*J30*POWER(10,-6)</f>
        <v>1.4699571999999999E-2</v>
      </c>
      <c r="AV30" s="199">
        <f t="shared" si="25"/>
        <v>2.2129745720000003</v>
      </c>
      <c r="AW30" s="200">
        <f>AJ30*H30</f>
        <v>0</v>
      </c>
      <c r="AX30" s="200">
        <f>H30*AK30</f>
        <v>5.0000000000000002E-5</v>
      </c>
      <c r="AY30" s="200">
        <f>H30*AV30</f>
        <v>5.5324364300000012E-5</v>
      </c>
      <c r="AZ30" s="289">
        <f>AW30/[1]DB!$B$23</f>
        <v>0</v>
      </c>
      <c r="BA30" s="289">
        <f>AX30/[1]DB!$B$23</f>
        <v>6.0240963855421685E-8</v>
      </c>
    </row>
    <row r="31" spans="1:53" ht="15" thickBot="1" x14ac:dyDescent="0.35"/>
    <row r="32" spans="1:53" s="139" customFormat="1" ht="18" customHeight="1" x14ac:dyDescent="0.3">
      <c r="A32" s="130" t="s">
        <v>509</v>
      </c>
      <c r="B32" s="131" t="s">
        <v>656</v>
      </c>
      <c r="C32" s="13" t="s">
        <v>143</v>
      </c>
      <c r="D32" s="132" t="s">
        <v>25</v>
      </c>
      <c r="E32" s="133">
        <v>9.9999999999999995E-7</v>
      </c>
      <c r="F32" s="131">
        <v>3</v>
      </c>
      <c r="G32" s="130">
        <v>0.05</v>
      </c>
      <c r="H32" s="134">
        <f>E32*F32*G32</f>
        <v>1.5000000000000002E-7</v>
      </c>
      <c r="I32" s="135">
        <v>8.9469999999999992</v>
      </c>
      <c r="J32" s="136">
        <f>I32</f>
        <v>8.9469999999999992</v>
      </c>
      <c r="K32" s="137" t="s">
        <v>122</v>
      </c>
      <c r="L32" s="138">
        <v>150</v>
      </c>
      <c r="M32" s="139" t="str">
        <f t="shared" ref="M32:M40" si="35">A32</f>
        <v>C22</v>
      </c>
      <c r="N32" s="139" t="str">
        <f t="shared" ref="N32:N39" si="36">B32</f>
        <v>Сепаратор нефтегазовый С-2.3-2.4 НГС I-6-2600-16ГС, нефть, попутный нефтяной газ</v>
      </c>
      <c r="O32" s="139" t="str">
        <f t="shared" ref="O32:O39" si="37">D32</f>
        <v>Полное-пожар</v>
      </c>
      <c r="P32" s="139">
        <v>9.9</v>
      </c>
      <c r="Q32" s="139">
        <v>14</v>
      </c>
      <c r="R32" s="139">
        <v>20.6</v>
      </c>
      <c r="S32" s="139">
        <v>40</v>
      </c>
      <c r="T32" s="139" t="s">
        <v>46</v>
      </c>
      <c r="U32" s="139" t="s">
        <v>46</v>
      </c>
      <c r="V32" s="139" t="s">
        <v>46</v>
      </c>
      <c r="W32" s="139" t="s">
        <v>46</v>
      </c>
      <c r="X32" s="139" t="s">
        <v>46</v>
      </c>
      <c r="Y32" s="139" t="s">
        <v>46</v>
      </c>
      <c r="Z32" s="139" t="s">
        <v>46</v>
      </c>
      <c r="AA32" s="139" t="s">
        <v>46</v>
      </c>
      <c r="AB32" s="139" t="s">
        <v>46</v>
      </c>
      <c r="AC32" s="139" t="s">
        <v>46</v>
      </c>
      <c r="AD32" s="139" t="s">
        <v>46</v>
      </c>
      <c r="AE32" s="139" t="s">
        <v>46</v>
      </c>
      <c r="AF32" s="139" t="s">
        <v>46</v>
      </c>
      <c r="AG32" s="139" t="s">
        <v>46</v>
      </c>
      <c r="AH32" s="139" t="s">
        <v>46</v>
      </c>
      <c r="AI32" s="139" t="s">
        <v>46</v>
      </c>
      <c r="AJ32" s="140">
        <v>0</v>
      </c>
      <c r="AK32" s="140">
        <v>2</v>
      </c>
      <c r="AL32" s="141">
        <v>0.75</v>
      </c>
      <c r="AM32" s="141">
        <v>2.7E-2</v>
      </c>
      <c r="AN32" s="141">
        <v>3</v>
      </c>
      <c r="AQ32" s="142">
        <f>AM32*I32+AL32</f>
        <v>0.99156899999999992</v>
      </c>
      <c r="AR32" s="142">
        <f>0.1*AQ32</f>
        <v>9.9156899999999992E-2</v>
      </c>
      <c r="AS32" s="143">
        <f>AJ32*3+0.25*AK32</f>
        <v>0.5</v>
      </c>
      <c r="AT32" s="143">
        <f>SUM(AQ32:AS32)/4</f>
        <v>0.39768147499999995</v>
      </c>
      <c r="AU32" s="142">
        <f>10068.2*J32*POWER(10,-6)</f>
        <v>9.0080185399999999E-2</v>
      </c>
      <c r="AV32" s="143">
        <f t="shared" ref="AV32:AV40" si="38">AU32+AT32+AS32+AR32+AQ32</f>
        <v>2.0784875604000002</v>
      </c>
      <c r="AW32" s="144">
        <f>AJ32*H32</f>
        <v>0</v>
      </c>
      <c r="AX32" s="144">
        <f>H32*AK32</f>
        <v>3.0000000000000004E-7</v>
      </c>
      <c r="AY32" s="144">
        <f>H32*AV32</f>
        <v>3.1177313406000009E-7</v>
      </c>
      <c r="AZ32" s="289">
        <f>AW32/[1]DB!$B$23</f>
        <v>0</v>
      </c>
      <c r="BA32" s="289">
        <f>AX32/[1]DB!$B$23</f>
        <v>3.6144578313253018E-10</v>
      </c>
    </row>
    <row r="33" spans="1:53" s="139" customFormat="1" x14ac:dyDescent="0.3">
      <c r="A33" s="130" t="s">
        <v>510</v>
      </c>
      <c r="B33" s="130" t="str">
        <f>B32</f>
        <v>Сепаратор нефтегазовый С-2.3-2.4 НГС I-6-2600-16ГС, нефть, попутный нефтяной газ</v>
      </c>
      <c r="C33" s="13" t="s">
        <v>149</v>
      </c>
      <c r="D33" s="132" t="s">
        <v>28</v>
      </c>
      <c r="E33" s="145">
        <f>E32</f>
        <v>9.9999999999999995E-7</v>
      </c>
      <c r="F33" s="146">
        <f>F32</f>
        <v>3</v>
      </c>
      <c r="G33" s="130">
        <v>0.19</v>
      </c>
      <c r="H33" s="134">
        <f t="shared" ref="H33:H40" si="39">E33*F33*G33</f>
        <v>5.7000000000000005E-7</v>
      </c>
      <c r="I33" s="147">
        <f>I32</f>
        <v>8.9469999999999992</v>
      </c>
      <c r="J33" s="333">
        <f>POWER(10,-6)*35*SQRT(100)*3600*L32/1000*0.1</f>
        <v>1.89E-2</v>
      </c>
      <c r="K33" s="148" t="s">
        <v>123</v>
      </c>
      <c r="L33" s="149">
        <v>2</v>
      </c>
      <c r="M33" s="139" t="str">
        <f t="shared" si="35"/>
        <v>C23</v>
      </c>
      <c r="N33" s="139" t="str">
        <f t="shared" si="36"/>
        <v>Сепаратор нефтегазовый С-2.3-2.4 НГС I-6-2600-16ГС, нефть, попутный нефтяной газ</v>
      </c>
      <c r="O33" s="139" t="str">
        <f t="shared" si="37"/>
        <v>Полное-взрыв</v>
      </c>
      <c r="P33" s="139" t="s">
        <v>46</v>
      </c>
      <c r="Q33" s="139" t="s">
        <v>46</v>
      </c>
      <c r="R33" s="139" t="s">
        <v>46</v>
      </c>
      <c r="S33" s="139" t="s">
        <v>46</v>
      </c>
      <c r="T33" s="139">
        <v>0</v>
      </c>
      <c r="U33" s="139">
        <v>0</v>
      </c>
      <c r="V33" s="139">
        <v>20.100000000000001</v>
      </c>
      <c r="W33" s="139">
        <v>67.099999999999994</v>
      </c>
      <c r="X33" s="139">
        <v>98.1</v>
      </c>
      <c r="Y33" s="139" t="s">
        <v>46</v>
      </c>
      <c r="Z33" s="139" t="s">
        <v>46</v>
      </c>
      <c r="AA33" s="139" t="s">
        <v>46</v>
      </c>
      <c r="AB33" s="139" t="s">
        <v>46</v>
      </c>
      <c r="AC33" s="139" t="s">
        <v>46</v>
      </c>
      <c r="AD33" s="139" t="s">
        <v>46</v>
      </c>
      <c r="AE33" s="139" t="s">
        <v>46</v>
      </c>
      <c r="AF33" s="139" t="s">
        <v>46</v>
      </c>
      <c r="AG33" s="139" t="s">
        <v>46</v>
      </c>
      <c r="AH33" s="139" t="s">
        <v>46</v>
      </c>
      <c r="AI33" s="139" t="s">
        <v>46</v>
      </c>
      <c r="AJ33" s="140">
        <v>1</v>
      </c>
      <c r="AK33" s="140">
        <v>2</v>
      </c>
      <c r="AL33" s="139">
        <f>AL32</f>
        <v>0.75</v>
      </c>
      <c r="AM33" s="139">
        <f>AM32</f>
        <v>2.7E-2</v>
      </c>
      <c r="AN33" s="139">
        <f>AN32</f>
        <v>3</v>
      </c>
      <c r="AQ33" s="142">
        <f>AM33*I33+AL33</f>
        <v>0.99156899999999992</v>
      </c>
      <c r="AR33" s="142">
        <f t="shared" ref="AR33:AR39" si="40">0.1*AQ33</f>
        <v>9.9156899999999992E-2</v>
      </c>
      <c r="AS33" s="143">
        <f t="shared" ref="AS33:AS39" si="41">AJ33*3+0.25*AK33</f>
        <v>3.5</v>
      </c>
      <c r="AT33" s="143">
        <f t="shared" ref="AT33:AT39" si="42">SUM(AQ33:AS33)/4</f>
        <v>1.147681475</v>
      </c>
      <c r="AU33" s="142">
        <f>10068.2*J33*POWER(10,-6)*10</f>
        <v>1.9028898000000001E-3</v>
      </c>
      <c r="AV33" s="143">
        <f t="shared" si="38"/>
        <v>5.7403102647999997</v>
      </c>
      <c r="AW33" s="144">
        <f t="shared" ref="AW33:AW39" si="43">AJ33*H33</f>
        <v>5.7000000000000005E-7</v>
      </c>
      <c r="AX33" s="144">
        <f t="shared" ref="AX33:AX39" si="44">H33*AK33</f>
        <v>1.1400000000000001E-6</v>
      </c>
      <c r="AY33" s="144">
        <f t="shared" ref="AY33" si="45">H33*AV33</f>
        <v>3.2719768509360001E-6</v>
      </c>
      <c r="AZ33" s="289">
        <f>AW33/[1]DB!$B$23</f>
        <v>6.8674698795180729E-10</v>
      </c>
      <c r="BA33" s="289">
        <f>AX33/[1]DB!$B$23</f>
        <v>1.3734939759036146E-9</v>
      </c>
    </row>
    <row r="34" spans="1:53" s="139" customFormat="1" x14ac:dyDescent="0.3">
      <c r="A34" s="130" t="s">
        <v>511</v>
      </c>
      <c r="B34" s="130" t="str">
        <f>B32</f>
        <v>Сепаратор нефтегазовый С-2.3-2.4 НГС I-6-2600-16ГС, нефть, попутный нефтяной газ</v>
      </c>
      <c r="C34" s="13" t="s">
        <v>188</v>
      </c>
      <c r="D34" s="132" t="s">
        <v>26</v>
      </c>
      <c r="E34" s="145">
        <f>E32</f>
        <v>9.9999999999999995E-7</v>
      </c>
      <c r="F34" s="146">
        <f t="shared" ref="F34:F39" si="46">F33</f>
        <v>3</v>
      </c>
      <c r="G34" s="130">
        <v>0.76</v>
      </c>
      <c r="H34" s="134">
        <f t="shared" si="39"/>
        <v>2.2800000000000002E-6</v>
      </c>
      <c r="I34" s="147">
        <f>I32</f>
        <v>8.9469999999999992</v>
      </c>
      <c r="J34" s="150">
        <v>0</v>
      </c>
      <c r="K34" s="148" t="s">
        <v>124</v>
      </c>
      <c r="L34" s="149">
        <v>1.05</v>
      </c>
      <c r="M34" s="139" t="str">
        <f t="shared" si="35"/>
        <v>C24</v>
      </c>
      <c r="N34" s="139" t="str">
        <f t="shared" si="36"/>
        <v>Сепаратор нефтегазовый С-2.3-2.4 НГС I-6-2600-16ГС, нефть, попутный нефтяной газ</v>
      </c>
      <c r="O34" s="139" t="str">
        <f t="shared" si="37"/>
        <v>Полное-ликвидация</v>
      </c>
      <c r="P34" s="139" t="s">
        <v>46</v>
      </c>
      <c r="Q34" s="139" t="s">
        <v>46</v>
      </c>
      <c r="R34" s="139" t="s">
        <v>46</v>
      </c>
      <c r="S34" s="139" t="s">
        <v>46</v>
      </c>
      <c r="T34" s="139" t="s">
        <v>46</v>
      </c>
      <c r="U34" s="139" t="s">
        <v>46</v>
      </c>
      <c r="V34" s="139" t="s">
        <v>46</v>
      </c>
      <c r="W34" s="139" t="s">
        <v>46</v>
      </c>
      <c r="X34" s="139" t="s">
        <v>46</v>
      </c>
      <c r="Y34" s="139" t="s">
        <v>46</v>
      </c>
      <c r="Z34" s="139" t="s">
        <v>46</v>
      </c>
      <c r="AA34" s="139" t="s">
        <v>46</v>
      </c>
      <c r="AB34" s="139" t="s">
        <v>46</v>
      </c>
      <c r="AC34" s="139" t="s">
        <v>46</v>
      </c>
      <c r="AD34" s="139" t="s">
        <v>46</v>
      </c>
      <c r="AE34" s="139" t="s">
        <v>46</v>
      </c>
      <c r="AF34" s="139" t="s">
        <v>46</v>
      </c>
      <c r="AG34" s="139" t="s">
        <v>46</v>
      </c>
      <c r="AH34" s="139" t="s">
        <v>46</v>
      </c>
      <c r="AI34" s="139" t="s">
        <v>46</v>
      </c>
      <c r="AJ34" s="139">
        <v>0</v>
      </c>
      <c r="AK34" s="139">
        <v>0</v>
      </c>
      <c r="AL34" s="139">
        <f>AL32</f>
        <v>0.75</v>
      </c>
      <c r="AM34" s="139">
        <f>AM32</f>
        <v>2.7E-2</v>
      </c>
      <c r="AN34" s="139">
        <f>AN32</f>
        <v>3</v>
      </c>
      <c r="AQ34" s="142">
        <f>AM34*I34*0.1+AL34</f>
        <v>0.77415690000000004</v>
      </c>
      <c r="AR34" s="142">
        <f t="shared" si="40"/>
        <v>7.7415690000000009E-2</v>
      </c>
      <c r="AS34" s="143">
        <f t="shared" si="41"/>
        <v>0</v>
      </c>
      <c r="AT34" s="143">
        <f t="shared" si="42"/>
        <v>0.21289314750000002</v>
      </c>
      <c r="AU34" s="142">
        <f>1333*J32*POWER(10,-6)</f>
        <v>1.1926350999999998E-2</v>
      </c>
      <c r="AV34" s="143">
        <f t="shared" si="38"/>
        <v>1.0763920885</v>
      </c>
      <c r="AW34" s="144">
        <f t="shared" si="43"/>
        <v>0</v>
      </c>
      <c r="AX34" s="144">
        <f t="shared" si="44"/>
        <v>0</v>
      </c>
      <c r="AY34" s="144">
        <f>H34*AV34</f>
        <v>2.4541739617800001E-6</v>
      </c>
      <c r="AZ34" s="289">
        <f>AW34/[1]DB!$B$23</f>
        <v>0</v>
      </c>
      <c r="BA34" s="289">
        <f>AX34/[1]DB!$B$23</f>
        <v>0</v>
      </c>
    </row>
    <row r="35" spans="1:53" s="139" customFormat="1" x14ac:dyDescent="0.3">
      <c r="A35" s="130" t="s">
        <v>512</v>
      </c>
      <c r="B35" s="130" t="str">
        <f>B32</f>
        <v>Сепаратор нефтегазовый С-2.3-2.4 НГС I-6-2600-16ГС, нефть, попутный нефтяной газ</v>
      </c>
      <c r="C35" s="13" t="s">
        <v>160</v>
      </c>
      <c r="D35" s="132" t="s">
        <v>161</v>
      </c>
      <c r="E35" s="133">
        <v>1.0000000000000001E-5</v>
      </c>
      <c r="F35" s="146">
        <f t="shared" si="46"/>
        <v>3</v>
      </c>
      <c r="G35" s="130">
        <v>4.0000000000000008E-2</v>
      </c>
      <c r="H35" s="134">
        <f t="shared" si="39"/>
        <v>1.2000000000000004E-6</v>
      </c>
      <c r="I35" s="147">
        <f>0.15*I32</f>
        <v>1.3420499999999997</v>
      </c>
      <c r="J35" s="136">
        <f>I35</f>
        <v>1.3420499999999997</v>
      </c>
      <c r="K35" s="148" t="s">
        <v>126</v>
      </c>
      <c r="L35" s="149">
        <v>45390</v>
      </c>
      <c r="M35" s="139" t="str">
        <f t="shared" si="35"/>
        <v>C25</v>
      </c>
      <c r="N35" s="139" t="str">
        <f t="shared" si="36"/>
        <v>Сепаратор нефтегазовый С-2.3-2.4 НГС I-6-2600-16ГС, нефть, попутный нефтяной газ</v>
      </c>
      <c r="O35" s="139" t="str">
        <f t="shared" si="37"/>
        <v>Частичное факел</v>
      </c>
      <c r="P35" s="139" t="s">
        <v>46</v>
      </c>
      <c r="Q35" s="139" t="s">
        <v>46</v>
      </c>
      <c r="R35" s="139" t="s">
        <v>46</v>
      </c>
      <c r="S35" s="139" t="s">
        <v>46</v>
      </c>
      <c r="T35" s="139" t="s">
        <v>46</v>
      </c>
      <c r="U35" s="139" t="s">
        <v>46</v>
      </c>
      <c r="V35" s="139" t="s">
        <v>46</v>
      </c>
      <c r="W35" s="139" t="s">
        <v>46</v>
      </c>
      <c r="X35" s="139" t="s">
        <v>46</v>
      </c>
      <c r="Y35" s="139">
        <v>15</v>
      </c>
      <c r="Z35" s="139">
        <v>3</v>
      </c>
      <c r="AA35" s="139" t="s">
        <v>46</v>
      </c>
      <c r="AB35" s="139" t="s">
        <v>46</v>
      </c>
      <c r="AC35" s="139" t="s">
        <v>46</v>
      </c>
      <c r="AD35" s="139" t="s">
        <v>46</v>
      </c>
      <c r="AE35" s="139" t="s">
        <v>46</v>
      </c>
      <c r="AF35" s="139" t="s">
        <v>46</v>
      </c>
      <c r="AG35" s="139" t="s">
        <v>46</v>
      </c>
      <c r="AH35" s="139" t="s">
        <v>46</v>
      </c>
      <c r="AI35" s="139" t="s">
        <v>46</v>
      </c>
      <c r="AJ35" s="139">
        <v>0</v>
      </c>
      <c r="AK35" s="139">
        <v>1</v>
      </c>
      <c r="AL35" s="139">
        <f>0.1*$AL$2</f>
        <v>7.5000000000000011E-2</v>
      </c>
      <c r="AM35" s="139">
        <f>AM33</f>
        <v>2.7E-2</v>
      </c>
      <c r="AN35" s="139">
        <f>AN32</f>
        <v>3</v>
      </c>
      <c r="AQ35" s="142">
        <f>AM35*I35*0.1+AL35</f>
        <v>7.8623535000000008E-2</v>
      </c>
      <c r="AR35" s="142">
        <f t="shared" si="40"/>
        <v>7.8623535000000005E-3</v>
      </c>
      <c r="AS35" s="143">
        <f t="shared" si="41"/>
        <v>0.25</v>
      </c>
      <c r="AT35" s="143">
        <f t="shared" si="42"/>
        <v>8.4121472124999999E-2</v>
      </c>
      <c r="AU35" s="142">
        <f>10068.2*J35*POWER(10,-6)</f>
        <v>1.3512027809999997E-2</v>
      </c>
      <c r="AV35" s="143">
        <f t="shared" si="38"/>
        <v>0.43411938843499998</v>
      </c>
      <c r="AW35" s="144">
        <f t="shared" si="43"/>
        <v>0</v>
      </c>
      <c r="AX35" s="144">
        <f t="shared" si="44"/>
        <v>1.2000000000000004E-6</v>
      </c>
      <c r="AY35" s="144">
        <f t="shared" ref="AY35:AY39" si="47">H35*AV35</f>
        <v>5.2094326612200016E-7</v>
      </c>
      <c r="AZ35" s="289">
        <f>AW35/[1]DB!$B$23</f>
        <v>0</v>
      </c>
      <c r="BA35" s="289">
        <f>AX35/[1]DB!$B$23</f>
        <v>1.4457831325301209E-9</v>
      </c>
    </row>
    <row r="36" spans="1:53" s="139" customFormat="1" x14ac:dyDescent="0.3">
      <c r="A36" s="130" t="s">
        <v>513</v>
      </c>
      <c r="B36" s="130" t="str">
        <f>B32</f>
        <v>Сепаратор нефтегазовый С-2.3-2.4 НГС I-6-2600-16ГС, нефть, попутный нефтяной газ</v>
      </c>
      <c r="C36" s="13" t="s">
        <v>189</v>
      </c>
      <c r="D36" s="132" t="s">
        <v>27</v>
      </c>
      <c r="E36" s="145">
        <f>E35</f>
        <v>1.0000000000000001E-5</v>
      </c>
      <c r="F36" s="146">
        <f t="shared" si="46"/>
        <v>3</v>
      </c>
      <c r="G36" s="130">
        <v>0.16000000000000003</v>
      </c>
      <c r="H36" s="134">
        <f t="shared" si="39"/>
        <v>4.8000000000000015E-6</v>
      </c>
      <c r="I36" s="147">
        <f>0.15*I32</f>
        <v>1.3420499999999997</v>
      </c>
      <c r="J36" s="136">
        <v>0</v>
      </c>
      <c r="K36" s="148" t="s">
        <v>127</v>
      </c>
      <c r="L36" s="149">
        <v>3</v>
      </c>
      <c r="M36" s="139" t="str">
        <f t="shared" si="35"/>
        <v>C26</v>
      </c>
      <c r="N36" s="139" t="str">
        <f t="shared" si="36"/>
        <v>Сепаратор нефтегазовый С-2.3-2.4 НГС I-6-2600-16ГС, нефть, попутный нефтяной газ</v>
      </c>
      <c r="O36" s="139" t="str">
        <f t="shared" si="37"/>
        <v>Частичное-ликвидация</v>
      </c>
      <c r="P36" s="139" t="s">
        <v>46</v>
      </c>
      <c r="Q36" s="139" t="s">
        <v>46</v>
      </c>
      <c r="R36" s="139" t="s">
        <v>46</v>
      </c>
      <c r="S36" s="139" t="s">
        <v>46</v>
      </c>
      <c r="T36" s="139" t="s">
        <v>46</v>
      </c>
      <c r="U36" s="139" t="s">
        <v>46</v>
      </c>
      <c r="V36" s="139" t="s">
        <v>46</v>
      </c>
      <c r="W36" s="139" t="s">
        <v>46</v>
      </c>
      <c r="X36" s="139" t="s">
        <v>46</v>
      </c>
      <c r="Y36" s="139" t="s">
        <v>46</v>
      </c>
      <c r="Z36" s="139" t="s">
        <v>46</v>
      </c>
      <c r="AA36" s="139" t="s">
        <v>46</v>
      </c>
      <c r="AB36" s="139" t="s">
        <v>46</v>
      </c>
      <c r="AC36" s="139" t="s">
        <v>46</v>
      </c>
      <c r="AD36" s="139" t="s">
        <v>46</v>
      </c>
      <c r="AE36" s="139" t="s">
        <v>46</v>
      </c>
      <c r="AF36" s="139" t="s">
        <v>46</v>
      </c>
      <c r="AG36" s="139" t="s">
        <v>46</v>
      </c>
      <c r="AH36" s="139" t="s">
        <v>46</v>
      </c>
      <c r="AI36" s="139" t="s">
        <v>46</v>
      </c>
      <c r="AJ36" s="139">
        <v>0</v>
      </c>
      <c r="AK36" s="139">
        <v>1</v>
      </c>
      <c r="AL36" s="139">
        <f>0.1*$AL$2</f>
        <v>7.5000000000000011E-2</v>
      </c>
      <c r="AM36" s="139">
        <f>AM32</f>
        <v>2.7E-2</v>
      </c>
      <c r="AN36" s="139">
        <f>ROUNDUP(AN32/3,0)</f>
        <v>1</v>
      </c>
      <c r="AQ36" s="142">
        <f>AM36*I36+AL36</f>
        <v>0.11123535000000001</v>
      </c>
      <c r="AR36" s="142">
        <f t="shared" si="40"/>
        <v>1.1123535000000002E-2</v>
      </c>
      <c r="AS36" s="143">
        <f t="shared" si="41"/>
        <v>0.25</v>
      </c>
      <c r="AT36" s="143">
        <f t="shared" si="42"/>
        <v>9.3089721250000007E-2</v>
      </c>
      <c r="AU36" s="142">
        <f>1333*J33*POWER(10,-6)*10</f>
        <v>2.5193699999999998E-4</v>
      </c>
      <c r="AV36" s="143">
        <f t="shared" si="38"/>
        <v>0.46570054325000004</v>
      </c>
      <c r="AW36" s="144">
        <f t="shared" si="43"/>
        <v>0</v>
      </c>
      <c r="AX36" s="144">
        <f t="shared" si="44"/>
        <v>4.8000000000000015E-6</v>
      </c>
      <c r="AY36" s="144">
        <f t="shared" si="47"/>
        <v>2.2353626076000011E-6</v>
      </c>
      <c r="AZ36" s="289">
        <f>AW36/[1]DB!$B$23</f>
        <v>0</v>
      </c>
      <c r="BA36" s="289">
        <f>AX36/[1]DB!$B$23</f>
        <v>5.7831325301204838E-9</v>
      </c>
    </row>
    <row r="37" spans="1:53" s="139" customFormat="1" x14ac:dyDescent="0.3">
      <c r="A37" s="130" t="s">
        <v>514</v>
      </c>
      <c r="B37" s="130" t="str">
        <f>B32</f>
        <v>Сепаратор нефтегазовый С-2.3-2.4 НГС I-6-2600-16ГС, нефть, попутный нефтяной газ</v>
      </c>
      <c r="C37" s="13" t="s">
        <v>162</v>
      </c>
      <c r="D37" s="132" t="s">
        <v>161</v>
      </c>
      <c r="E37" s="145">
        <f>E36</f>
        <v>1.0000000000000001E-5</v>
      </c>
      <c r="F37" s="146">
        <f t="shared" si="46"/>
        <v>3</v>
      </c>
      <c r="G37" s="130">
        <v>4.0000000000000008E-2</v>
      </c>
      <c r="H37" s="134">
        <f t="shared" si="39"/>
        <v>1.2000000000000004E-6</v>
      </c>
      <c r="I37" s="147">
        <f>I35*0.15</f>
        <v>0.20130749999999994</v>
      </c>
      <c r="J37" s="136">
        <f>I37</f>
        <v>0.20130749999999994</v>
      </c>
      <c r="K37" s="151" t="s">
        <v>138</v>
      </c>
      <c r="L37" s="152">
        <v>12</v>
      </c>
      <c r="M37" s="139" t="str">
        <f t="shared" si="35"/>
        <v>C27</v>
      </c>
      <c r="N37" s="139" t="str">
        <f t="shared" si="36"/>
        <v>Сепаратор нефтегазовый С-2.3-2.4 НГС I-6-2600-16ГС, нефть, попутный нефтяной газ</v>
      </c>
      <c r="O37" s="139" t="str">
        <f t="shared" si="37"/>
        <v>Частичное факел</v>
      </c>
      <c r="P37" s="139" t="s">
        <v>46</v>
      </c>
      <c r="Q37" s="139" t="s">
        <v>46</v>
      </c>
      <c r="R37" s="139" t="s">
        <v>46</v>
      </c>
      <c r="S37" s="139" t="s">
        <v>46</v>
      </c>
      <c r="T37" s="139" t="s">
        <v>46</v>
      </c>
      <c r="U37" s="139" t="s">
        <v>46</v>
      </c>
      <c r="V37" s="139" t="s">
        <v>46</v>
      </c>
      <c r="W37" s="139" t="s">
        <v>46</v>
      </c>
      <c r="X37" s="139" t="s">
        <v>46</v>
      </c>
      <c r="Y37" s="139">
        <v>11</v>
      </c>
      <c r="Z37" s="139">
        <v>2</v>
      </c>
      <c r="AA37" s="139" t="s">
        <v>46</v>
      </c>
      <c r="AB37" s="139" t="s">
        <v>46</v>
      </c>
      <c r="AC37" s="139" t="s">
        <v>46</v>
      </c>
      <c r="AD37" s="139" t="s">
        <v>46</v>
      </c>
      <c r="AE37" s="139" t="s">
        <v>46</v>
      </c>
      <c r="AF37" s="139" t="s">
        <v>46</v>
      </c>
      <c r="AG37" s="139" t="s">
        <v>46</v>
      </c>
      <c r="AH37" s="139" t="s">
        <v>46</v>
      </c>
      <c r="AI37" s="139" t="s">
        <v>46</v>
      </c>
      <c r="AJ37" s="139">
        <v>0</v>
      </c>
      <c r="AK37" s="139">
        <v>1</v>
      </c>
      <c r="AL37" s="139">
        <f>0.1*$AL$2</f>
        <v>7.5000000000000011E-2</v>
      </c>
      <c r="AM37" s="139">
        <f>AM32</f>
        <v>2.7E-2</v>
      </c>
      <c r="AN37" s="139">
        <f>AN36</f>
        <v>1</v>
      </c>
      <c r="AQ37" s="142">
        <f>AM37*I37+AL37</f>
        <v>8.0435302500000014E-2</v>
      </c>
      <c r="AR37" s="142">
        <f t="shared" si="40"/>
        <v>8.0435302500000017E-3</v>
      </c>
      <c r="AS37" s="143">
        <f t="shared" si="41"/>
        <v>0.25</v>
      </c>
      <c r="AT37" s="143">
        <f t="shared" si="42"/>
        <v>8.4619708187500003E-2</v>
      </c>
      <c r="AU37" s="142">
        <f>10068.2*J37*POWER(10,-6)</f>
        <v>2.0268041714999992E-3</v>
      </c>
      <c r="AV37" s="143">
        <f t="shared" si="38"/>
        <v>0.42512534510900002</v>
      </c>
      <c r="AW37" s="144">
        <f t="shared" si="43"/>
        <v>0</v>
      </c>
      <c r="AX37" s="144">
        <f t="shared" si="44"/>
        <v>1.2000000000000004E-6</v>
      </c>
      <c r="AY37" s="144">
        <f t="shared" si="47"/>
        <v>5.1015041413080022E-7</v>
      </c>
      <c r="AZ37" s="289">
        <f>AW37/[1]DB!$B$23</f>
        <v>0</v>
      </c>
      <c r="BA37" s="289">
        <f>AX37/[1]DB!$B$23</f>
        <v>1.4457831325301209E-9</v>
      </c>
    </row>
    <row r="38" spans="1:53" s="139" customFormat="1" x14ac:dyDescent="0.3">
      <c r="A38" s="130" t="s">
        <v>735</v>
      </c>
      <c r="B38" s="130" t="str">
        <f>B32</f>
        <v>Сепаратор нефтегазовый С-2.3-2.4 НГС I-6-2600-16ГС, нефть, попутный нефтяной газ</v>
      </c>
      <c r="C38" s="13" t="s">
        <v>163</v>
      </c>
      <c r="D38" s="132" t="s">
        <v>112</v>
      </c>
      <c r="E38" s="145">
        <f>E36</f>
        <v>1.0000000000000001E-5</v>
      </c>
      <c r="F38" s="146">
        <f t="shared" si="46"/>
        <v>3</v>
      </c>
      <c r="G38" s="130">
        <v>0.15200000000000002</v>
      </c>
      <c r="H38" s="134">
        <f t="shared" si="39"/>
        <v>4.5600000000000012E-6</v>
      </c>
      <c r="I38" s="147">
        <f>I35*0.15</f>
        <v>0.20130749999999994</v>
      </c>
      <c r="J38" s="136">
        <f>I38</f>
        <v>0.20130749999999994</v>
      </c>
      <c r="K38" s="334" t="s">
        <v>466</v>
      </c>
      <c r="L38" s="287" t="s">
        <v>642</v>
      </c>
      <c r="M38" s="139" t="str">
        <f t="shared" si="35"/>
        <v>C28</v>
      </c>
      <c r="N38" s="139" t="str">
        <f t="shared" si="36"/>
        <v>Сепаратор нефтегазовый С-2.3-2.4 НГС I-6-2600-16ГС, нефть, попутный нефтяной газ</v>
      </c>
      <c r="O38" s="139" t="str">
        <f t="shared" si="37"/>
        <v>Частичное-пожар-вспышка</v>
      </c>
      <c r="P38" s="139" t="s">
        <v>46</v>
      </c>
      <c r="Q38" s="139" t="s">
        <v>46</v>
      </c>
      <c r="R38" s="139" t="s">
        <v>46</v>
      </c>
      <c r="S38" s="139" t="s">
        <v>46</v>
      </c>
      <c r="T38" s="139" t="s">
        <v>46</v>
      </c>
      <c r="U38" s="139" t="s">
        <v>46</v>
      </c>
      <c r="V38" s="139" t="s">
        <v>46</v>
      </c>
      <c r="W38" s="139" t="s">
        <v>46</v>
      </c>
      <c r="X38" s="139" t="s">
        <v>46</v>
      </c>
      <c r="Y38" s="139" t="s">
        <v>46</v>
      </c>
      <c r="Z38" s="139" t="s">
        <v>46</v>
      </c>
      <c r="AA38" s="139">
        <v>19.75</v>
      </c>
      <c r="AB38" s="139">
        <v>23.7</v>
      </c>
      <c r="AC38" s="139" t="s">
        <v>46</v>
      </c>
      <c r="AD38" s="139" t="s">
        <v>46</v>
      </c>
      <c r="AE38" s="139" t="s">
        <v>46</v>
      </c>
      <c r="AF38" s="139" t="s">
        <v>46</v>
      </c>
      <c r="AG38" s="139" t="s">
        <v>46</v>
      </c>
      <c r="AH38" s="139" t="s">
        <v>46</v>
      </c>
      <c r="AI38" s="139" t="s">
        <v>46</v>
      </c>
      <c r="AJ38" s="139">
        <v>0</v>
      </c>
      <c r="AK38" s="139">
        <v>1</v>
      </c>
      <c r="AL38" s="139">
        <f>0.1*$AL$2</f>
        <v>7.5000000000000011E-2</v>
      </c>
      <c r="AM38" s="139">
        <f>AM32</f>
        <v>2.7E-2</v>
      </c>
      <c r="AN38" s="139">
        <f>ROUNDUP(AN32/3,0)</f>
        <v>1</v>
      </c>
      <c r="AQ38" s="142">
        <f>AM38*I38+AL38</f>
        <v>8.0435302500000014E-2</v>
      </c>
      <c r="AR38" s="142">
        <f t="shared" si="40"/>
        <v>8.0435302500000017E-3</v>
      </c>
      <c r="AS38" s="143">
        <f t="shared" si="41"/>
        <v>0.25</v>
      </c>
      <c r="AT38" s="143">
        <f t="shared" si="42"/>
        <v>8.4619708187500003E-2</v>
      </c>
      <c r="AU38" s="142">
        <f>10068.2*J38*POWER(10,-6)</f>
        <v>2.0268041714999992E-3</v>
      </c>
      <c r="AV38" s="143">
        <f t="shared" si="38"/>
        <v>0.42512534510900002</v>
      </c>
      <c r="AW38" s="144">
        <f t="shared" si="43"/>
        <v>0</v>
      </c>
      <c r="AX38" s="144">
        <f t="shared" si="44"/>
        <v>4.5600000000000012E-6</v>
      </c>
      <c r="AY38" s="144">
        <f t="shared" si="47"/>
        <v>1.9385715736970404E-6</v>
      </c>
      <c r="AZ38" s="289">
        <f>AW38/[1]DB!$B$23</f>
        <v>0</v>
      </c>
      <c r="BA38" s="289">
        <f>AX38/[1]DB!$B$23</f>
        <v>5.4939759036144592E-9</v>
      </c>
    </row>
    <row r="39" spans="1:53" s="139" customFormat="1" ht="15" thickBot="1" x14ac:dyDescent="0.35">
      <c r="A39" s="130" t="s">
        <v>736</v>
      </c>
      <c r="B39" s="130" t="str">
        <f>B32</f>
        <v>Сепаратор нефтегазовый С-2.3-2.4 НГС I-6-2600-16ГС, нефть, попутный нефтяной газ</v>
      </c>
      <c r="C39" s="13" t="s">
        <v>164</v>
      </c>
      <c r="D39" s="132" t="s">
        <v>27</v>
      </c>
      <c r="E39" s="145">
        <f>E36</f>
        <v>1.0000000000000001E-5</v>
      </c>
      <c r="F39" s="146">
        <f t="shared" si="46"/>
        <v>3</v>
      </c>
      <c r="G39" s="130">
        <v>0.6080000000000001</v>
      </c>
      <c r="H39" s="134">
        <f t="shared" si="39"/>
        <v>1.8240000000000005E-5</v>
      </c>
      <c r="I39" s="147">
        <f>I35*0.15</f>
        <v>0.20130749999999994</v>
      </c>
      <c r="J39" s="150">
        <v>0</v>
      </c>
      <c r="K39" s="153"/>
      <c r="L39" s="154"/>
      <c r="M39" s="139" t="str">
        <f t="shared" si="35"/>
        <v>C29</v>
      </c>
      <c r="N39" s="139" t="str">
        <f t="shared" si="36"/>
        <v>Сепаратор нефтегазовый С-2.3-2.4 НГС I-6-2600-16ГС, нефть, попутный нефтяной газ</v>
      </c>
      <c r="O39" s="139" t="str">
        <f t="shared" si="37"/>
        <v>Частичное-ликвидация</v>
      </c>
      <c r="P39" s="139" t="s">
        <v>46</v>
      </c>
      <c r="Q39" s="139" t="s">
        <v>46</v>
      </c>
      <c r="R39" s="139" t="s">
        <v>46</v>
      </c>
      <c r="S39" s="139" t="s">
        <v>46</v>
      </c>
      <c r="T39" s="139" t="s">
        <v>46</v>
      </c>
      <c r="U39" s="139" t="s">
        <v>46</v>
      </c>
      <c r="V39" s="139" t="s">
        <v>46</v>
      </c>
      <c r="W39" s="139" t="s">
        <v>46</v>
      </c>
      <c r="X39" s="139" t="s">
        <v>46</v>
      </c>
      <c r="Y39" s="139" t="s">
        <v>46</v>
      </c>
      <c r="Z39" s="139" t="s">
        <v>46</v>
      </c>
      <c r="AA39" s="139" t="s">
        <v>46</v>
      </c>
      <c r="AB39" s="139" t="s">
        <v>46</v>
      </c>
      <c r="AC39" s="139" t="s">
        <v>46</v>
      </c>
      <c r="AD39" s="139" t="s">
        <v>46</v>
      </c>
      <c r="AE39" s="139" t="s">
        <v>46</v>
      </c>
      <c r="AF39" s="139" t="s">
        <v>46</v>
      </c>
      <c r="AG39" s="139" t="s">
        <v>46</v>
      </c>
      <c r="AH39" s="139" t="s">
        <v>46</v>
      </c>
      <c r="AI39" s="139" t="s">
        <v>46</v>
      </c>
      <c r="AJ39" s="139">
        <v>0</v>
      </c>
      <c r="AK39" s="139">
        <v>0</v>
      </c>
      <c r="AL39" s="139">
        <f>0.1*$AL$2</f>
        <v>7.5000000000000011E-2</v>
      </c>
      <c r="AM39" s="139">
        <f>AM32</f>
        <v>2.7E-2</v>
      </c>
      <c r="AN39" s="139">
        <f>ROUNDUP(AN32/3,0)</f>
        <v>1</v>
      </c>
      <c r="AQ39" s="142">
        <f>AM39*I39*0.1+AL39</f>
        <v>7.5543530250000004E-2</v>
      </c>
      <c r="AR39" s="142">
        <f t="shared" si="40"/>
        <v>7.554353025000001E-3</v>
      </c>
      <c r="AS39" s="143">
        <f t="shared" si="41"/>
        <v>0</v>
      </c>
      <c r="AT39" s="143">
        <f t="shared" si="42"/>
        <v>2.0774470818750002E-2</v>
      </c>
      <c r="AU39" s="142">
        <f>1333*J37*POWER(10,-6)</f>
        <v>2.6834289749999991E-4</v>
      </c>
      <c r="AV39" s="143">
        <f t="shared" si="38"/>
        <v>0.10414069699125</v>
      </c>
      <c r="AW39" s="144">
        <f t="shared" si="43"/>
        <v>0</v>
      </c>
      <c r="AX39" s="144">
        <f t="shared" si="44"/>
        <v>0</v>
      </c>
      <c r="AY39" s="144">
        <f t="shared" si="47"/>
        <v>1.8995263131204005E-6</v>
      </c>
      <c r="AZ39" s="289">
        <f>AW39/[1]DB!$B$23</f>
        <v>0</v>
      </c>
      <c r="BA39" s="289">
        <f>AX39/[1]DB!$B$23</f>
        <v>0</v>
      </c>
    </row>
    <row r="40" spans="1:53" s="139" customFormat="1" x14ac:dyDescent="0.3">
      <c r="A40" s="193" t="s">
        <v>737</v>
      </c>
      <c r="B40" s="193" t="str">
        <f>B32</f>
        <v>Сепаратор нефтегазовый С-2.3-2.4 НГС I-6-2600-16ГС, нефть, попутный нефтяной газ</v>
      </c>
      <c r="C40" s="193" t="s">
        <v>341</v>
      </c>
      <c r="D40" s="193" t="s">
        <v>342</v>
      </c>
      <c r="E40" s="194">
        <v>2.5000000000000001E-5</v>
      </c>
      <c r="F40" s="146">
        <v>1</v>
      </c>
      <c r="G40" s="193">
        <v>1</v>
      </c>
      <c r="H40" s="195">
        <f t="shared" si="39"/>
        <v>2.5000000000000001E-5</v>
      </c>
      <c r="I40" s="196">
        <f>I32</f>
        <v>8.9469999999999992</v>
      </c>
      <c r="J40" s="196">
        <f>J32*0.1</f>
        <v>0.89469999999999994</v>
      </c>
      <c r="K40" s="193"/>
      <c r="L40" s="193"/>
      <c r="M40" s="197" t="str">
        <f t="shared" si="35"/>
        <v>C30</v>
      </c>
      <c r="N40" s="197"/>
      <c r="O40" s="197"/>
      <c r="P40" s="197">
        <v>9.9</v>
      </c>
      <c r="Q40" s="197">
        <v>14</v>
      </c>
      <c r="R40" s="197">
        <v>20.6</v>
      </c>
      <c r="S40" s="197">
        <v>40</v>
      </c>
      <c r="T40" s="197"/>
      <c r="U40" s="197"/>
      <c r="V40" s="197" t="s">
        <v>46</v>
      </c>
      <c r="W40" s="197" t="s">
        <v>46</v>
      </c>
      <c r="X40" s="197" t="s">
        <v>46</v>
      </c>
      <c r="Y40" s="197" t="s">
        <v>46</v>
      </c>
      <c r="Z40" s="197"/>
      <c r="AA40" s="197"/>
      <c r="AB40" s="197"/>
      <c r="AC40" s="197"/>
      <c r="AD40" s="197"/>
      <c r="AE40" s="197">
        <v>9</v>
      </c>
      <c r="AF40" s="197">
        <v>37</v>
      </c>
      <c r="AG40" s="197">
        <v>49</v>
      </c>
      <c r="AH40" s="197">
        <v>69</v>
      </c>
      <c r="AI40" s="197"/>
      <c r="AJ40" s="197">
        <v>0</v>
      </c>
      <c r="AK40" s="197">
        <v>2</v>
      </c>
      <c r="AL40" s="197">
        <f>AL32</f>
        <v>0.75</v>
      </c>
      <c r="AM40" s="197">
        <f>AM32</f>
        <v>2.7E-2</v>
      </c>
      <c r="AN40" s="197">
        <v>5</v>
      </c>
      <c r="AO40" s="197"/>
      <c r="AP40" s="197"/>
      <c r="AQ40" s="198">
        <f>AM40*I40+AL40</f>
        <v>0.99156899999999992</v>
      </c>
      <c r="AR40" s="198">
        <f>0.1*AQ40</f>
        <v>9.9156899999999992E-2</v>
      </c>
      <c r="AS40" s="199">
        <f>AJ40*3+0.25*AK40</f>
        <v>0.5</v>
      </c>
      <c r="AT40" s="199">
        <f>SUM(AQ40:AS40)/4</f>
        <v>0.39768147499999995</v>
      </c>
      <c r="AU40" s="198">
        <f>10068.2*J40*POWER(10,-6)</f>
        <v>9.0080185400000009E-3</v>
      </c>
      <c r="AV40" s="199">
        <f t="shared" si="38"/>
        <v>1.9974153935399999</v>
      </c>
      <c r="AW40" s="200">
        <f>AJ40*H40</f>
        <v>0</v>
      </c>
      <c r="AX40" s="200">
        <f>H40*AK40</f>
        <v>5.0000000000000002E-5</v>
      </c>
      <c r="AY40" s="200">
        <f>H40*AV40</f>
        <v>4.9935384838499998E-5</v>
      </c>
      <c r="AZ40" s="289">
        <f>AW40/[1]DB!$B$23</f>
        <v>0</v>
      </c>
      <c r="BA40" s="289">
        <f>AX40/[1]DB!$B$23</f>
        <v>6.0240963855421685E-8</v>
      </c>
    </row>
    <row r="41" spans="1:53" ht="15" thickBot="1" x14ac:dyDescent="0.35"/>
    <row r="42" spans="1:53" s="139" customFormat="1" ht="18" customHeight="1" x14ac:dyDescent="0.3">
      <c r="A42" s="130" t="s">
        <v>738</v>
      </c>
      <c r="B42" s="131" t="s">
        <v>657</v>
      </c>
      <c r="C42" s="13" t="s">
        <v>143</v>
      </c>
      <c r="D42" s="132" t="s">
        <v>25</v>
      </c>
      <c r="E42" s="133">
        <v>9.9999999999999995E-7</v>
      </c>
      <c r="F42" s="131">
        <v>1</v>
      </c>
      <c r="G42" s="130">
        <v>0.05</v>
      </c>
      <c r="H42" s="134">
        <f>E42*F42*G42</f>
        <v>4.9999999999999998E-8</v>
      </c>
      <c r="I42" s="135">
        <v>18.123000000000001</v>
      </c>
      <c r="J42" s="136">
        <f>I42</f>
        <v>18.123000000000001</v>
      </c>
      <c r="K42" s="137" t="s">
        <v>122</v>
      </c>
      <c r="L42" s="138">
        <v>230</v>
      </c>
      <c r="M42" s="139" t="str">
        <f t="shared" ref="M42:M50" si="48">A42</f>
        <v>C31</v>
      </c>
      <c r="N42" s="139" t="str">
        <f t="shared" ref="N42:N49" si="49">B42</f>
        <v>Экспортный напорный резервуар С-1 (сепаратор), нефть, попутный нефтяной газ</v>
      </c>
      <c r="O42" s="139" t="str">
        <f t="shared" ref="O42:O49" si="50">D42</f>
        <v>Полное-пожар</v>
      </c>
      <c r="P42" s="139">
        <v>12.3</v>
      </c>
      <c r="Q42" s="139">
        <v>17.2</v>
      </c>
      <c r="R42" s="139">
        <v>25.1</v>
      </c>
      <c r="S42" s="139">
        <v>48.2</v>
      </c>
      <c r="T42" s="139" t="s">
        <v>46</v>
      </c>
      <c r="U42" s="139" t="s">
        <v>46</v>
      </c>
      <c r="V42" s="139" t="s">
        <v>46</v>
      </c>
      <c r="W42" s="139" t="s">
        <v>46</v>
      </c>
      <c r="X42" s="139" t="s">
        <v>46</v>
      </c>
      <c r="Y42" s="139" t="s">
        <v>46</v>
      </c>
      <c r="Z42" s="139" t="s">
        <v>46</v>
      </c>
      <c r="AA42" s="139" t="s">
        <v>46</v>
      </c>
      <c r="AB42" s="139" t="s">
        <v>46</v>
      </c>
      <c r="AC42" s="139" t="s">
        <v>46</v>
      </c>
      <c r="AD42" s="139" t="s">
        <v>46</v>
      </c>
      <c r="AE42" s="139" t="s">
        <v>46</v>
      </c>
      <c r="AF42" s="139" t="s">
        <v>46</v>
      </c>
      <c r="AG42" s="139" t="s">
        <v>46</v>
      </c>
      <c r="AH42" s="139" t="s">
        <v>46</v>
      </c>
      <c r="AI42" s="139" t="s">
        <v>46</v>
      </c>
      <c r="AJ42" s="140">
        <v>0</v>
      </c>
      <c r="AK42" s="140">
        <v>2</v>
      </c>
      <c r="AL42" s="141">
        <v>0.75</v>
      </c>
      <c r="AM42" s="141">
        <v>2.7E-2</v>
      </c>
      <c r="AN42" s="141">
        <v>3</v>
      </c>
      <c r="AQ42" s="142">
        <f>AM42*I42+AL42</f>
        <v>1.2393209999999999</v>
      </c>
      <c r="AR42" s="142">
        <f>0.1*AQ42</f>
        <v>0.12393209999999999</v>
      </c>
      <c r="AS42" s="143">
        <f>AJ42*3+0.25*AK42</f>
        <v>0.5</v>
      </c>
      <c r="AT42" s="143">
        <f>SUM(AQ42:AS42)/4</f>
        <v>0.46581327499999997</v>
      </c>
      <c r="AU42" s="142">
        <f>10068.2*J42*POWER(10,-6)</f>
        <v>0.18246598859999999</v>
      </c>
      <c r="AV42" s="143">
        <f t="shared" ref="AV42:AV50" si="51">AU42+AT42+AS42+AR42+AQ42</f>
        <v>2.5115323635999998</v>
      </c>
      <c r="AW42" s="144">
        <f>AJ42*H42</f>
        <v>0</v>
      </c>
      <c r="AX42" s="144">
        <f>H42*AK42</f>
        <v>9.9999999999999995E-8</v>
      </c>
      <c r="AY42" s="144">
        <f>H42*AV42</f>
        <v>1.2557661817999998E-7</v>
      </c>
      <c r="AZ42" s="289">
        <f>AW42/[1]DB!$B$23</f>
        <v>0</v>
      </c>
      <c r="BA42" s="289">
        <f>AX42/[1]DB!$B$23</f>
        <v>1.2048192771084336E-10</v>
      </c>
    </row>
    <row r="43" spans="1:53" s="139" customFormat="1" x14ac:dyDescent="0.3">
      <c r="A43" s="130" t="s">
        <v>739</v>
      </c>
      <c r="B43" s="130" t="str">
        <f>B42</f>
        <v>Экспортный напорный резервуар С-1 (сепаратор), нефть, попутный нефтяной газ</v>
      </c>
      <c r="C43" s="13" t="s">
        <v>149</v>
      </c>
      <c r="D43" s="132" t="s">
        <v>28</v>
      </c>
      <c r="E43" s="145">
        <f>E42</f>
        <v>9.9999999999999995E-7</v>
      </c>
      <c r="F43" s="146">
        <f>F42</f>
        <v>1</v>
      </c>
      <c r="G43" s="130">
        <v>0.19</v>
      </c>
      <c r="H43" s="134">
        <f t="shared" ref="H43:H50" si="52">E43*F43*G43</f>
        <v>1.8999999999999998E-7</v>
      </c>
      <c r="I43" s="147">
        <f>I42</f>
        <v>18.123000000000001</v>
      </c>
      <c r="J43" s="333">
        <f>POWER(10,-6)*35*SQRT(100)*3600*L42/1000*0.1</f>
        <v>2.8979999999999995E-2</v>
      </c>
      <c r="K43" s="148" t="s">
        <v>123</v>
      </c>
      <c r="L43" s="149">
        <v>2</v>
      </c>
      <c r="M43" s="139" t="str">
        <f t="shared" si="48"/>
        <v>C32</v>
      </c>
      <c r="N43" s="139" t="str">
        <f t="shared" si="49"/>
        <v>Экспортный напорный резервуар С-1 (сепаратор), нефть, попутный нефтяной газ</v>
      </c>
      <c r="O43" s="139" t="str">
        <f t="shared" si="50"/>
        <v>Полное-взрыв</v>
      </c>
      <c r="P43" s="139" t="s">
        <v>46</v>
      </c>
      <c r="Q43" s="139" t="s">
        <v>46</v>
      </c>
      <c r="R43" s="139" t="s">
        <v>46</v>
      </c>
      <c r="S43" s="139" t="s">
        <v>46</v>
      </c>
      <c r="T43" s="139">
        <v>0</v>
      </c>
      <c r="U43" s="139">
        <v>0</v>
      </c>
      <c r="V43" s="139">
        <v>23.1</v>
      </c>
      <c r="W43" s="139">
        <v>77.599999999999994</v>
      </c>
      <c r="X43" s="139">
        <v>113.1</v>
      </c>
      <c r="Y43" s="139" t="s">
        <v>46</v>
      </c>
      <c r="Z43" s="139" t="s">
        <v>46</v>
      </c>
      <c r="AA43" s="139" t="s">
        <v>46</v>
      </c>
      <c r="AB43" s="139" t="s">
        <v>46</v>
      </c>
      <c r="AC43" s="139" t="s">
        <v>46</v>
      </c>
      <c r="AD43" s="139" t="s">
        <v>46</v>
      </c>
      <c r="AE43" s="139" t="s">
        <v>46</v>
      </c>
      <c r="AF43" s="139" t="s">
        <v>46</v>
      </c>
      <c r="AG43" s="139" t="s">
        <v>46</v>
      </c>
      <c r="AH43" s="139" t="s">
        <v>46</v>
      </c>
      <c r="AI43" s="139" t="s">
        <v>46</v>
      </c>
      <c r="AJ43" s="140">
        <v>1</v>
      </c>
      <c r="AK43" s="140">
        <v>2</v>
      </c>
      <c r="AL43" s="139">
        <f>AL42</f>
        <v>0.75</v>
      </c>
      <c r="AM43" s="139">
        <f>AM42</f>
        <v>2.7E-2</v>
      </c>
      <c r="AN43" s="139">
        <f>AN42</f>
        <v>3</v>
      </c>
      <c r="AQ43" s="142">
        <f>AM43*I43+AL43</f>
        <v>1.2393209999999999</v>
      </c>
      <c r="AR43" s="142">
        <f t="shared" ref="AR43:AR49" si="53">0.1*AQ43</f>
        <v>0.12393209999999999</v>
      </c>
      <c r="AS43" s="143">
        <f t="shared" ref="AS43:AS49" si="54">AJ43*3+0.25*AK43</f>
        <v>3.5</v>
      </c>
      <c r="AT43" s="143">
        <f t="shared" ref="AT43:AT49" si="55">SUM(AQ43:AS43)/4</f>
        <v>1.2158132749999999</v>
      </c>
      <c r="AU43" s="142">
        <f>10068.2*J43*POWER(10,-6)*10</f>
        <v>2.9177643600000001E-3</v>
      </c>
      <c r="AV43" s="143">
        <f t="shared" si="51"/>
        <v>6.0819841393599994</v>
      </c>
      <c r="AW43" s="144">
        <f t="shared" ref="AW43:AW49" si="56">AJ43*H43</f>
        <v>1.8999999999999998E-7</v>
      </c>
      <c r="AX43" s="144">
        <f t="shared" ref="AX43:AX49" si="57">H43*AK43</f>
        <v>3.7999999999999996E-7</v>
      </c>
      <c r="AY43" s="144">
        <f t="shared" ref="AY43" si="58">H43*AV43</f>
        <v>1.1555769864783997E-6</v>
      </c>
      <c r="AZ43" s="289">
        <f>AW43/[1]DB!$B$23</f>
        <v>2.2891566265060238E-10</v>
      </c>
      <c r="BA43" s="289">
        <f>AX43/[1]DB!$B$23</f>
        <v>4.5783132530120476E-10</v>
      </c>
    </row>
    <row r="44" spans="1:53" s="139" customFormat="1" x14ac:dyDescent="0.3">
      <c r="A44" s="130" t="s">
        <v>740</v>
      </c>
      <c r="B44" s="130" t="str">
        <f>B42</f>
        <v>Экспортный напорный резервуар С-1 (сепаратор), нефть, попутный нефтяной газ</v>
      </c>
      <c r="C44" s="13" t="s">
        <v>188</v>
      </c>
      <c r="D44" s="132" t="s">
        <v>26</v>
      </c>
      <c r="E44" s="145">
        <f>E42</f>
        <v>9.9999999999999995E-7</v>
      </c>
      <c r="F44" s="146">
        <f t="shared" ref="F44:F49" si="59">F43</f>
        <v>1</v>
      </c>
      <c r="G44" s="130">
        <v>0.76</v>
      </c>
      <c r="H44" s="134">
        <f t="shared" si="52"/>
        <v>7.5999999999999992E-7</v>
      </c>
      <c r="I44" s="147">
        <f>I42</f>
        <v>18.123000000000001</v>
      </c>
      <c r="J44" s="150">
        <v>0</v>
      </c>
      <c r="K44" s="148" t="s">
        <v>124</v>
      </c>
      <c r="L44" s="149">
        <v>1.05</v>
      </c>
      <c r="M44" s="139" t="str">
        <f t="shared" si="48"/>
        <v>C33</v>
      </c>
      <c r="N44" s="139" t="str">
        <f t="shared" si="49"/>
        <v>Экспортный напорный резервуар С-1 (сепаратор), нефть, попутный нефтяной газ</v>
      </c>
      <c r="O44" s="139" t="str">
        <f t="shared" si="50"/>
        <v>Полное-ликвидация</v>
      </c>
      <c r="P44" s="139" t="s">
        <v>46</v>
      </c>
      <c r="Q44" s="139" t="s">
        <v>46</v>
      </c>
      <c r="R44" s="139" t="s">
        <v>46</v>
      </c>
      <c r="S44" s="139" t="s">
        <v>46</v>
      </c>
      <c r="T44" s="139" t="s">
        <v>46</v>
      </c>
      <c r="U44" s="139" t="s">
        <v>46</v>
      </c>
      <c r="V44" s="139" t="s">
        <v>46</v>
      </c>
      <c r="W44" s="139" t="s">
        <v>46</v>
      </c>
      <c r="X44" s="139" t="s">
        <v>46</v>
      </c>
      <c r="Y44" s="139" t="s">
        <v>46</v>
      </c>
      <c r="Z44" s="139" t="s">
        <v>46</v>
      </c>
      <c r="AA44" s="139" t="s">
        <v>46</v>
      </c>
      <c r="AB44" s="139" t="s">
        <v>46</v>
      </c>
      <c r="AC44" s="139" t="s">
        <v>46</v>
      </c>
      <c r="AD44" s="139" t="s">
        <v>46</v>
      </c>
      <c r="AE44" s="139" t="s">
        <v>46</v>
      </c>
      <c r="AF44" s="139" t="s">
        <v>46</v>
      </c>
      <c r="AG44" s="139" t="s">
        <v>46</v>
      </c>
      <c r="AH44" s="139" t="s">
        <v>46</v>
      </c>
      <c r="AI44" s="139" t="s">
        <v>46</v>
      </c>
      <c r="AJ44" s="139">
        <v>0</v>
      </c>
      <c r="AK44" s="139">
        <v>0</v>
      </c>
      <c r="AL44" s="139">
        <f>AL42</f>
        <v>0.75</v>
      </c>
      <c r="AM44" s="139">
        <f>AM42</f>
        <v>2.7E-2</v>
      </c>
      <c r="AN44" s="139">
        <f>AN42</f>
        <v>3</v>
      </c>
      <c r="AQ44" s="142">
        <f>AM44*I44*0.1+AL44</f>
        <v>0.79893210000000003</v>
      </c>
      <c r="AR44" s="142">
        <f t="shared" si="53"/>
        <v>7.9893210000000006E-2</v>
      </c>
      <c r="AS44" s="143">
        <f t="shared" si="54"/>
        <v>0</v>
      </c>
      <c r="AT44" s="143">
        <f t="shared" si="55"/>
        <v>0.21970632750000002</v>
      </c>
      <c r="AU44" s="142">
        <f>1333*J42*POWER(10,-6)</f>
        <v>2.4157959000000003E-2</v>
      </c>
      <c r="AV44" s="143">
        <f t="shared" si="51"/>
        <v>1.1226895965000001</v>
      </c>
      <c r="AW44" s="144">
        <f t="shared" si="56"/>
        <v>0</v>
      </c>
      <c r="AX44" s="144">
        <f t="shared" si="57"/>
        <v>0</v>
      </c>
      <c r="AY44" s="144">
        <f>H44*AV44</f>
        <v>8.5324409333999998E-7</v>
      </c>
      <c r="AZ44" s="289">
        <f>AW44/[1]DB!$B$23</f>
        <v>0</v>
      </c>
      <c r="BA44" s="289">
        <f>AX44/[1]DB!$B$23</f>
        <v>0</v>
      </c>
    </row>
    <row r="45" spans="1:53" s="139" customFormat="1" x14ac:dyDescent="0.3">
      <c r="A45" s="130" t="s">
        <v>741</v>
      </c>
      <c r="B45" s="130" t="str">
        <f>B42</f>
        <v>Экспортный напорный резервуар С-1 (сепаратор), нефть, попутный нефтяной газ</v>
      </c>
      <c r="C45" s="13" t="s">
        <v>160</v>
      </c>
      <c r="D45" s="132" t="s">
        <v>161</v>
      </c>
      <c r="E45" s="133">
        <v>1.0000000000000001E-5</v>
      </c>
      <c r="F45" s="146">
        <f t="shared" si="59"/>
        <v>1</v>
      </c>
      <c r="G45" s="130">
        <v>4.0000000000000008E-2</v>
      </c>
      <c r="H45" s="134">
        <f t="shared" si="52"/>
        <v>4.0000000000000009E-7</v>
      </c>
      <c r="I45" s="147">
        <f>0.15*I42</f>
        <v>2.7184500000000003</v>
      </c>
      <c r="J45" s="136">
        <f>I45</f>
        <v>2.7184500000000003</v>
      </c>
      <c r="K45" s="148" t="s">
        <v>126</v>
      </c>
      <c r="L45" s="149">
        <v>45390</v>
      </c>
      <c r="M45" s="139" t="str">
        <f t="shared" si="48"/>
        <v>C34</v>
      </c>
      <c r="N45" s="139" t="str">
        <f t="shared" si="49"/>
        <v>Экспортный напорный резервуар С-1 (сепаратор), нефть, попутный нефтяной газ</v>
      </c>
      <c r="O45" s="139" t="str">
        <f t="shared" si="50"/>
        <v>Частичное факел</v>
      </c>
      <c r="P45" s="139" t="s">
        <v>46</v>
      </c>
      <c r="Q45" s="139" t="s">
        <v>46</v>
      </c>
      <c r="R45" s="139" t="s">
        <v>46</v>
      </c>
      <c r="S45" s="139" t="s">
        <v>46</v>
      </c>
      <c r="T45" s="139" t="s">
        <v>46</v>
      </c>
      <c r="U45" s="139" t="s">
        <v>46</v>
      </c>
      <c r="V45" s="139" t="s">
        <v>46</v>
      </c>
      <c r="W45" s="139" t="s">
        <v>46</v>
      </c>
      <c r="X45" s="139" t="s">
        <v>46</v>
      </c>
      <c r="Y45" s="139">
        <v>15</v>
      </c>
      <c r="Z45" s="139">
        <v>3</v>
      </c>
      <c r="AA45" s="139" t="s">
        <v>46</v>
      </c>
      <c r="AB45" s="139" t="s">
        <v>46</v>
      </c>
      <c r="AC45" s="139" t="s">
        <v>46</v>
      </c>
      <c r="AD45" s="139" t="s">
        <v>46</v>
      </c>
      <c r="AE45" s="139" t="s">
        <v>46</v>
      </c>
      <c r="AF45" s="139" t="s">
        <v>46</v>
      </c>
      <c r="AG45" s="139" t="s">
        <v>46</v>
      </c>
      <c r="AH45" s="139" t="s">
        <v>46</v>
      </c>
      <c r="AI45" s="139" t="s">
        <v>46</v>
      </c>
      <c r="AJ45" s="139">
        <v>0</v>
      </c>
      <c r="AK45" s="139">
        <v>1</v>
      </c>
      <c r="AL45" s="139">
        <f>0.1*$AL$2</f>
        <v>7.5000000000000011E-2</v>
      </c>
      <c r="AM45" s="139">
        <f>AM43</f>
        <v>2.7E-2</v>
      </c>
      <c r="AN45" s="139">
        <f>AN42</f>
        <v>3</v>
      </c>
      <c r="AQ45" s="142">
        <f>AM45*I45*0.1+AL45</f>
        <v>8.2339815000000011E-2</v>
      </c>
      <c r="AR45" s="142">
        <f t="shared" si="53"/>
        <v>8.2339815000000011E-3</v>
      </c>
      <c r="AS45" s="143">
        <f t="shared" si="54"/>
        <v>0.25</v>
      </c>
      <c r="AT45" s="143">
        <f t="shared" si="55"/>
        <v>8.5143449125000006E-2</v>
      </c>
      <c r="AU45" s="142">
        <f>10068.2*J45*POWER(10,-6)</f>
        <v>2.7369898290000003E-2</v>
      </c>
      <c r="AV45" s="143">
        <f t="shared" si="51"/>
        <v>0.45308714391500005</v>
      </c>
      <c r="AW45" s="144">
        <f t="shared" si="56"/>
        <v>0</v>
      </c>
      <c r="AX45" s="144">
        <f t="shared" si="57"/>
        <v>4.0000000000000009E-7</v>
      </c>
      <c r="AY45" s="144">
        <f t="shared" ref="AY45:AY49" si="60">H45*AV45</f>
        <v>1.8123485756600005E-7</v>
      </c>
      <c r="AZ45" s="289">
        <f>AW45/[1]DB!$B$23</f>
        <v>0</v>
      </c>
      <c r="BA45" s="289">
        <f>AX45/[1]DB!$B$23</f>
        <v>4.8192771084337365E-10</v>
      </c>
    </row>
    <row r="46" spans="1:53" s="139" customFormat="1" x14ac:dyDescent="0.3">
      <c r="A46" s="130" t="s">
        <v>742</v>
      </c>
      <c r="B46" s="130" t="str">
        <f>B42</f>
        <v>Экспортный напорный резервуар С-1 (сепаратор), нефть, попутный нефтяной газ</v>
      </c>
      <c r="C46" s="13" t="s">
        <v>189</v>
      </c>
      <c r="D46" s="132" t="s">
        <v>27</v>
      </c>
      <c r="E46" s="145">
        <f>E45</f>
        <v>1.0000000000000001E-5</v>
      </c>
      <c r="F46" s="146">
        <f t="shared" si="59"/>
        <v>1</v>
      </c>
      <c r="G46" s="130">
        <v>0.16000000000000003</v>
      </c>
      <c r="H46" s="134">
        <f t="shared" si="52"/>
        <v>1.6000000000000004E-6</v>
      </c>
      <c r="I46" s="147">
        <f>0.15*I42</f>
        <v>2.7184500000000003</v>
      </c>
      <c r="J46" s="136">
        <v>0</v>
      </c>
      <c r="K46" s="148" t="s">
        <v>127</v>
      </c>
      <c r="L46" s="149">
        <v>3</v>
      </c>
      <c r="M46" s="139" t="str">
        <f t="shared" si="48"/>
        <v>C35</v>
      </c>
      <c r="N46" s="139" t="str">
        <f t="shared" si="49"/>
        <v>Экспортный напорный резервуар С-1 (сепаратор), нефть, попутный нефтяной газ</v>
      </c>
      <c r="O46" s="139" t="str">
        <f t="shared" si="50"/>
        <v>Частичное-ликвидация</v>
      </c>
      <c r="P46" s="139" t="s">
        <v>46</v>
      </c>
      <c r="Q46" s="139" t="s">
        <v>46</v>
      </c>
      <c r="R46" s="139" t="s">
        <v>46</v>
      </c>
      <c r="S46" s="139" t="s">
        <v>46</v>
      </c>
      <c r="T46" s="139" t="s">
        <v>46</v>
      </c>
      <c r="U46" s="139" t="s">
        <v>46</v>
      </c>
      <c r="V46" s="139" t="s">
        <v>46</v>
      </c>
      <c r="W46" s="139" t="s">
        <v>46</v>
      </c>
      <c r="X46" s="139" t="s">
        <v>46</v>
      </c>
      <c r="Y46" s="139" t="s">
        <v>46</v>
      </c>
      <c r="Z46" s="139" t="s">
        <v>46</v>
      </c>
      <c r="AA46" s="139" t="s">
        <v>46</v>
      </c>
      <c r="AB46" s="139" t="s">
        <v>46</v>
      </c>
      <c r="AC46" s="139" t="s">
        <v>46</v>
      </c>
      <c r="AD46" s="139" t="s">
        <v>46</v>
      </c>
      <c r="AE46" s="139" t="s">
        <v>46</v>
      </c>
      <c r="AF46" s="139" t="s">
        <v>46</v>
      </c>
      <c r="AG46" s="139" t="s">
        <v>46</v>
      </c>
      <c r="AH46" s="139" t="s">
        <v>46</v>
      </c>
      <c r="AI46" s="139" t="s">
        <v>46</v>
      </c>
      <c r="AJ46" s="139">
        <v>0</v>
      </c>
      <c r="AK46" s="139">
        <v>1</v>
      </c>
      <c r="AL46" s="139">
        <f>0.1*$AL$2</f>
        <v>7.5000000000000011E-2</v>
      </c>
      <c r="AM46" s="139">
        <f>AM42</f>
        <v>2.7E-2</v>
      </c>
      <c r="AN46" s="139">
        <f>ROUNDUP(AN42/3,0)</f>
        <v>1</v>
      </c>
      <c r="AQ46" s="142">
        <f>AM46*I46+AL46</f>
        <v>0.14839815000000001</v>
      </c>
      <c r="AR46" s="142">
        <f t="shared" si="53"/>
        <v>1.4839815000000001E-2</v>
      </c>
      <c r="AS46" s="143">
        <f t="shared" si="54"/>
        <v>0.25</v>
      </c>
      <c r="AT46" s="143">
        <f t="shared" si="55"/>
        <v>0.10330949125</v>
      </c>
      <c r="AU46" s="142">
        <f>1333*J43*POWER(10,-6)*10</f>
        <v>3.8630339999999998E-4</v>
      </c>
      <c r="AV46" s="143">
        <f t="shared" si="51"/>
        <v>0.51693375964999999</v>
      </c>
      <c r="AW46" s="144">
        <f t="shared" si="56"/>
        <v>0</v>
      </c>
      <c r="AX46" s="144">
        <f t="shared" si="57"/>
        <v>1.6000000000000004E-6</v>
      </c>
      <c r="AY46" s="144">
        <f t="shared" si="60"/>
        <v>8.2709401544000014E-7</v>
      </c>
      <c r="AZ46" s="289">
        <f>AW46/[1]DB!$B$23</f>
        <v>0</v>
      </c>
      <c r="BA46" s="289">
        <f>AX46/[1]DB!$B$23</f>
        <v>1.9277108433734946E-9</v>
      </c>
    </row>
    <row r="47" spans="1:53" s="139" customFormat="1" x14ac:dyDescent="0.3">
      <c r="A47" s="130" t="s">
        <v>743</v>
      </c>
      <c r="B47" s="130" t="str">
        <f>B42</f>
        <v>Экспортный напорный резервуар С-1 (сепаратор), нефть, попутный нефтяной газ</v>
      </c>
      <c r="C47" s="13" t="s">
        <v>162</v>
      </c>
      <c r="D47" s="132" t="s">
        <v>161</v>
      </c>
      <c r="E47" s="145">
        <f>E46</f>
        <v>1.0000000000000001E-5</v>
      </c>
      <c r="F47" s="146">
        <f t="shared" si="59"/>
        <v>1</v>
      </c>
      <c r="G47" s="130">
        <v>4.0000000000000008E-2</v>
      </c>
      <c r="H47" s="134">
        <f t="shared" si="52"/>
        <v>4.0000000000000009E-7</v>
      </c>
      <c r="I47" s="147">
        <f>I45*0.15</f>
        <v>0.4077675</v>
      </c>
      <c r="J47" s="136">
        <f>I47</f>
        <v>0.4077675</v>
      </c>
      <c r="K47" s="151" t="s">
        <v>138</v>
      </c>
      <c r="L47" s="152">
        <v>12</v>
      </c>
      <c r="M47" s="139" t="str">
        <f t="shared" si="48"/>
        <v>C36</v>
      </c>
      <c r="N47" s="139" t="str">
        <f t="shared" si="49"/>
        <v>Экспортный напорный резервуар С-1 (сепаратор), нефть, попутный нефтяной газ</v>
      </c>
      <c r="O47" s="139" t="str">
        <f t="shared" si="50"/>
        <v>Частичное факел</v>
      </c>
      <c r="P47" s="139" t="s">
        <v>46</v>
      </c>
      <c r="Q47" s="139" t="s">
        <v>46</v>
      </c>
      <c r="R47" s="139" t="s">
        <v>46</v>
      </c>
      <c r="S47" s="139" t="s">
        <v>46</v>
      </c>
      <c r="T47" s="139" t="s">
        <v>46</v>
      </c>
      <c r="U47" s="139" t="s">
        <v>46</v>
      </c>
      <c r="V47" s="139" t="s">
        <v>46</v>
      </c>
      <c r="W47" s="139" t="s">
        <v>46</v>
      </c>
      <c r="X47" s="139" t="s">
        <v>46</v>
      </c>
      <c r="Y47" s="139">
        <v>11</v>
      </c>
      <c r="Z47" s="139">
        <v>2</v>
      </c>
      <c r="AA47" s="139" t="s">
        <v>46</v>
      </c>
      <c r="AB47" s="139" t="s">
        <v>46</v>
      </c>
      <c r="AC47" s="139" t="s">
        <v>46</v>
      </c>
      <c r="AD47" s="139" t="s">
        <v>46</v>
      </c>
      <c r="AE47" s="139" t="s">
        <v>46</v>
      </c>
      <c r="AF47" s="139" t="s">
        <v>46</v>
      </c>
      <c r="AG47" s="139" t="s">
        <v>46</v>
      </c>
      <c r="AH47" s="139" t="s">
        <v>46</v>
      </c>
      <c r="AI47" s="139" t="s">
        <v>46</v>
      </c>
      <c r="AJ47" s="139">
        <v>0</v>
      </c>
      <c r="AK47" s="139">
        <v>1</v>
      </c>
      <c r="AL47" s="139">
        <f>0.1*$AL$2</f>
        <v>7.5000000000000011E-2</v>
      </c>
      <c r="AM47" s="139">
        <f>AM42</f>
        <v>2.7E-2</v>
      </c>
      <c r="AN47" s="139">
        <f>AN46</f>
        <v>1</v>
      </c>
      <c r="AQ47" s="142">
        <f>AM47*I47+AL47</f>
        <v>8.600972250000001E-2</v>
      </c>
      <c r="AR47" s="142">
        <f t="shared" si="53"/>
        <v>8.6009722500000017E-3</v>
      </c>
      <c r="AS47" s="143">
        <f t="shared" si="54"/>
        <v>0.25</v>
      </c>
      <c r="AT47" s="143">
        <f t="shared" si="55"/>
        <v>8.61526736875E-2</v>
      </c>
      <c r="AU47" s="142">
        <f>10068.2*J47*POWER(10,-6)</f>
        <v>4.1054847434999998E-3</v>
      </c>
      <c r="AV47" s="143">
        <f t="shared" si="51"/>
        <v>0.43486885318099999</v>
      </c>
      <c r="AW47" s="144">
        <f t="shared" si="56"/>
        <v>0</v>
      </c>
      <c r="AX47" s="144">
        <f t="shared" si="57"/>
        <v>4.0000000000000009E-7</v>
      </c>
      <c r="AY47" s="144">
        <f t="shared" si="60"/>
        <v>1.7394754127240004E-7</v>
      </c>
      <c r="AZ47" s="289">
        <f>AW47/[1]DB!$B$23</f>
        <v>0</v>
      </c>
      <c r="BA47" s="289">
        <f>AX47/[1]DB!$B$23</f>
        <v>4.8192771084337365E-10</v>
      </c>
    </row>
    <row r="48" spans="1:53" s="139" customFormat="1" x14ac:dyDescent="0.3">
      <c r="A48" s="130" t="s">
        <v>744</v>
      </c>
      <c r="B48" s="130" t="str">
        <f>B42</f>
        <v>Экспортный напорный резервуар С-1 (сепаратор), нефть, попутный нефтяной газ</v>
      </c>
      <c r="C48" s="13" t="s">
        <v>163</v>
      </c>
      <c r="D48" s="132" t="s">
        <v>112</v>
      </c>
      <c r="E48" s="145">
        <f>E46</f>
        <v>1.0000000000000001E-5</v>
      </c>
      <c r="F48" s="146">
        <f t="shared" si="59"/>
        <v>1</v>
      </c>
      <c r="G48" s="130">
        <v>0.15200000000000002</v>
      </c>
      <c r="H48" s="134">
        <f t="shared" si="52"/>
        <v>1.5200000000000003E-6</v>
      </c>
      <c r="I48" s="147">
        <f>I45*0.15</f>
        <v>0.4077675</v>
      </c>
      <c r="J48" s="136">
        <f>I48</f>
        <v>0.4077675</v>
      </c>
      <c r="K48" s="334" t="s">
        <v>466</v>
      </c>
      <c r="L48" s="287" t="s">
        <v>642</v>
      </c>
      <c r="M48" s="139" t="str">
        <f t="shared" si="48"/>
        <v>C37</v>
      </c>
      <c r="N48" s="139" t="str">
        <f t="shared" si="49"/>
        <v>Экспортный напорный резервуар С-1 (сепаратор), нефть, попутный нефтяной газ</v>
      </c>
      <c r="O48" s="139" t="str">
        <f t="shared" si="50"/>
        <v>Частичное-пожар-вспышка</v>
      </c>
      <c r="P48" s="139" t="s">
        <v>46</v>
      </c>
      <c r="Q48" s="139" t="s">
        <v>46</v>
      </c>
      <c r="R48" s="139" t="s">
        <v>46</v>
      </c>
      <c r="S48" s="139" t="s">
        <v>46</v>
      </c>
      <c r="T48" s="139" t="s">
        <v>46</v>
      </c>
      <c r="U48" s="139" t="s">
        <v>46</v>
      </c>
      <c r="V48" s="139" t="s">
        <v>46</v>
      </c>
      <c r="W48" s="139" t="s">
        <v>46</v>
      </c>
      <c r="X48" s="139" t="s">
        <v>46</v>
      </c>
      <c r="Y48" s="139" t="s">
        <v>46</v>
      </c>
      <c r="Z48" s="139" t="s">
        <v>46</v>
      </c>
      <c r="AA48" s="139">
        <v>24.93</v>
      </c>
      <c r="AB48" s="139">
        <v>29.92</v>
      </c>
      <c r="AC48" s="139" t="s">
        <v>46</v>
      </c>
      <c r="AD48" s="139" t="s">
        <v>46</v>
      </c>
      <c r="AE48" s="139" t="s">
        <v>46</v>
      </c>
      <c r="AF48" s="139" t="s">
        <v>46</v>
      </c>
      <c r="AG48" s="139" t="s">
        <v>46</v>
      </c>
      <c r="AH48" s="139" t="s">
        <v>46</v>
      </c>
      <c r="AI48" s="139" t="s">
        <v>46</v>
      </c>
      <c r="AJ48" s="139">
        <v>0</v>
      </c>
      <c r="AK48" s="139">
        <v>1</v>
      </c>
      <c r="AL48" s="139">
        <f>0.1*$AL$2</f>
        <v>7.5000000000000011E-2</v>
      </c>
      <c r="AM48" s="139">
        <f>AM42</f>
        <v>2.7E-2</v>
      </c>
      <c r="AN48" s="139">
        <f>ROUNDUP(AN42/3,0)</f>
        <v>1</v>
      </c>
      <c r="AQ48" s="142">
        <f>AM48*I48+AL48</f>
        <v>8.600972250000001E-2</v>
      </c>
      <c r="AR48" s="142">
        <f t="shared" si="53"/>
        <v>8.6009722500000017E-3</v>
      </c>
      <c r="AS48" s="143">
        <f t="shared" si="54"/>
        <v>0.25</v>
      </c>
      <c r="AT48" s="143">
        <f t="shared" si="55"/>
        <v>8.61526736875E-2</v>
      </c>
      <c r="AU48" s="142">
        <f>10068.2*J48*POWER(10,-6)</f>
        <v>4.1054847434999998E-3</v>
      </c>
      <c r="AV48" s="143">
        <f t="shared" si="51"/>
        <v>0.43486885318099999</v>
      </c>
      <c r="AW48" s="144">
        <f t="shared" si="56"/>
        <v>0</v>
      </c>
      <c r="AX48" s="144">
        <f t="shared" si="57"/>
        <v>1.5200000000000003E-6</v>
      </c>
      <c r="AY48" s="144">
        <f t="shared" si="60"/>
        <v>6.6100065683512012E-7</v>
      </c>
      <c r="AZ48" s="289">
        <f>AW48/[1]DB!$B$23</f>
        <v>0</v>
      </c>
      <c r="BA48" s="289">
        <f>AX48/[1]DB!$B$23</f>
        <v>1.8313253012048197E-9</v>
      </c>
    </row>
    <row r="49" spans="1:53" s="139" customFormat="1" ht="15" thickBot="1" x14ac:dyDescent="0.35">
      <c r="A49" s="130" t="s">
        <v>745</v>
      </c>
      <c r="B49" s="130" t="str">
        <f>B42</f>
        <v>Экспортный напорный резервуар С-1 (сепаратор), нефть, попутный нефтяной газ</v>
      </c>
      <c r="C49" s="13" t="s">
        <v>164</v>
      </c>
      <c r="D49" s="132" t="s">
        <v>27</v>
      </c>
      <c r="E49" s="145">
        <f>E46</f>
        <v>1.0000000000000001E-5</v>
      </c>
      <c r="F49" s="146">
        <f t="shared" si="59"/>
        <v>1</v>
      </c>
      <c r="G49" s="130">
        <v>0.6080000000000001</v>
      </c>
      <c r="H49" s="134">
        <f t="shared" si="52"/>
        <v>6.0800000000000011E-6</v>
      </c>
      <c r="I49" s="147">
        <f>I45*0.15</f>
        <v>0.4077675</v>
      </c>
      <c r="J49" s="150">
        <v>0</v>
      </c>
      <c r="K49" s="153"/>
      <c r="L49" s="154"/>
      <c r="M49" s="139" t="str">
        <f t="shared" si="48"/>
        <v>C38</v>
      </c>
      <c r="N49" s="139" t="str">
        <f t="shared" si="49"/>
        <v>Экспортный напорный резервуар С-1 (сепаратор), нефть, попутный нефтяной газ</v>
      </c>
      <c r="O49" s="139" t="str">
        <f t="shared" si="50"/>
        <v>Частичное-ликвидация</v>
      </c>
      <c r="P49" s="139" t="s">
        <v>46</v>
      </c>
      <c r="Q49" s="139" t="s">
        <v>46</v>
      </c>
      <c r="R49" s="139" t="s">
        <v>46</v>
      </c>
      <c r="S49" s="139" t="s">
        <v>46</v>
      </c>
      <c r="T49" s="139" t="s">
        <v>46</v>
      </c>
      <c r="U49" s="139" t="s">
        <v>46</v>
      </c>
      <c r="V49" s="139" t="s">
        <v>46</v>
      </c>
      <c r="W49" s="139" t="s">
        <v>46</v>
      </c>
      <c r="X49" s="139" t="s">
        <v>46</v>
      </c>
      <c r="Y49" s="139" t="s">
        <v>46</v>
      </c>
      <c r="Z49" s="139" t="s">
        <v>46</v>
      </c>
      <c r="AA49" s="139" t="s">
        <v>46</v>
      </c>
      <c r="AB49" s="139" t="s">
        <v>46</v>
      </c>
      <c r="AC49" s="139" t="s">
        <v>46</v>
      </c>
      <c r="AD49" s="139" t="s">
        <v>46</v>
      </c>
      <c r="AE49" s="139" t="s">
        <v>46</v>
      </c>
      <c r="AF49" s="139" t="s">
        <v>46</v>
      </c>
      <c r="AG49" s="139" t="s">
        <v>46</v>
      </c>
      <c r="AH49" s="139" t="s">
        <v>46</v>
      </c>
      <c r="AI49" s="139" t="s">
        <v>46</v>
      </c>
      <c r="AJ49" s="139">
        <v>0</v>
      </c>
      <c r="AK49" s="139">
        <v>0</v>
      </c>
      <c r="AL49" s="139">
        <f>0.1*$AL$2</f>
        <v>7.5000000000000011E-2</v>
      </c>
      <c r="AM49" s="139">
        <f>AM42</f>
        <v>2.7E-2</v>
      </c>
      <c r="AN49" s="139">
        <f>ROUNDUP(AN42/3,0)</f>
        <v>1</v>
      </c>
      <c r="AQ49" s="142">
        <f>AM49*I49*0.1+AL49</f>
        <v>7.610097225000001E-2</v>
      </c>
      <c r="AR49" s="142">
        <f t="shared" si="53"/>
        <v>7.610097225000001E-3</v>
      </c>
      <c r="AS49" s="143">
        <f t="shared" si="54"/>
        <v>0</v>
      </c>
      <c r="AT49" s="143">
        <f t="shared" si="55"/>
        <v>2.0927767368750003E-2</v>
      </c>
      <c r="AU49" s="142">
        <f>1333*J47*POWER(10,-6)</f>
        <v>5.4355407750000004E-4</v>
      </c>
      <c r="AV49" s="143">
        <f t="shared" si="51"/>
        <v>0.10518239092125001</v>
      </c>
      <c r="AW49" s="144">
        <f t="shared" si="56"/>
        <v>0</v>
      </c>
      <c r="AX49" s="144">
        <f t="shared" si="57"/>
        <v>0</v>
      </c>
      <c r="AY49" s="144">
        <f t="shared" si="60"/>
        <v>6.395089368012002E-7</v>
      </c>
      <c r="AZ49" s="289">
        <f>AW49/[1]DB!$B$23</f>
        <v>0</v>
      </c>
      <c r="BA49" s="289">
        <f>AX49/[1]DB!$B$23</f>
        <v>0</v>
      </c>
    </row>
    <row r="50" spans="1:53" s="139" customFormat="1" x14ac:dyDescent="0.3">
      <c r="A50" s="193" t="s">
        <v>746</v>
      </c>
      <c r="B50" s="193" t="str">
        <f>B42</f>
        <v>Экспортный напорный резервуар С-1 (сепаратор), нефть, попутный нефтяной газ</v>
      </c>
      <c r="C50" s="193" t="s">
        <v>341</v>
      </c>
      <c r="D50" s="193" t="s">
        <v>342</v>
      </c>
      <c r="E50" s="194">
        <v>2.5000000000000001E-5</v>
      </c>
      <c r="F50" s="146">
        <v>1</v>
      </c>
      <c r="G50" s="193">
        <v>1</v>
      </c>
      <c r="H50" s="195">
        <f t="shared" si="52"/>
        <v>2.5000000000000001E-5</v>
      </c>
      <c r="I50" s="196">
        <f>I42</f>
        <v>18.123000000000001</v>
      </c>
      <c r="J50" s="196">
        <f>J42*0.1</f>
        <v>1.8123000000000002</v>
      </c>
      <c r="K50" s="193"/>
      <c r="L50" s="193"/>
      <c r="M50" s="197" t="str">
        <f t="shared" si="48"/>
        <v>C39</v>
      </c>
      <c r="N50" s="197"/>
      <c r="O50" s="197"/>
      <c r="P50" s="197">
        <v>12.3</v>
      </c>
      <c r="Q50" s="197">
        <v>17.2</v>
      </c>
      <c r="R50" s="197">
        <v>25.1</v>
      </c>
      <c r="S50" s="197">
        <v>48.2</v>
      </c>
      <c r="T50" s="197"/>
      <c r="U50" s="197"/>
      <c r="V50" s="197" t="s">
        <v>46</v>
      </c>
      <c r="W50" s="197" t="s">
        <v>46</v>
      </c>
      <c r="X50" s="197" t="s">
        <v>46</v>
      </c>
      <c r="Y50" s="197" t="s">
        <v>46</v>
      </c>
      <c r="Z50" s="197"/>
      <c r="AA50" s="197"/>
      <c r="AB50" s="197"/>
      <c r="AC50" s="197"/>
      <c r="AD50" s="197"/>
      <c r="AE50" s="197">
        <v>27</v>
      </c>
      <c r="AF50" s="197">
        <v>55</v>
      </c>
      <c r="AG50" s="197">
        <v>70</v>
      </c>
      <c r="AH50" s="197">
        <v>95.5</v>
      </c>
      <c r="AI50" s="197"/>
      <c r="AJ50" s="197">
        <v>0</v>
      </c>
      <c r="AK50" s="197">
        <v>2</v>
      </c>
      <c r="AL50" s="197">
        <f>AL42</f>
        <v>0.75</v>
      </c>
      <c r="AM50" s="197">
        <f>AM42</f>
        <v>2.7E-2</v>
      </c>
      <c r="AN50" s="197">
        <v>5</v>
      </c>
      <c r="AO50" s="197"/>
      <c r="AP50" s="197"/>
      <c r="AQ50" s="198">
        <f>AM50*I50+AL50</f>
        <v>1.2393209999999999</v>
      </c>
      <c r="AR50" s="198">
        <f>0.1*AQ50</f>
        <v>0.12393209999999999</v>
      </c>
      <c r="AS50" s="199">
        <f>AJ50*3+0.25*AK50</f>
        <v>0.5</v>
      </c>
      <c r="AT50" s="199">
        <f>SUM(AQ50:AS50)/4</f>
        <v>0.46581327499999997</v>
      </c>
      <c r="AU50" s="198">
        <f>10068.2*J50*POWER(10,-6)</f>
        <v>1.8246598860000005E-2</v>
      </c>
      <c r="AV50" s="199">
        <f t="shared" si="51"/>
        <v>2.3473129738599998</v>
      </c>
      <c r="AW50" s="200">
        <f>AJ50*H50</f>
        <v>0</v>
      </c>
      <c r="AX50" s="200">
        <f>H50*AK50</f>
        <v>5.0000000000000002E-5</v>
      </c>
      <c r="AY50" s="200">
        <f>H50*AV50</f>
        <v>5.8682824346499995E-5</v>
      </c>
      <c r="AZ50" s="289">
        <f>AW50/[1]DB!$B$23</f>
        <v>0</v>
      </c>
      <c r="BA50" s="289">
        <f>AX50/[1]DB!$B$23</f>
        <v>6.0240963855421685E-8</v>
      </c>
    </row>
    <row r="51" spans="1:53" ht="15" thickBot="1" x14ac:dyDescent="0.35"/>
    <row r="52" spans="1:53" s="139" customFormat="1" ht="18" customHeight="1" x14ac:dyDescent="0.3">
      <c r="A52" s="130" t="s">
        <v>747</v>
      </c>
      <c r="B52" s="131" t="s">
        <v>658</v>
      </c>
      <c r="C52" s="13" t="s">
        <v>143</v>
      </c>
      <c r="D52" s="132" t="s">
        <v>25</v>
      </c>
      <c r="E52" s="133">
        <v>9.9999999999999995E-7</v>
      </c>
      <c r="F52" s="131">
        <v>2</v>
      </c>
      <c r="G52" s="130">
        <v>0.05</v>
      </c>
      <c r="H52" s="134">
        <f>E52*F52*G52</f>
        <v>9.9999999999999995E-8</v>
      </c>
      <c r="I52" s="135">
        <v>120.73</v>
      </c>
      <c r="J52" s="136">
        <f>I52</f>
        <v>120.73</v>
      </c>
      <c r="K52" s="137" t="s">
        <v>122</v>
      </c>
      <c r="L52" s="138">
        <v>130</v>
      </c>
      <c r="M52" s="139" t="str">
        <f t="shared" ref="M52:M60" si="61">A52</f>
        <v>C40</v>
      </c>
      <c r="N52" s="139" t="str">
        <f t="shared" ref="N52:N59" si="62">B52</f>
        <v>Сосуд горизонтальный БЕ-2.1-2.2, нефть, попутный нефтяной газ, пластовая вода</v>
      </c>
      <c r="O52" s="139" t="str">
        <f t="shared" ref="O52:O59" si="63">D52</f>
        <v>Полное-пожар</v>
      </c>
      <c r="P52" s="139">
        <v>9.1999999999999993</v>
      </c>
      <c r="Q52" s="139">
        <v>13.1</v>
      </c>
      <c r="R52" s="139">
        <v>19.3</v>
      </c>
      <c r="S52" s="139">
        <v>37.6</v>
      </c>
      <c r="T52" s="139" t="s">
        <v>46</v>
      </c>
      <c r="U52" s="139" t="s">
        <v>46</v>
      </c>
      <c r="V52" s="139" t="s">
        <v>46</v>
      </c>
      <c r="W52" s="139" t="s">
        <v>46</v>
      </c>
      <c r="X52" s="139" t="s">
        <v>46</v>
      </c>
      <c r="Y52" s="139" t="s">
        <v>46</v>
      </c>
      <c r="Z52" s="139" t="s">
        <v>46</v>
      </c>
      <c r="AA52" s="139" t="s">
        <v>46</v>
      </c>
      <c r="AB52" s="139" t="s">
        <v>46</v>
      </c>
      <c r="AC52" s="139" t="s">
        <v>46</v>
      </c>
      <c r="AD52" s="139" t="s">
        <v>46</v>
      </c>
      <c r="AE52" s="139" t="s">
        <v>46</v>
      </c>
      <c r="AF52" s="139" t="s">
        <v>46</v>
      </c>
      <c r="AG52" s="139" t="s">
        <v>46</v>
      </c>
      <c r="AH52" s="139" t="s">
        <v>46</v>
      </c>
      <c r="AI52" s="139" t="s">
        <v>46</v>
      </c>
      <c r="AJ52" s="140">
        <v>0</v>
      </c>
      <c r="AK52" s="140">
        <v>2</v>
      </c>
      <c r="AL52" s="141">
        <v>0.75</v>
      </c>
      <c r="AM52" s="141">
        <v>2.7E-2</v>
      </c>
      <c r="AN52" s="141">
        <v>3</v>
      </c>
      <c r="AQ52" s="142">
        <f>AM52*I52+AL52</f>
        <v>4.0097100000000001</v>
      </c>
      <c r="AR52" s="142">
        <f>0.1*AQ52</f>
        <v>0.40097100000000002</v>
      </c>
      <c r="AS52" s="143">
        <f>AJ52*3+0.25*AK52</f>
        <v>0.5</v>
      </c>
      <c r="AT52" s="143">
        <f>SUM(AQ52:AS52)/4</f>
        <v>1.2276702500000001</v>
      </c>
      <c r="AU52" s="142">
        <f>10068.2*J52*POWER(10,-6)</f>
        <v>1.2155337859999999</v>
      </c>
      <c r="AV52" s="143">
        <f t="shared" ref="AV52:AV60" si="64">AU52+AT52+AS52+AR52+AQ52</f>
        <v>7.3538850360000003</v>
      </c>
      <c r="AW52" s="144">
        <f>AJ52*H52</f>
        <v>0</v>
      </c>
      <c r="AX52" s="144">
        <f>H52*AK52</f>
        <v>1.9999999999999999E-7</v>
      </c>
      <c r="AY52" s="144">
        <f>H52*AV52</f>
        <v>7.3538850360000002E-7</v>
      </c>
      <c r="AZ52" s="289">
        <f>AW52/[1]DB!$B$23</f>
        <v>0</v>
      </c>
      <c r="BA52" s="289">
        <f>AX52/[1]DB!$B$23</f>
        <v>2.4096385542168672E-10</v>
      </c>
    </row>
    <row r="53" spans="1:53" s="139" customFormat="1" x14ac:dyDescent="0.3">
      <c r="A53" s="130" t="s">
        <v>748</v>
      </c>
      <c r="B53" s="130" t="str">
        <f>B52</f>
        <v>Сосуд горизонтальный БЕ-2.1-2.2, нефть, попутный нефтяной газ, пластовая вода</v>
      </c>
      <c r="C53" s="13" t="s">
        <v>149</v>
      </c>
      <c r="D53" s="132" t="s">
        <v>28</v>
      </c>
      <c r="E53" s="145">
        <f>E52</f>
        <v>9.9999999999999995E-7</v>
      </c>
      <c r="F53" s="146">
        <f>F52</f>
        <v>2</v>
      </c>
      <c r="G53" s="130">
        <v>0.19</v>
      </c>
      <c r="H53" s="134">
        <f t="shared" ref="H53:H60" si="65">E53*F53*G53</f>
        <v>3.7999999999999996E-7</v>
      </c>
      <c r="I53" s="147">
        <f>I52</f>
        <v>120.73</v>
      </c>
      <c r="J53" s="333">
        <f>POWER(10,-6)*35*SQRT(100)*3600*L52/1000*0.1</f>
        <v>1.6379999999999999E-2</v>
      </c>
      <c r="K53" s="148" t="s">
        <v>123</v>
      </c>
      <c r="L53" s="149">
        <v>2</v>
      </c>
      <c r="M53" s="139" t="str">
        <f t="shared" si="61"/>
        <v>C41</v>
      </c>
      <c r="N53" s="139" t="str">
        <f t="shared" si="62"/>
        <v>Сосуд горизонтальный БЕ-2.1-2.2, нефть, попутный нефтяной газ, пластовая вода</v>
      </c>
      <c r="O53" s="139" t="str">
        <f t="shared" si="63"/>
        <v>Полное-взрыв</v>
      </c>
      <c r="P53" s="139" t="s">
        <v>46</v>
      </c>
      <c r="Q53" s="139" t="s">
        <v>46</v>
      </c>
      <c r="R53" s="139" t="s">
        <v>46</v>
      </c>
      <c r="S53" s="139" t="s">
        <v>46</v>
      </c>
      <c r="T53" s="139">
        <v>0</v>
      </c>
      <c r="U53" s="139">
        <v>0</v>
      </c>
      <c r="V53" s="139">
        <v>19.100000000000001</v>
      </c>
      <c r="W53" s="139">
        <v>64.099999999999994</v>
      </c>
      <c r="X53" s="139">
        <v>93.6</v>
      </c>
      <c r="Y53" s="139" t="s">
        <v>46</v>
      </c>
      <c r="Z53" s="139" t="s">
        <v>46</v>
      </c>
      <c r="AA53" s="139" t="s">
        <v>46</v>
      </c>
      <c r="AB53" s="139" t="s">
        <v>46</v>
      </c>
      <c r="AC53" s="139" t="s">
        <v>46</v>
      </c>
      <c r="AD53" s="139" t="s">
        <v>46</v>
      </c>
      <c r="AE53" s="139" t="s">
        <v>46</v>
      </c>
      <c r="AF53" s="139" t="s">
        <v>46</v>
      </c>
      <c r="AG53" s="139" t="s">
        <v>46</v>
      </c>
      <c r="AH53" s="139" t="s">
        <v>46</v>
      </c>
      <c r="AI53" s="139" t="s">
        <v>46</v>
      </c>
      <c r="AJ53" s="140">
        <v>1</v>
      </c>
      <c r="AK53" s="140">
        <v>2</v>
      </c>
      <c r="AL53" s="139">
        <f>AL52</f>
        <v>0.75</v>
      </c>
      <c r="AM53" s="139">
        <f>AM52</f>
        <v>2.7E-2</v>
      </c>
      <c r="AN53" s="139">
        <f>AN52</f>
        <v>3</v>
      </c>
      <c r="AQ53" s="142">
        <f>AM53*I53+AL53</f>
        <v>4.0097100000000001</v>
      </c>
      <c r="AR53" s="142">
        <f t="shared" ref="AR53:AR59" si="66">0.1*AQ53</f>
        <v>0.40097100000000002</v>
      </c>
      <c r="AS53" s="143">
        <f t="shared" ref="AS53:AS59" si="67">AJ53*3+0.25*AK53</f>
        <v>3.5</v>
      </c>
      <c r="AT53" s="143">
        <f t="shared" ref="AT53:AT59" si="68">SUM(AQ53:AS53)/4</f>
        <v>1.9776702500000001</v>
      </c>
      <c r="AU53" s="142">
        <f>10068.2*J53*POWER(10,-6)*10</f>
        <v>1.6491711599999999E-3</v>
      </c>
      <c r="AV53" s="143">
        <f t="shared" si="64"/>
        <v>9.8900004211599999</v>
      </c>
      <c r="AW53" s="144">
        <f t="shared" ref="AW53:AW59" si="69">AJ53*H53</f>
        <v>3.7999999999999996E-7</v>
      </c>
      <c r="AX53" s="144">
        <f t="shared" ref="AX53:AX59" si="70">H53*AK53</f>
        <v>7.5999999999999992E-7</v>
      </c>
      <c r="AY53" s="144">
        <f t="shared" ref="AY53" si="71">H53*AV53</f>
        <v>3.7582001600407995E-6</v>
      </c>
      <c r="AZ53" s="289">
        <f>AW53/[1]DB!$B$23</f>
        <v>4.5783132530120476E-10</v>
      </c>
      <c r="BA53" s="289">
        <f>AX53/[1]DB!$B$23</f>
        <v>9.1566265060240952E-10</v>
      </c>
    </row>
    <row r="54" spans="1:53" s="139" customFormat="1" x14ac:dyDescent="0.3">
      <c r="A54" s="130" t="s">
        <v>749</v>
      </c>
      <c r="B54" s="130" t="str">
        <f>B52</f>
        <v>Сосуд горизонтальный БЕ-2.1-2.2, нефть, попутный нефтяной газ, пластовая вода</v>
      </c>
      <c r="C54" s="13" t="s">
        <v>188</v>
      </c>
      <c r="D54" s="132" t="s">
        <v>26</v>
      </c>
      <c r="E54" s="145">
        <f>E52</f>
        <v>9.9999999999999995E-7</v>
      </c>
      <c r="F54" s="146">
        <f t="shared" ref="F54:F59" si="72">F53</f>
        <v>2</v>
      </c>
      <c r="G54" s="130">
        <v>0.76</v>
      </c>
      <c r="H54" s="134">
        <f t="shared" si="65"/>
        <v>1.5199999999999998E-6</v>
      </c>
      <c r="I54" s="147">
        <f>I52</f>
        <v>120.73</v>
      </c>
      <c r="J54" s="150">
        <v>0</v>
      </c>
      <c r="K54" s="148" t="s">
        <v>124</v>
      </c>
      <c r="L54" s="149">
        <v>1.05</v>
      </c>
      <c r="M54" s="139" t="str">
        <f t="shared" si="61"/>
        <v>C42</v>
      </c>
      <c r="N54" s="139" t="str">
        <f t="shared" si="62"/>
        <v>Сосуд горизонтальный БЕ-2.1-2.2, нефть, попутный нефтяной газ, пластовая вода</v>
      </c>
      <c r="O54" s="139" t="str">
        <f t="shared" si="63"/>
        <v>Полное-ликвидация</v>
      </c>
      <c r="P54" s="139" t="s">
        <v>46</v>
      </c>
      <c r="Q54" s="139" t="s">
        <v>46</v>
      </c>
      <c r="R54" s="139" t="s">
        <v>46</v>
      </c>
      <c r="S54" s="139" t="s">
        <v>46</v>
      </c>
      <c r="T54" s="139" t="s">
        <v>46</v>
      </c>
      <c r="U54" s="139" t="s">
        <v>46</v>
      </c>
      <c r="V54" s="139" t="s">
        <v>46</v>
      </c>
      <c r="W54" s="139" t="s">
        <v>46</v>
      </c>
      <c r="X54" s="139" t="s">
        <v>46</v>
      </c>
      <c r="Y54" s="139" t="s">
        <v>46</v>
      </c>
      <c r="Z54" s="139" t="s">
        <v>46</v>
      </c>
      <c r="AA54" s="139" t="s">
        <v>46</v>
      </c>
      <c r="AB54" s="139" t="s">
        <v>46</v>
      </c>
      <c r="AC54" s="139" t="s">
        <v>46</v>
      </c>
      <c r="AD54" s="139" t="s">
        <v>46</v>
      </c>
      <c r="AE54" s="139" t="s">
        <v>46</v>
      </c>
      <c r="AF54" s="139" t="s">
        <v>46</v>
      </c>
      <c r="AG54" s="139" t="s">
        <v>46</v>
      </c>
      <c r="AH54" s="139" t="s">
        <v>46</v>
      </c>
      <c r="AI54" s="139" t="s">
        <v>46</v>
      </c>
      <c r="AJ54" s="139">
        <v>0</v>
      </c>
      <c r="AK54" s="139">
        <v>0</v>
      </c>
      <c r="AL54" s="139">
        <f>AL52</f>
        <v>0.75</v>
      </c>
      <c r="AM54" s="139">
        <f>AM52</f>
        <v>2.7E-2</v>
      </c>
      <c r="AN54" s="139">
        <f>AN52</f>
        <v>3</v>
      </c>
      <c r="AQ54" s="142">
        <f>AM54*I54*0.1+AL54</f>
        <v>1.075971</v>
      </c>
      <c r="AR54" s="142">
        <f t="shared" si="66"/>
        <v>0.1075971</v>
      </c>
      <c r="AS54" s="143">
        <f t="shared" si="67"/>
        <v>0</v>
      </c>
      <c r="AT54" s="143">
        <f t="shared" si="68"/>
        <v>0.295892025</v>
      </c>
      <c r="AU54" s="142">
        <f>1333*J52*POWER(10,-6)</f>
        <v>0.16093309</v>
      </c>
      <c r="AV54" s="143">
        <f t="shared" si="64"/>
        <v>1.640393215</v>
      </c>
      <c r="AW54" s="144">
        <f t="shared" si="69"/>
        <v>0</v>
      </c>
      <c r="AX54" s="144">
        <f t="shared" si="70"/>
        <v>0</v>
      </c>
      <c r="AY54" s="144">
        <f>H54*AV54</f>
        <v>2.4933976867999997E-6</v>
      </c>
      <c r="AZ54" s="289">
        <f>AW54/[1]DB!$B$23</f>
        <v>0</v>
      </c>
      <c r="BA54" s="289">
        <f>AX54/[1]DB!$B$23</f>
        <v>0</v>
      </c>
    </row>
    <row r="55" spans="1:53" s="139" customFormat="1" x14ac:dyDescent="0.3">
      <c r="A55" s="130" t="s">
        <v>750</v>
      </c>
      <c r="B55" s="130" t="str">
        <f>B52</f>
        <v>Сосуд горизонтальный БЕ-2.1-2.2, нефть, попутный нефтяной газ, пластовая вода</v>
      </c>
      <c r="C55" s="13" t="s">
        <v>160</v>
      </c>
      <c r="D55" s="132" t="s">
        <v>161</v>
      </c>
      <c r="E55" s="133">
        <v>1.0000000000000001E-5</v>
      </c>
      <c r="F55" s="146">
        <f t="shared" si="72"/>
        <v>2</v>
      </c>
      <c r="G55" s="130">
        <v>4.0000000000000008E-2</v>
      </c>
      <c r="H55" s="134">
        <f t="shared" si="65"/>
        <v>8.0000000000000018E-7</v>
      </c>
      <c r="I55" s="147">
        <f>0.15*I52</f>
        <v>18.109500000000001</v>
      </c>
      <c r="J55" s="136">
        <f>I55</f>
        <v>18.109500000000001</v>
      </c>
      <c r="K55" s="148" t="s">
        <v>126</v>
      </c>
      <c r="L55" s="149">
        <v>45390</v>
      </c>
      <c r="M55" s="139" t="str">
        <f t="shared" si="61"/>
        <v>C43</v>
      </c>
      <c r="N55" s="139" t="str">
        <f t="shared" si="62"/>
        <v>Сосуд горизонтальный БЕ-2.1-2.2, нефть, попутный нефтяной газ, пластовая вода</v>
      </c>
      <c r="O55" s="139" t="str">
        <f t="shared" si="63"/>
        <v>Частичное факел</v>
      </c>
      <c r="P55" s="139" t="s">
        <v>46</v>
      </c>
      <c r="Q55" s="139" t="s">
        <v>46</v>
      </c>
      <c r="R55" s="139" t="s">
        <v>46</v>
      </c>
      <c r="S55" s="139" t="s">
        <v>46</v>
      </c>
      <c r="T55" s="139" t="s">
        <v>46</v>
      </c>
      <c r="U55" s="139" t="s">
        <v>46</v>
      </c>
      <c r="V55" s="139" t="s">
        <v>46</v>
      </c>
      <c r="W55" s="139" t="s">
        <v>46</v>
      </c>
      <c r="X55" s="139" t="s">
        <v>46</v>
      </c>
      <c r="Y55" s="139">
        <v>15</v>
      </c>
      <c r="Z55" s="139">
        <v>3</v>
      </c>
      <c r="AA55" s="139" t="s">
        <v>46</v>
      </c>
      <c r="AB55" s="139" t="s">
        <v>46</v>
      </c>
      <c r="AC55" s="139" t="s">
        <v>46</v>
      </c>
      <c r="AD55" s="139" t="s">
        <v>46</v>
      </c>
      <c r="AE55" s="139" t="s">
        <v>46</v>
      </c>
      <c r="AF55" s="139" t="s">
        <v>46</v>
      </c>
      <c r="AG55" s="139" t="s">
        <v>46</v>
      </c>
      <c r="AH55" s="139" t="s">
        <v>46</v>
      </c>
      <c r="AI55" s="139" t="s">
        <v>46</v>
      </c>
      <c r="AJ55" s="139">
        <v>0</v>
      </c>
      <c r="AK55" s="139">
        <v>1</v>
      </c>
      <c r="AL55" s="139">
        <f>0.1*$AL$2</f>
        <v>7.5000000000000011E-2</v>
      </c>
      <c r="AM55" s="139">
        <f>AM53</f>
        <v>2.7E-2</v>
      </c>
      <c r="AN55" s="139">
        <f>AN52</f>
        <v>3</v>
      </c>
      <c r="AQ55" s="142">
        <f>AM55*I55*0.1+AL55</f>
        <v>0.12389565000000002</v>
      </c>
      <c r="AR55" s="142">
        <f t="shared" si="66"/>
        <v>1.2389565000000003E-2</v>
      </c>
      <c r="AS55" s="143">
        <f t="shared" si="67"/>
        <v>0.25</v>
      </c>
      <c r="AT55" s="143">
        <f t="shared" si="68"/>
        <v>9.6571303750000004E-2</v>
      </c>
      <c r="AU55" s="142">
        <f>10068.2*J55*POWER(10,-6)</f>
        <v>0.1823300679</v>
      </c>
      <c r="AV55" s="143">
        <f t="shared" si="64"/>
        <v>0.66518658664999997</v>
      </c>
      <c r="AW55" s="144">
        <f t="shared" si="69"/>
        <v>0</v>
      </c>
      <c r="AX55" s="144">
        <f t="shared" si="70"/>
        <v>8.0000000000000018E-7</v>
      </c>
      <c r="AY55" s="144">
        <f t="shared" ref="AY55:AY59" si="73">H55*AV55</f>
        <v>5.3214926932000011E-7</v>
      </c>
      <c r="AZ55" s="289">
        <f>AW55/[1]DB!$B$23</f>
        <v>0</v>
      </c>
      <c r="BA55" s="289">
        <f>AX55/[1]DB!$B$23</f>
        <v>9.638554216867473E-10</v>
      </c>
    </row>
    <row r="56" spans="1:53" s="139" customFormat="1" x14ac:dyDescent="0.3">
      <c r="A56" s="130" t="s">
        <v>751</v>
      </c>
      <c r="B56" s="130" t="str">
        <f>B52</f>
        <v>Сосуд горизонтальный БЕ-2.1-2.2, нефть, попутный нефтяной газ, пластовая вода</v>
      </c>
      <c r="C56" s="13" t="s">
        <v>189</v>
      </c>
      <c r="D56" s="132" t="s">
        <v>27</v>
      </c>
      <c r="E56" s="145">
        <f>E55</f>
        <v>1.0000000000000001E-5</v>
      </c>
      <c r="F56" s="146">
        <f t="shared" si="72"/>
        <v>2</v>
      </c>
      <c r="G56" s="130">
        <v>0.16000000000000003</v>
      </c>
      <c r="H56" s="134">
        <f t="shared" si="65"/>
        <v>3.2000000000000007E-6</v>
      </c>
      <c r="I56" s="147">
        <f>0.15*I52</f>
        <v>18.109500000000001</v>
      </c>
      <c r="J56" s="136">
        <v>0</v>
      </c>
      <c r="K56" s="148" t="s">
        <v>127</v>
      </c>
      <c r="L56" s="149">
        <v>3</v>
      </c>
      <c r="M56" s="139" t="str">
        <f t="shared" si="61"/>
        <v>C44</v>
      </c>
      <c r="N56" s="139" t="str">
        <f t="shared" si="62"/>
        <v>Сосуд горизонтальный БЕ-2.1-2.2, нефть, попутный нефтяной газ, пластовая вода</v>
      </c>
      <c r="O56" s="139" t="str">
        <f t="shared" si="63"/>
        <v>Частичное-ликвидация</v>
      </c>
      <c r="P56" s="139" t="s">
        <v>46</v>
      </c>
      <c r="Q56" s="139" t="s">
        <v>46</v>
      </c>
      <c r="R56" s="139" t="s">
        <v>46</v>
      </c>
      <c r="S56" s="139" t="s">
        <v>46</v>
      </c>
      <c r="T56" s="139" t="s">
        <v>46</v>
      </c>
      <c r="U56" s="139" t="s">
        <v>46</v>
      </c>
      <c r="V56" s="139" t="s">
        <v>46</v>
      </c>
      <c r="W56" s="139" t="s">
        <v>46</v>
      </c>
      <c r="X56" s="139" t="s">
        <v>46</v>
      </c>
      <c r="Y56" s="139" t="s">
        <v>46</v>
      </c>
      <c r="Z56" s="139" t="s">
        <v>46</v>
      </c>
      <c r="AA56" s="139" t="s">
        <v>46</v>
      </c>
      <c r="AB56" s="139" t="s">
        <v>46</v>
      </c>
      <c r="AC56" s="139" t="s">
        <v>46</v>
      </c>
      <c r="AD56" s="139" t="s">
        <v>46</v>
      </c>
      <c r="AE56" s="139" t="s">
        <v>46</v>
      </c>
      <c r="AF56" s="139" t="s">
        <v>46</v>
      </c>
      <c r="AG56" s="139" t="s">
        <v>46</v>
      </c>
      <c r="AH56" s="139" t="s">
        <v>46</v>
      </c>
      <c r="AI56" s="139" t="s">
        <v>46</v>
      </c>
      <c r="AJ56" s="139">
        <v>0</v>
      </c>
      <c r="AK56" s="139">
        <v>1</v>
      </c>
      <c r="AL56" s="139">
        <f>0.1*$AL$2</f>
        <v>7.5000000000000011E-2</v>
      </c>
      <c r="AM56" s="139">
        <f>AM52</f>
        <v>2.7E-2</v>
      </c>
      <c r="AN56" s="139">
        <f>ROUNDUP(AN52/3,0)</f>
        <v>1</v>
      </c>
      <c r="AQ56" s="142">
        <f>AM56*I56+AL56</f>
        <v>0.56395649999999997</v>
      </c>
      <c r="AR56" s="142">
        <f t="shared" si="66"/>
        <v>5.6395649999999999E-2</v>
      </c>
      <c r="AS56" s="143">
        <f t="shared" si="67"/>
        <v>0.25</v>
      </c>
      <c r="AT56" s="143">
        <f t="shared" si="68"/>
        <v>0.2175880375</v>
      </c>
      <c r="AU56" s="142">
        <f>1333*J53*POWER(10,-6)*10</f>
        <v>2.1834539999999994E-4</v>
      </c>
      <c r="AV56" s="143">
        <f t="shared" si="64"/>
        <v>1.0881585329000001</v>
      </c>
      <c r="AW56" s="144">
        <f t="shared" si="69"/>
        <v>0</v>
      </c>
      <c r="AX56" s="144">
        <f t="shared" si="70"/>
        <v>3.2000000000000007E-6</v>
      </c>
      <c r="AY56" s="144">
        <f t="shared" si="73"/>
        <v>3.4821073052800009E-6</v>
      </c>
      <c r="AZ56" s="289">
        <f>AW56/[1]DB!$B$23</f>
        <v>0</v>
      </c>
      <c r="BA56" s="289">
        <f>AX56/[1]DB!$B$23</f>
        <v>3.8554216867469892E-9</v>
      </c>
    </row>
    <row r="57" spans="1:53" s="139" customFormat="1" x14ac:dyDescent="0.3">
      <c r="A57" s="130" t="s">
        <v>752</v>
      </c>
      <c r="B57" s="130" t="str">
        <f>B52</f>
        <v>Сосуд горизонтальный БЕ-2.1-2.2, нефть, попутный нефтяной газ, пластовая вода</v>
      </c>
      <c r="C57" s="13" t="s">
        <v>162</v>
      </c>
      <c r="D57" s="132" t="s">
        <v>161</v>
      </c>
      <c r="E57" s="145">
        <f>E56</f>
        <v>1.0000000000000001E-5</v>
      </c>
      <c r="F57" s="146">
        <f t="shared" si="72"/>
        <v>2</v>
      </c>
      <c r="G57" s="130">
        <v>4.0000000000000008E-2</v>
      </c>
      <c r="H57" s="134">
        <f t="shared" si="65"/>
        <v>8.0000000000000018E-7</v>
      </c>
      <c r="I57" s="147">
        <f>I55*0.15</f>
        <v>2.7164250000000001</v>
      </c>
      <c r="J57" s="136">
        <f>I57</f>
        <v>2.7164250000000001</v>
      </c>
      <c r="K57" s="151" t="s">
        <v>138</v>
      </c>
      <c r="L57" s="152">
        <v>12</v>
      </c>
      <c r="M57" s="139" t="str">
        <f t="shared" si="61"/>
        <v>C45</v>
      </c>
      <c r="N57" s="139" t="str">
        <f t="shared" si="62"/>
        <v>Сосуд горизонтальный БЕ-2.1-2.2, нефть, попутный нефтяной газ, пластовая вода</v>
      </c>
      <c r="O57" s="139" t="str">
        <f t="shared" si="63"/>
        <v>Частичное факел</v>
      </c>
      <c r="P57" s="139" t="s">
        <v>46</v>
      </c>
      <c r="Q57" s="139" t="s">
        <v>46</v>
      </c>
      <c r="R57" s="139" t="s">
        <v>46</v>
      </c>
      <c r="S57" s="139" t="s">
        <v>46</v>
      </c>
      <c r="T57" s="139" t="s">
        <v>46</v>
      </c>
      <c r="U57" s="139" t="s">
        <v>46</v>
      </c>
      <c r="V57" s="139" t="s">
        <v>46</v>
      </c>
      <c r="W57" s="139" t="s">
        <v>46</v>
      </c>
      <c r="X57" s="139" t="s">
        <v>46</v>
      </c>
      <c r="Y57" s="139">
        <v>11</v>
      </c>
      <c r="Z57" s="139">
        <v>2</v>
      </c>
      <c r="AA57" s="139" t="s">
        <v>46</v>
      </c>
      <c r="AB57" s="139" t="s">
        <v>46</v>
      </c>
      <c r="AC57" s="139" t="s">
        <v>46</v>
      </c>
      <c r="AD57" s="139" t="s">
        <v>46</v>
      </c>
      <c r="AE57" s="139" t="s">
        <v>46</v>
      </c>
      <c r="AF57" s="139" t="s">
        <v>46</v>
      </c>
      <c r="AG57" s="139" t="s">
        <v>46</v>
      </c>
      <c r="AH57" s="139" t="s">
        <v>46</v>
      </c>
      <c r="AI57" s="139" t="s">
        <v>46</v>
      </c>
      <c r="AJ57" s="139">
        <v>0</v>
      </c>
      <c r="AK57" s="139">
        <v>1</v>
      </c>
      <c r="AL57" s="139">
        <f>0.1*$AL$2</f>
        <v>7.5000000000000011E-2</v>
      </c>
      <c r="AM57" s="139">
        <f>AM52</f>
        <v>2.7E-2</v>
      </c>
      <c r="AN57" s="139">
        <f>AN56</f>
        <v>1</v>
      </c>
      <c r="AQ57" s="142">
        <f>AM57*I57+AL57</f>
        <v>0.148343475</v>
      </c>
      <c r="AR57" s="142">
        <f t="shared" si="66"/>
        <v>1.4834347500000001E-2</v>
      </c>
      <c r="AS57" s="143">
        <f t="shared" si="67"/>
        <v>0.25</v>
      </c>
      <c r="AT57" s="143">
        <f t="shared" si="68"/>
        <v>0.103294455625</v>
      </c>
      <c r="AU57" s="142">
        <f>10068.2*J57*POWER(10,-6)</f>
        <v>2.7349510185000002E-2</v>
      </c>
      <c r="AV57" s="143">
        <f t="shared" si="64"/>
        <v>0.54382178831000005</v>
      </c>
      <c r="AW57" s="144">
        <f t="shared" si="69"/>
        <v>0</v>
      </c>
      <c r="AX57" s="144">
        <f t="shared" si="70"/>
        <v>8.0000000000000018E-7</v>
      </c>
      <c r="AY57" s="144">
        <f t="shared" si="73"/>
        <v>4.3505743064800014E-7</v>
      </c>
      <c r="AZ57" s="289">
        <f>AW57/[1]DB!$B$23</f>
        <v>0</v>
      </c>
      <c r="BA57" s="289">
        <f>AX57/[1]DB!$B$23</f>
        <v>9.638554216867473E-10</v>
      </c>
    </row>
    <row r="58" spans="1:53" s="139" customFormat="1" x14ac:dyDescent="0.3">
      <c r="A58" s="130" t="s">
        <v>753</v>
      </c>
      <c r="B58" s="130" t="str">
        <f>B52</f>
        <v>Сосуд горизонтальный БЕ-2.1-2.2, нефть, попутный нефтяной газ, пластовая вода</v>
      </c>
      <c r="C58" s="13" t="s">
        <v>163</v>
      </c>
      <c r="D58" s="132" t="s">
        <v>112</v>
      </c>
      <c r="E58" s="145">
        <f>E56</f>
        <v>1.0000000000000001E-5</v>
      </c>
      <c r="F58" s="146">
        <f t="shared" si="72"/>
        <v>2</v>
      </c>
      <c r="G58" s="130">
        <v>0.15200000000000002</v>
      </c>
      <c r="H58" s="134">
        <f t="shared" si="65"/>
        <v>3.0400000000000005E-6</v>
      </c>
      <c r="I58" s="147">
        <f>I55*0.15</f>
        <v>2.7164250000000001</v>
      </c>
      <c r="J58" s="136">
        <f>I58</f>
        <v>2.7164250000000001</v>
      </c>
      <c r="K58" s="334" t="s">
        <v>466</v>
      </c>
      <c r="L58" s="287" t="s">
        <v>642</v>
      </c>
      <c r="M58" s="139" t="str">
        <f t="shared" si="61"/>
        <v>C46</v>
      </c>
      <c r="N58" s="139" t="str">
        <f t="shared" si="62"/>
        <v>Сосуд горизонтальный БЕ-2.1-2.2, нефть, попутный нефтяной газ, пластовая вода</v>
      </c>
      <c r="O58" s="139" t="str">
        <f t="shared" si="63"/>
        <v>Частичное-пожар-вспышка</v>
      </c>
      <c r="P58" s="139" t="s">
        <v>46</v>
      </c>
      <c r="Q58" s="139" t="s">
        <v>46</v>
      </c>
      <c r="R58" s="139" t="s">
        <v>46</v>
      </c>
      <c r="S58" s="139" t="s">
        <v>46</v>
      </c>
      <c r="T58" s="139" t="s">
        <v>46</v>
      </c>
      <c r="U58" s="139" t="s">
        <v>46</v>
      </c>
      <c r="V58" s="139" t="s">
        <v>46</v>
      </c>
      <c r="W58" s="139" t="s">
        <v>46</v>
      </c>
      <c r="X58" s="139" t="s">
        <v>46</v>
      </c>
      <c r="Y58" s="139" t="s">
        <v>46</v>
      </c>
      <c r="Z58" s="139" t="s">
        <v>46</v>
      </c>
      <c r="AA58" s="139">
        <v>46.61</v>
      </c>
      <c r="AB58" s="139">
        <v>55.93</v>
      </c>
      <c r="AC58" s="139" t="s">
        <v>46</v>
      </c>
      <c r="AD58" s="139" t="s">
        <v>46</v>
      </c>
      <c r="AE58" s="139" t="s">
        <v>46</v>
      </c>
      <c r="AF58" s="139" t="s">
        <v>46</v>
      </c>
      <c r="AG58" s="139" t="s">
        <v>46</v>
      </c>
      <c r="AH58" s="139" t="s">
        <v>46</v>
      </c>
      <c r="AI58" s="139" t="s">
        <v>46</v>
      </c>
      <c r="AJ58" s="139">
        <v>0</v>
      </c>
      <c r="AK58" s="139">
        <v>1</v>
      </c>
      <c r="AL58" s="139">
        <f>0.1*$AL$2</f>
        <v>7.5000000000000011E-2</v>
      </c>
      <c r="AM58" s="139">
        <f>AM52</f>
        <v>2.7E-2</v>
      </c>
      <c r="AN58" s="139">
        <f>ROUNDUP(AN52/3,0)</f>
        <v>1</v>
      </c>
      <c r="AQ58" s="142">
        <f>AM58*I58+AL58</f>
        <v>0.148343475</v>
      </c>
      <c r="AR58" s="142">
        <f t="shared" si="66"/>
        <v>1.4834347500000001E-2</v>
      </c>
      <c r="AS58" s="143">
        <f t="shared" si="67"/>
        <v>0.25</v>
      </c>
      <c r="AT58" s="143">
        <f t="shared" si="68"/>
        <v>0.103294455625</v>
      </c>
      <c r="AU58" s="142">
        <f>10068.2*J58*POWER(10,-6)</f>
        <v>2.7349510185000002E-2</v>
      </c>
      <c r="AV58" s="143">
        <f t="shared" si="64"/>
        <v>0.54382178831000005</v>
      </c>
      <c r="AW58" s="144">
        <f t="shared" si="69"/>
        <v>0</v>
      </c>
      <c r="AX58" s="144">
        <f t="shared" si="70"/>
        <v>3.0400000000000005E-6</v>
      </c>
      <c r="AY58" s="144">
        <f t="shared" si="73"/>
        <v>1.6532182364624004E-6</v>
      </c>
      <c r="AZ58" s="289">
        <f>AW58/[1]DB!$B$23</f>
        <v>0</v>
      </c>
      <c r="BA58" s="289">
        <f>AX58/[1]DB!$B$23</f>
        <v>3.6626506024096393E-9</v>
      </c>
    </row>
    <row r="59" spans="1:53" s="139" customFormat="1" ht="15" thickBot="1" x14ac:dyDescent="0.35">
      <c r="A59" s="130" t="s">
        <v>754</v>
      </c>
      <c r="B59" s="130" t="str">
        <f>B52</f>
        <v>Сосуд горизонтальный БЕ-2.1-2.2, нефть, попутный нефтяной газ, пластовая вода</v>
      </c>
      <c r="C59" s="13" t="s">
        <v>164</v>
      </c>
      <c r="D59" s="132" t="s">
        <v>27</v>
      </c>
      <c r="E59" s="145">
        <f>E56</f>
        <v>1.0000000000000001E-5</v>
      </c>
      <c r="F59" s="146">
        <f t="shared" si="72"/>
        <v>2</v>
      </c>
      <c r="G59" s="130">
        <v>0.6080000000000001</v>
      </c>
      <c r="H59" s="134">
        <f t="shared" si="65"/>
        <v>1.2160000000000002E-5</v>
      </c>
      <c r="I59" s="147">
        <f>I55*0.15</f>
        <v>2.7164250000000001</v>
      </c>
      <c r="J59" s="150">
        <v>0</v>
      </c>
      <c r="K59" s="153"/>
      <c r="L59" s="154"/>
      <c r="M59" s="139" t="str">
        <f t="shared" si="61"/>
        <v>C47</v>
      </c>
      <c r="N59" s="139" t="str">
        <f t="shared" si="62"/>
        <v>Сосуд горизонтальный БЕ-2.1-2.2, нефть, попутный нефтяной газ, пластовая вода</v>
      </c>
      <c r="O59" s="139" t="str">
        <f t="shared" si="63"/>
        <v>Частичное-ликвидация</v>
      </c>
      <c r="P59" s="139" t="s">
        <v>46</v>
      </c>
      <c r="Q59" s="139" t="s">
        <v>46</v>
      </c>
      <c r="R59" s="139" t="s">
        <v>46</v>
      </c>
      <c r="S59" s="139" t="s">
        <v>46</v>
      </c>
      <c r="T59" s="139" t="s">
        <v>46</v>
      </c>
      <c r="U59" s="139" t="s">
        <v>46</v>
      </c>
      <c r="V59" s="139" t="s">
        <v>46</v>
      </c>
      <c r="W59" s="139" t="s">
        <v>46</v>
      </c>
      <c r="X59" s="139" t="s">
        <v>46</v>
      </c>
      <c r="Y59" s="139" t="s">
        <v>46</v>
      </c>
      <c r="Z59" s="139" t="s">
        <v>46</v>
      </c>
      <c r="AA59" s="139" t="s">
        <v>46</v>
      </c>
      <c r="AB59" s="139" t="s">
        <v>46</v>
      </c>
      <c r="AC59" s="139" t="s">
        <v>46</v>
      </c>
      <c r="AD59" s="139" t="s">
        <v>46</v>
      </c>
      <c r="AE59" s="139" t="s">
        <v>46</v>
      </c>
      <c r="AF59" s="139" t="s">
        <v>46</v>
      </c>
      <c r="AG59" s="139" t="s">
        <v>46</v>
      </c>
      <c r="AH59" s="139" t="s">
        <v>46</v>
      </c>
      <c r="AI59" s="139" t="s">
        <v>46</v>
      </c>
      <c r="AJ59" s="139">
        <v>0</v>
      </c>
      <c r="AK59" s="139">
        <v>0</v>
      </c>
      <c r="AL59" s="139">
        <f>0.1*$AL$2</f>
        <v>7.5000000000000011E-2</v>
      </c>
      <c r="AM59" s="139">
        <f>AM52</f>
        <v>2.7E-2</v>
      </c>
      <c r="AN59" s="139">
        <f>ROUNDUP(AN52/3,0)</f>
        <v>1</v>
      </c>
      <c r="AQ59" s="142">
        <f>AM59*I59*0.1+AL59</f>
        <v>8.2334347500000016E-2</v>
      </c>
      <c r="AR59" s="142">
        <f t="shared" si="66"/>
        <v>8.2334347500000026E-3</v>
      </c>
      <c r="AS59" s="143">
        <f t="shared" si="67"/>
        <v>0</v>
      </c>
      <c r="AT59" s="143">
        <f t="shared" si="68"/>
        <v>2.2641945562500005E-2</v>
      </c>
      <c r="AU59" s="142">
        <f>1333*J57*POWER(10,-6)</f>
        <v>3.6209945249999998E-3</v>
      </c>
      <c r="AV59" s="143">
        <f t="shared" si="64"/>
        <v>0.11683072233750003</v>
      </c>
      <c r="AW59" s="144">
        <f t="shared" si="69"/>
        <v>0</v>
      </c>
      <c r="AX59" s="144">
        <f t="shared" si="70"/>
        <v>0</v>
      </c>
      <c r="AY59" s="144">
        <f t="shared" si="73"/>
        <v>1.4206615836240006E-6</v>
      </c>
      <c r="AZ59" s="289">
        <f>AW59/[1]DB!$B$23</f>
        <v>0</v>
      </c>
      <c r="BA59" s="289">
        <f>AX59/[1]DB!$B$23</f>
        <v>0</v>
      </c>
    </row>
    <row r="60" spans="1:53" s="139" customFormat="1" x14ac:dyDescent="0.3">
      <c r="A60" s="193" t="s">
        <v>755</v>
      </c>
      <c r="B60" s="193" t="str">
        <f>B52</f>
        <v>Сосуд горизонтальный БЕ-2.1-2.2, нефть, попутный нефтяной газ, пластовая вода</v>
      </c>
      <c r="C60" s="193" t="s">
        <v>341</v>
      </c>
      <c r="D60" s="193" t="s">
        <v>342</v>
      </c>
      <c r="E60" s="194">
        <v>2.5000000000000001E-5</v>
      </c>
      <c r="F60" s="146">
        <v>1</v>
      </c>
      <c r="G60" s="193">
        <v>1</v>
      </c>
      <c r="H60" s="195">
        <f t="shared" si="65"/>
        <v>2.5000000000000001E-5</v>
      </c>
      <c r="I60" s="196">
        <f>I52</f>
        <v>120.73</v>
      </c>
      <c r="J60" s="196">
        <f>J52*0.01</f>
        <v>1.2073</v>
      </c>
      <c r="K60" s="193"/>
      <c r="L60" s="193"/>
      <c r="M60" s="197" t="str">
        <f t="shared" si="61"/>
        <v>C48</v>
      </c>
      <c r="N60" s="197"/>
      <c r="O60" s="197"/>
      <c r="P60" s="197">
        <v>9.1999999999999993</v>
      </c>
      <c r="Q60" s="197">
        <v>13.1</v>
      </c>
      <c r="R60" s="197">
        <v>19.3</v>
      </c>
      <c r="S60" s="197">
        <v>37.6</v>
      </c>
      <c r="T60" s="197"/>
      <c r="U60" s="197"/>
      <c r="V60" s="197" t="s">
        <v>46</v>
      </c>
      <c r="W60" s="197" t="s">
        <v>46</v>
      </c>
      <c r="X60" s="197" t="s">
        <v>46</v>
      </c>
      <c r="Y60" s="197" t="s">
        <v>46</v>
      </c>
      <c r="Z60" s="197"/>
      <c r="AA60" s="197"/>
      <c r="AB60" s="197"/>
      <c r="AC60" s="197"/>
      <c r="AD60" s="197"/>
      <c r="AE60" s="197">
        <v>17</v>
      </c>
      <c r="AF60" s="197">
        <v>44</v>
      </c>
      <c r="AG60" s="197">
        <v>57</v>
      </c>
      <c r="AH60" s="197">
        <v>79</v>
      </c>
      <c r="AI60" s="197"/>
      <c r="AJ60" s="197">
        <v>0</v>
      </c>
      <c r="AK60" s="197">
        <v>2</v>
      </c>
      <c r="AL60" s="197">
        <f>AL52</f>
        <v>0.75</v>
      </c>
      <c r="AM60" s="197">
        <f>AM52</f>
        <v>2.7E-2</v>
      </c>
      <c r="AN60" s="197">
        <v>5</v>
      </c>
      <c r="AO60" s="197"/>
      <c r="AP60" s="197"/>
      <c r="AQ60" s="198">
        <f>AM60*I60+AL60</f>
        <v>4.0097100000000001</v>
      </c>
      <c r="AR60" s="198">
        <f>0.1*AQ60</f>
        <v>0.40097100000000002</v>
      </c>
      <c r="AS60" s="199">
        <f>AJ60*3+0.25*AK60</f>
        <v>0.5</v>
      </c>
      <c r="AT60" s="199">
        <f>SUM(AQ60:AS60)/4</f>
        <v>1.2276702500000001</v>
      </c>
      <c r="AU60" s="198">
        <f>10068.2*J60*POWER(10,-6)</f>
        <v>1.215533786E-2</v>
      </c>
      <c r="AV60" s="199">
        <f t="shared" si="64"/>
        <v>6.1505065878600007</v>
      </c>
      <c r="AW60" s="200">
        <f>AJ60*H60</f>
        <v>0</v>
      </c>
      <c r="AX60" s="200">
        <f>H60*AK60</f>
        <v>5.0000000000000002E-5</v>
      </c>
      <c r="AY60" s="200">
        <f>H60*AV60</f>
        <v>1.5376266469650001E-4</v>
      </c>
      <c r="AZ60" s="289">
        <f>AW60/[1]DB!$B$23</f>
        <v>0</v>
      </c>
      <c r="BA60" s="289">
        <f>AX60/[1]DB!$B$23</f>
        <v>6.0240963855421685E-8</v>
      </c>
    </row>
    <row r="61" spans="1:53" ht="15" thickBot="1" x14ac:dyDescent="0.35"/>
    <row r="62" spans="1:53" s="139" customFormat="1" ht="18" customHeight="1" x14ac:dyDescent="0.3">
      <c r="A62" s="130" t="s">
        <v>756</v>
      </c>
      <c r="B62" s="131" t="s">
        <v>659</v>
      </c>
      <c r="C62" s="13" t="s">
        <v>143</v>
      </c>
      <c r="D62" s="132" t="s">
        <v>25</v>
      </c>
      <c r="E62" s="133">
        <v>9.9999999999999995E-7</v>
      </c>
      <c r="F62" s="131">
        <v>2</v>
      </c>
      <c r="G62" s="130">
        <v>0.05</v>
      </c>
      <c r="H62" s="134">
        <f>E62*F62*G62</f>
        <v>9.9999999999999995E-8</v>
      </c>
      <c r="I62" s="135">
        <v>123.59</v>
      </c>
      <c r="J62" s="136">
        <f>I62</f>
        <v>123.59</v>
      </c>
      <c r="K62" s="137" t="s">
        <v>122</v>
      </c>
      <c r="L62" s="138">
        <v>130</v>
      </c>
      <c r="M62" s="139" t="str">
        <f t="shared" ref="M62:M70" si="74">A62</f>
        <v>C49</v>
      </c>
      <c r="N62" s="139" t="str">
        <f t="shared" ref="N62:N69" si="75">B62</f>
        <v>Электродегидратор ЭГ-1.1-1.2, нефть, попутный нефтяной газ, пластовая вода</v>
      </c>
      <c r="O62" s="139" t="str">
        <f t="shared" ref="O62:O69" si="76">D62</f>
        <v>Полное-пожар</v>
      </c>
      <c r="P62" s="139">
        <v>9.1999999999999993</v>
      </c>
      <c r="Q62" s="139">
        <v>13.1</v>
      </c>
      <c r="R62" s="139">
        <v>19.3</v>
      </c>
      <c r="S62" s="139">
        <v>37.6</v>
      </c>
      <c r="T62" s="139" t="s">
        <v>46</v>
      </c>
      <c r="U62" s="139" t="s">
        <v>46</v>
      </c>
      <c r="V62" s="139" t="s">
        <v>46</v>
      </c>
      <c r="W62" s="139" t="s">
        <v>46</v>
      </c>
      <c r="X62" s="139" t="s">
        <v>46</v>
      </c>
      <c r="Y62" s="139" t="s">
        <v>46</v>
      </c>
      <c r="Z62" s="139" t="s">
        <v>46</v>
      </c>
      <c r="AA62" s="139" t="s">
        <v>46</v>
      </c>
      <c r="AB62" s="139" t="s">
        <v>46</v>
      </c>
      <c r="AC62" s="139" t="s">
        <v>46</v>
      </c>
      <c r="AD62" s="139" t="s">
        <v>46</v>
      </c>
      <c r="AE62" s="139" t="s">
        <v>46</v>
      </c>
      <c r="AF62" s="139" t="s">
        <v>46</v>
      </c>
      <c r="AG62" s="139" t="s">
        <v>46</v>
      </c>
      <c r="AH62" s="139" t="s">
        <v>46</v>
      </c>
      <c r="AI62" s="139" t="s">
        <v>46</v>
      </c>
      <c r="AJ62" s="140">
        <v>0</v>
      </c>
      <c r="AK62" s="140">
        <v>2</v>
      </c>
      <c r="AL62" s="141">
        <v>0.75</v>
      </c>
      <c r="AM62" s="141">
        <v>2.7E-2</v>
      </c>
      <c r="AN62" s="141">
        <v>3</v>
      </c>
      <c r="AQ62" s="142">
        <f>AM62*I62+AL62</f>
        <v>4.0869300000000006</v>
      </c>
      <c r="AR62" s="142">
        <f>0.1*AQ62</f>
        <v>0.40869300000000008</v>
      </c>
      <c r="AS62" s="143">
        <f>AJ62*3+0.25*AK62</f>
        <v>0.5</v>
      </c>
      <c r="AT62" s="143">
        <f>SUM(AQ62:AS62)/4</f>
        <v>1.2489057500000003</v>
      </c>
      <c r="AU62" s="142">
        <f>10068.2*J62*POWER(10,-6)</f>
        <v>1.2443288380000002</v>
      </c>
      <c r="AV62" s="143">
        <f t="shared" ref="AV62:AV70" si="77">AU62+AT62+AS62+AR62+AQ62</f>
        <v>7.488857588000001</v>
      </c>
      <c r="AW62" s="144">
        <f>AJ62*H62</f>
        <v>0</v>
      </c>
      <c r="AX62" s="144">
        <f>H62*AK62</f>
        <v>1.9999999999999999E-7</v>
      </c>
      <c r="AY62" s="144">
        <f>H62*AV62</f>
        <v>7.4888575880000011E-7</v>
      </c>
      <c r="AZ62" s="289">
        <f>AW62/[1]DB!$B$23</f>
        <v>0</v>
      </c>
      <c r="BA62" s="289">
        <f>AX62/[1]DB!$B$23</f>
        <v>2.4096385542168672E-10</v>
      </c>
    </row>
    <row r="63" spans="1:53" s="139" customFormat="1" x14ac:dyDescent="0.3">
      <c r="A63" s="130" t="s">
        <v>757</v>
      </c>
      <c r="B63" s="130" t="str">
        <f>B62</f>
        <v>Электродегидратор ЭГ-1.1-1.2, нефть, попутный нефтяной газ, пластовая вода</v>
      </c>
      <c r="C63" s="13" t="s">
        <v>149</v>
      </c>
      <c r="D63" s="132" t="s">
        <v>28</v>
      </c>
      <c r="E63" s="145">
        <f>E62</f>
        <v>9.9999999999999995E-7</v>
      </c>
      <c r="F63" s="146">
        <f>F62</f>
        <v>2</v>
      </c>
      <c r="G63" s="130">
        <v>0.19</v>
      </c>
      <c r="H63" s="134">
        <f t="shared" ref="H63:H70" si="78">E63*F63*G63</f>
        <v>3.7999999999999996E-7</v>
      </c>
      <c r="I63" s="147">
        <f>I62</f>
        <v>123.59</v>
      </c>
      <c r="J63" s="333">
        <f>POWER(10,-6)*35*SQRT(100)*3600*L62/1000*0.1</f>
        <v>1.6379999999999999E-2</v>
      </c>
      <c r="K63" s="148" t="s">
        <v>123</v>
      </c>
      <c r="L63" s="149">
        <v>2</v>
      </c>
      <c r="M63" s="139" t="str">
        <f t="shared" si="74"/>
        <v>C50</v>
      </c>
      <c r="N63" s="139" t="str">
        <f t="shared" si="75"/>
        <v>Электродегидратор ЭГ-1.1-1.2, нефть, попутный нефтяной газ, пластовая вода</v>
      </c>
      <c r="O63" s="139" t="str">
        <f t="shared" si="76"/>
        <v>Полное-взрыв</v>
      </c>
      <c r="P63" s="139" t="s">
        <v>46</v>
      </c>
      <c r="Q63" s="139" t="s">
        <v>46</v>
      </c>
      <c r="R63" s="139" t="s">
        <v>46</v>
      </c>
      <c r="S63" s="139" t="s">
        <v>46</v>
      </c>
      <c r="T63" s="139">
        <v>0</v>
      </c>
      <c r="U63" s="139">
        <v>0</v>
      </c>
      <c r="V63" s="139">
        <v>19.100000000000001</v>
      </c>
      <c r="W63" s="139">
        <v>64.099999999999994</v>
      </c>
      <c r="X63" s="139">
        <v>93.6</v>
      </c>
      <c r="Y63" s="139" t="s">
        <v>46</v>
      </c>
      <c r="Z63" s="139" t="s">
        <v>46</v>
      </c>
      <c r="AA63" s="139" t="s">
        <v>46</v>
      </c>
      <c r="AB63" s="139" t="s">
        <v>46</v>
      </c>
      <c r="AC63" s="139" t="s">
        <v>46</v>
      </c>
      <c r="AD63" s="139" t="s">
        <v>46</v>
      </c>
      <c r="AE63" s="139" t="s">
        <v>46</v>
      </c>
      <c r="AF63" s="139" t="s">
        <v>46</v>
      </c>
      <c r="AG63" s="139" t="s">
        <v>46</v>
      </c>
      <c r="AH63" s="139" t="s">
        <v>46</v>
      </c>
      <c r="AI63" s="139" t="s">
        <v>46</v>
      </c>
      <c r="AJ63" s="140">
        <v>1</v>
      </c>
      <c r="AK63" s="140">
        <v>2</v>
      </c>
      <c r="AL63" s="139">
        <f>AL62</f>
        <v>0.75</v>
      </c>
      <c r="AM63" s="139">
        <f>AM62</f>
        <v>2.7E-2</v>
      </c>
      <c r="AN63" s="139">
        <f>AN62</f>
        <v>3</v>
      </c>
      <c r="AQ63" s="142">
        <f>AM63*I63+AL63</f>
        <v>4.0869300000000006</v>
      </c>
      <c r="AR63" s="142">
        <f t="shared" ref="AR63:AR69" si="79">0.1*AQ63</f>
        <v>0.40869300000000008</v>
      </c>
      <c r="AS63" s="143">
        <f t="shared" ref="AS63:AS69" si="80">AJ63*3+0.25*AK63</f>
        <v>3.5</v>
      </c>
      <c r="AT63" s="143">
        <f t="shared" ref="AT63:AT69" si="81">SUM(AQ63:AS63)/4</f>
        <v>1.9989057500000003</v>
      </c>
      <c r="AU63" s="142">
        <f>10068.2*J63*POWER(10,-6)*10</f>
        <v>1.6491711599999999E-3</v>
      </c>
      <c r="AV63" s="143">
        <f t="shared" si="77"/>
        <v>9.996177921160001</v>
      </c>
      <c r="AW63" s="144">
        <f t="shared" ref="AW63:AW69" si="82">AJ63*H63</f>
        <v>3.7999999999999996E-7</v>
      </c>
      <c r="AX63" s="144">
        <f t="shared" ref="AX63:AX69" si="83">H63*AK63</f>
        <v>7.5999999999999992E-7</v>
      </c>
      <c r="AY63" s="144">
        <f t="shared" ref="AY63" si="84">H63*AV63</f>
        <v>3.7985476100408001E-6</v>
      </c>
      <c r="AZ63" s="289">
        <f>AW63/[1]DB!$B$23</f>
        <v>4.5783132530120476E-10</v>
      </c>
      <c r="BA63" s="289">
        <f>AX63/[1]DB!$B$23</f>
        <v>9.1566265060240952E-10</v>
      </c>
    </row>
    <row r="64" spans="1:53" s="139" customFormat="1" x14ac:dyDescent="0.3">
      <c r="A64" s="130" t="s">
        <v>758</v>
      </c>
      <c r="B64" s="130" t="str">
        <f>B62</f>
        <v>Электродегидратор ЭГ-1.1-1.2, нефть, попутный нефтяной газ, пластовая вода</v>
      </c>
      <c r="C64" s="13" t="s">
        <v>188</v>
      </c>
      <c r="D64" s="132" t="s">
        <v>26</v>
      </c>
      <c r="E64" s="145">
        <f>E62</f>
        <v>9.9999999999999995E-7</v>
      </c>
      <c r="F64" s="146">
        <f t="shared" ref="F64:F69" si="85">F63</f>
        <v>2</v>
      </c>
      <c r="G64" s="130">
        <v>0.76</v>
      </c>
      <c r="H64" s="134">
        <f t="shared" si="78"/>
        <v>1.5199999999999998E-6</v>
      </c>
      <c r="I64" s="147">
        <f>I62</f>
        <v>123.59</v>
      </c>
      <c r="J64" s="150">
        <v>0</v>
      </c>
      <c r="K64" s="148" t="s">
        <v>124</v>
      </c>
      <c r="L64" s="149">
        <v>1.05</v>
      </c>
      <c r="M64" s="139" t="str">
        <f t="shared" si="74"/>
        <v>C51</v>
      </c>
      <c r="N64" s="139" t="str">
        <f t="shared" si="75"/>
        <v>Электродегидратор ЭГ-1.1-1.2, нефть, попутный нефтяной газ, пластовая вода</v>
      </c>
      <c r="O64" s="139" t="str">
        <f t="shared" si="76"/>
        <v>Полное-ликвидация</v>
      </c>
      <c r="P64" s="139" t="s">
        <v>46</v>
      </c>
      <c r="Q64" s="139" t="s">
        <v>46</v>
      </c>
      <c r="R64" s="139" t="s">
        <v>46</v>
      </c>
      <c r="S64" s="139" t="s">
        <v>46</v>
      </c>
      <c r="T64" s="139" t="s">
        <v>46</v>
      </c>
      <c r="U64" s="139" t="s">
        <v>46</v>
      </c>
      <c r="V64" s="139" t="s">
        <v>46</v>
      </c>
      <c r="W64" s="139" t="s">
        <v>46</v>
      </c>
      <c r="X64" s="139" t="s">
        <v>46</v>
      </c>
      <c r="Y64" s="139" t="s">
        <v>46</v>
      </c>
      <c r="Z64" s="139" t="s">
        <v>46</v>
      </c>
      <c r="AA64" s="139" t="s">
        <v>46</v>
      </c>
      <c r="AB64" s="139" t="s">
        <v>46</v>
      </c>
      <c r="AC64" s="139" t="s">
        <v>46</v>
      </c>
      <c r="AD64" s="139" t="s">
        <v>46</v>
      </c>
      <c r="AE64" s="139" t="s">
        <v>46</v>
      </c>
      <c r="AF64" s="139" t="s">
        <v>46</v>
      </c>
      <c r="AG64" s="139" t="s">
        <v>46</v>
      </c>
      <c r="AH64" s="139" t="s">
        <v>46</v>
      </c>
      <c r="AI64" s="139" t="s">
        <v>46</v>
      </c>
      <c r="AJ64" s="139">
        <v>0</v>
      </c>
      <c r="AK64" s="139">
        <v>0</v>
      </c>
      <c r="AL64" s="139">
        <f>AL62</f>
        <v>0.75</v>
      </c>
      <c r="AM64" s="139">
        <f>AM62</f>
        <v>2.7E-2</v>
      </c>
      <c r="AN64" s="139">
        <f>AN62</f>
        <v>3</v>
      </c>
      <c r="AQ64" s="142">
        <f>AM64*I64*0.1+AL64</f>
        <v>1.083693</v>
      </c>
      <c r="AR64" s="142">
        <f t="shared" si="79"/>
        <v>0.1083693</v>
      </c>
      <c r="AS64" s="143">
        <f t="shared" si="80"/>
        <v>0</v>
      </c>
      <c r="AT64" s="143">
        <f t="shared" si="81"/>
        <v>0.29801557499999998</v>
      </c>
      <c r="AU64" s="142">
        <f>1333*J62*POWER(10,-6)</f>
        <v>0.16474547</v>
      </c>
      <c r="AV64" s="143">
        <f t="shared" si="77"/>
        <v>1.6548233450000001</v>
      </c>
      <c r="AW64" s="144">
        <f t="shared" si="82"/>
        <v>0</v>
      </c>
      <c r="AX64" s="144">
        <f t="shared" si="83"/>
        <v>0</v>
      </c>
      <c r="AY64" s="144">
        <f>H64*AV64</f>
        <v>2.5153314844E-6</v>
      </c>
      <c r="AZ64" s="289">
        <f>AW64/[1]DB!$B$23</f>
        <v>0</v>
      </c>
      <c r="BA64" s="289">
        <f>AX64/[1]DB!$B$23</f>
        <v>0</v>
      </c>
    </row>
    <row r="65" spans="1:53" s="139" customFormat="1" x14ac:dyDescent="0.3">
      <c r="A65" s="130" t="s">
        <v>759</v>
      </c>
      <c r="B65" s="130" t="str">
        <f>B62</f>
        <v>Электродегидратор ЭГ-1.1-1.2, нефть, попутный нефтяной газ, пластовая вода</v>
      </c>
      <c r="C65" s="13" t="s">
        <v>160</v>
      </c>
      <c r="D65" s="132" t="s">
        <v>161</v>
      </c>
      <c r="E65" s="133">
        <v>1.0000000000000001E-5</v>
      </c>
      <c r="F65" s="146">
        <f t="shared" si="85"/>
        <v>2</v>
      </c>
      <c r="G65" s="130">
        <v>4.0000000000000008E-2</v>
      </c>
      <c r="H65" s="134">
        <f t="shared" si="78"/>
        <v>8.0000000000000018E-7</v>
      </c>
      <c r="I65" s="147">
        <f>0.15*I62</f>
        <v>18.538499999999999</v>
      </c>
      <c r="J65" s="136">
        <f>I65</f>
        <v>18.538499999999999</v>
      </c>
      <c r="K65" s="148" t="s">
        <v>126</v>
      </c>
      <c r="L65" s="149">
        <v>45390</v>
      </c>
      <c r="M65" s="139" t="str">
        <f t="shared" si="74"/>
        <v>C52</v>
      </c>
      <c r="N65" s="139" t="str">
        <f t="shared" si="75"/>
        <v>Электродегидратор ЭГ-1.1-1.2, нефть, попутный нефтяной газ, пластовая вода</v>
      </c>
      <c r="O65" s="139" t="str">
        <f t="shared" si="76"/>
        <v>Частичное факел</v>
      </c>
      <c r="P65" s="139" t="s">
        <v>46</v>
      </c>
      <c r="Q65" s="139" t="s">
        <v>46</v>
      </c>
      <c r="R65" s="139" t="s">
        <v>46</v>
      </c>
      <c r="S65" s="139" t="s">
        <v>46</v>
      </c>
      <c r="T65" s="139" t="s">
        <v>46</v>
      </c>
      <c r="U65" s="139" t="s">
        <v>46</v>
      </c>
      <c r="V65" s="139" t="s">
        <v>46</v>
      </c>
      <c r="W65" s="139" t="s">
        <v>46</v>
      </c>
      <c r="X65" s="139" t="s">
        <v>46</v>
      </c>
      <c r="Y65" s="139">
        <v>15</v>
      </c>
      <c r="Z65" s="139">
        <v>3</v>
      </c>
      <c r="AA65" s="139" t="s">
        <v>46</v>
      </c>
      <c r="AB65" s="139" t="s">
        <v>46</v>
      </c>
      <c r="AC65" s="139" t="s">
        <v>46</v>
      </c>
      <c r="AD65" s="139" t="s">
        <v>46</v>
      </c>
      <c r="AE65" s="139" t="s">
        <v>46</v>
      </c>
      <c r="AF65" s="139" t="s">
        <v>46</v>
      </c>
      <c r="AG65" s="139" t="s">
        <v>46</v>
      </c>
      <c r="AH65" s="139" t="s">
        <v>46</v>
      </c>
      <c r="AI65" s="139" t="s">
        <v>46</v>
      </c>
      <c r="AJ65" s="139">
        <v>0</v>
      </c>
      <c r="AK65" s="139">
        <v>1</v>
      </c>
      <c r="AL65" s="139">
        <f>0.1*$AL$2</f>
        <v>7.5000000000000011E-2</v>
      </c>
      <c r="AM65" s="139">
        <f>AM63</f>
        <v>2.7E-2</v>
      </c>
      <c r="AN65" s="139">
        <f>AN62</f>
        <v>3</v>
      </c>
      <c r="AQ65" s="142">
        <f>AM65*I65*0.1+AL65</f>
        <v>0.12505395</v>
      </c>
      <c r="AR65" s="142">
        <f t="shared" si="79"/>
        <v>1.2505395000000001E-2</v>
      </c>
      <c r="AS65" s="143">
        <f t="shared" si="80"/>
        <v>0.25</v>
      </c>
      <c r="AT65" s="143">
        <f t="shared" si="81"/>
        <v>9.688983625E-2</v>
      </c>
      <c r="AU65" s="142">
        <f>10068.2*J65*POWER(10,-6)</f>
        <v>0.18664932570000001</v>
      </c>
      <c r="AV65" s="143">
        <f t="shared" si="77"/>
        <v>0.67109850695000006</v>
      </c>
      <c r="AW65" s="144">
        <f t="shared" si="82"/>
        <v>0</v>
      </c>
      <c r="AX65" s="144">
        <f t="shared" si="83"/>
        <v>8.0000000000000018E-7</v>
      </c>
      <c r="AY65" s="144">
        <f t="shared" ref="AY65:AY69" si="86">H65*AV65</f>
        <v>5.3687880556000014E-7</v>
      </c>
      <c r="AZ65" s="289">
        <f>AW65/[1]DB!$B$23</f>
        <v>0</v>
      </c>
      <c r="BA65" s="289">
        <f>AX65/[1]DB!$B$23</f>
        <v>9.638554216867473E-10</v>
      </c>
    </row>
    <row r="66" spans="1:53" s="139" customFormat="1" x14ac:dyDescent="0.3">
      <c r="A66" s="130" t="s">
        <v>760</v>
      </c>
      <c r="B66" s="130" t="str">
        <f>B62</f>
        <v>Электродегидратор ЭГ-1.1-1.2, нефть, попутный нефтяной газ, пластовая вода</v>
      </c>
      <c r="C66" s="13" t="s">
        <v>189</v>
      </c>
      <c r="D66" s="132" t="s">
        <v>27</v>
      </c>
      <c r="E66" s="145">
        <f>E65</f>
        <v>1.0000000000000001E-5</v>
      </c>
      <c r="F66" s="146">
        <f t="shared" si="85"/>
        <v>2</v>
      </c>
      <c r="G66" s="130">
        <v>0.16000000000000003</v>
      </c>
      <c r="H66" s="134">
        <f t="shared" si="78"/>
        <v>3.2000000000000007E-6</v>
      </c>
      <c r="I66" s="147">
        <f>0.15*I62</f>
        <v>18.538499999999999</v>
      </c>
      <c r="J66" s="136">
        <v>0</v>
      </c>
      <c r="K66" s="148" t="s">
        <v>127</v>
      </c>
      <c r="L66" s="149">
        <v>3</v>
      </c>
      <c r="M66" s="139" t="str">
        <f t="shared" si="74"/>
        <v>C53</v>
      </c>
      <c r="N66" s="139" t="str">
        <f t="shared" si="75"/>
        <v>Электродегидратор ЭГ-1.1-1.2, нефть, попутный нефтяной газ, пластовая вода</v>
      </c>
      <c r="O66" s="139" t="str">
        <f t="shared" si="76"/>
        <v>Частичное-ликвидация</v>
      </c>
      <c r="P66" s="139" t="s">
        <v>46</v>
      </c>
      <c r="Q66" s="139" t="s">
        <v>46</v>
      </c>
      <c r="R66" s="139" t="s">
        <v>46</v>
      </c>
      <c r="S66" s="139" t="s">
        <v>46</v>
      </c>
      <c r="T66" s="139" t="s">
        <v>46</v>
      </c>
      <c r="U66" s="139" t="s">
        <v>46</v>
      </c>
      <c r="V66" s="139" t="s">
        <v>46</v>
      </c>
      <c r="W66" s="139" t="s">
        <v>46</v>
      </c>
      <c r="X66" s="139" t="s">
        <v>46</v>
      </c>
      <c r="Y66" s="139" t="s">
        <v>46</v>
      </c>
      <c r="Z66" s="139" t="s">
        <v>46</v>
      </c>
      <c r="AA66" s="139" t="s">
        <v>46</v>
      </c>
      <c r="AB66" s="139" t="s">
        <v>46</v>
      </c>
      <c r="AC66" s="139" t="s">
        <v>46</v>
      </c>
      <c r="AD66" s="139" t="s">
        <v>46</v>
      </c>
      <c r="AE66" s="139" t="s">
        <v>46</v>
      </c>
      <c r="AF66" s="139" t="s">
        <v>46</v>
      </c>
      <c r="AG66" s="139" t="s">
        <v>46</v>
      </c>
      <c r="AH66" s="139" t="s">
        <v>46</v>
      </c>
      <c r="AI66" s="139" t="s">
        <v>46</v>
      </c>
      <c r="AJ66" s="139">
        <v>0</v>
      </c>
      <c r="AK66" s="139">
        <v>1</v>
      </c>
      <c r="AL66" s="139">
        <f>0.1*$AL$2</f>
        <v>7.5000000000000011E-2</v>
      </c>
      <c r="AM66" s="139">
        <f>AM62</f>
        <v>2.7E-2</v>
      </c>
      <c r="AN66" s="139">
        <f>ROUNDUP(AN62/3,0)</f>
        <v>1</v>
      </c>
      <c r="AQ66" s="142">
        <f>AM66*I66+AL66</f>
        <v>0.57553949999999987</v>
      </c>
      <c r="AR66" s="142">
        <f t="shared" si="79"/>
        <v>5.7553949999999993E-2</v>
      </c>
      <c r="AS66" s="143">
        <f t="shared" si="80"/>
        <v>0.25</v>
      </c>
      <c r="AT66" s="143">
        <f t="shared" si="81"/>
        <v>0.22077336249999996</v>
      </c>
      <c r="AU66" s="142">
        <f>1333*J63*POWER(10,-6)*10</f>
        <v>2.1834539999999994E-4</v>
      </c>
      <c r="AV66" s="143">
        <f t="shared" si="77"/>
        <v>1.1040851578999997</v>
      </c>
      <c r="AW66" s="144">
        <f t="shared" si="82"/>
        <v>0</v>
      </c>
      <c r="AX66" s="144">
        <f t="shared" si="83"/>
        <v>3.2000000000000007E-6</v>
      </c>
      <c r="AY66" s="144">
        <f t="shared" si="86"/>
        <v>3.5330725052800001E-6</v>
      </c>
      <c r="AZ66" s="289">
        <f>AW66/[1]DB!$B$23</f>
        <v>0</v>
      </c>
      <c r="BA66" s="289">
        <f>AX66/[1]DB!$B$23</f>
        <v>3.8554216867469892E-9</v>
      </c>
    </row>
    <row r="67" spans="1:53" s="139" customFormat="1" x14ac:dyDescent="0.3">
      <c r="A67" s="130" t="s">
        <v>761</v>
      </c>
      <c r="B67" s="130" t="str">
        <f>B62</f>
        <v>Электродегидратор ЭГ-1.1-1.2, нефть, попутный нефтяной газ, пластовая вода</v>
      </c>
      <c r="C67" s="13" t="s">
        <v>162</v>
      </c>
      <c r="D67" s="132" t="s">
        <v>161</v>
      </c>
      <c r="E67" s="145">
        <f>E66</f>
        <v>1.0000000000000001E-5</v>
      </c>
      <c r="F67" s="146">
        <f t="shared" si="85"/>
        <v>2</v>
      </c>
      <c r="G67" s="130">
        <v>4.0000000000000008E-2</v>
      </c>
      <c r="H67" s="134">
        <f t="shared" si="78"/>
        <v>8.0000000000000018E-7</v>
      </c>
      <c r="I67" s="147">
        <f>I65*0.15</f>
        <v>2.7807749999999998</v>
      </c>
      <c r="J67" s="136">
        <f>I67</f>
        <v>2.7807749999999998</v>
      </c>
      <c r="K67" s="151" t="s">
        <v>138</v>
      </c>
      <c r="L67" s="152">
        <v>12</v>
      </c>
      <c r="M67" s="139" t="str">
        <f t="shared" si="74"/>
        <v>C54</v>
      </c>
      <c r="N67" s="139" t="str">
        <f t="shared" si="75"/>
        <v>Электродегидратор ЭГ-1.1-1.2, нефть, попутный нефтяной газ, пластовая вода</v>
      </c>
      <c r="O67" s="139" t="str">
        <f t="shared" si="76"/>
        <v>Частичное факел</v>
      </c>
      <c r="P67" s="139" t="s">
        <v>46</v>
      </c>
      <c r="Q67" s="139" t="s">
        <v>46</v>
      </c>
      <c r="R67" s="139" t="s">
        <v>46</v>
      </c>
      <c r="S67" s="139" t="s">
        <v>46</v>
      </c>
      <c r="T67" s="139" t="s">
        <v>46</v>
      </c>
      <c r="U67" s="139" t="s">
        <v>46</v>
      </c>
      <c r="V67" s="139" t="s">
        <v>46</v>
      </c>
      <c r="W67" s="139" t="s">
        <v>46</v>
      </c>
      <c r="X67" s="139" t="s">
        <v>46</v>
      </c>
      <c r="Y67" s="139">
        <v>11</v>
      </c>
      <c r="Z67" s="139">
        <v>2</v>
      </c>
      <c r="AA67" s="139" t="s">
        <v>46</v>
      </c>
      <c r="AB67" s="139" t="s">
        <v>46</v>
      </c>
      <c r="AC67" s="139" t="s">
        <v>46</v>
      </c>
      <c r="AD67" s="139" t="s">
        <v>46</v>
      </c>
      <c r="AE67" s="139" t="s">
        <v>46</v>
      </c>
      <c r="AF67" s="139" t="s">
        <v>46</v>
      </c>
      <c r="AG67" s="139" t="s">
        <v>46</v>
      </c>
      <c r="AH67" s="139" t="s">
        <v>46</v>
      </c>
      <c r="AI67" s="139" t="s">
        <v>46</v>
      </c>
      <c r="AJ67" s="139">
        <v>0</v>
      </c>
      <c r="AK67" s="139">
        <v>1</v>
      </c>
      <c r="AL67" s="139">
        <f>0.1*$AL$2</f>
        <v>7.5000000000000011E-2</v>
      </c>
      <c r="AM67" s="139">
        <f>AM62</f>
        <v>2.7E-2</v>
      </c>
      <c r="AN67" s="139">
        <f>AN66</f>
        <v>1</v>
      </c>
      <c r="AQ67" s="142">
        <f>AM67*I67+AL67</f>
        <v>0.150080925</v>
      </c>
      <c r="AR67" s="142">
        <f t="shared" si="79"/>
        <v>1.50080925E-2</v>
      </c>
      <c r="AS67" s="143">
        <f t="shared" si="80"/>
        <v>0.25</v>
      </c>
      <c r="AT67" s="143">
        <f t="shared" si="81"/>
        <v>0.103772254375</v>
      </c>
      <c r="AU67" s="142">
        <f>10068.2*J67*POWER(10,-6)</f>
        <v>2.7997398854999998E-2</v>
      </c>
      <c r="AV67" s="143">
        <f t="shared" si="77"/>
        <v>0.54685867073000005</v>
      </c>
      <c r="AW67" s="144">
        <f t="shared" si="82"/>
        <v>0</v>
      </c>
      <c r="AX67" s="144">
        <f t="shared" si="83"/>
        <v>8.0000000000000018E-7</v>
      </c>
      <c r="AY67" s="144">
        <f t="shared" si="86"/>
        <v>4.3748693658400014E-7</v>
      </c>
      <c r="AZ67" s="289">
        <f>AW67/[1]DB!$B$23</f>
        <v>0</v>
      </c>
      <c r="BA67" s="289">
        <f>AX67/[1]DB!$B$23</f>
        <v>9.638554216867473E-10</v>
      </c>
    </row>
    <row r="68" spans="1:53" s="139" customFormat="1" x14ac:dyDescent="0.3">
      <c r="A68" s="130" t="s">
        <v>762</v>
      </c>
      <c r="B68" s="130" t="str">
        <f>B62</f>
        <v>Электродегидратор ЭГ-1.1-1.2, нефть, попутный нефтяной газ, пластовая вода</v>
      </c>
      <c r="C68" s="13" t="s">
        <v>163</v>
      </c>
      <c r="D68" s="132" t="s">
        <v>112</v>
      </c>
      <c r="E68" s="145">
        <f>E66</f>
        <v>1.0000000000000001E-5</v>
      </c>
      <c r="F68" s="146">
        <f t="shared" si="85"/>
        <v>2</v>
      </c>
      <c r="G68" s="130">
        <v>0.15200000000000002</v>
      </c>
      <c r="H68" s="134">
        <f t="shared" si="78"/>
        <v>3.0400000000000005E-6</v>
      </c>
      <c r="I68" s="147">
        <f>I65*0.15</f>
        <v>2.7807749999999998</v>
      </c>
      <c r="J68" s="136">
        <f>I68</f>
        <v>2.7807749999999998</v>
      </c>
      <c r="K68" s="334" t="s">
        <v>466</v>
      </c>
      <c r="L68" s="287" t="s">
        <v>642</v>
      </c>
      <c r="M68" s="139" t="str">
        <f t="shared" si="74"/>
        <v>C55</v>
      </c>
      <c r="N68" s="139" t="str">
        <f t="shared" si="75"/>
        <v>Электродегидратор ЭГ-1.1-1.2, нефть, попутный нефтяной газ, пластовая вода</v>
      </c>
      <c r="O68" s="139" t="str">
        <f t="shared" si="76"/>
        <v>Частичное-пожар-вспышка</v>
      </c>
      <c r="P68" s="139" t="s">
        <v>46</v>
      </c>
      <c r="Q68" s="139" t="s">
        <v>46</v>
      </c>
      <c r="R68" s="139" t="s">
        <v>46</v>
      </c>
      <c r="S68" s="139" t="s">
        <v>46</v>
      </c>
      <c r="T68" s="139" t="s">
        <v>46</v>
      </c>
      <c r="U68" s="139" t="s">
        <v>46</v>
      </c>
      <c r="V68" s="139" t="s">
        <v>46</v>
      </c>
      <c r="W68" s="139" t="s">
        <v>46</v>
      </c>
      <c r="X68" s="139" t="s">
        <v>46</v>
      </c>
      <c r="Y68" s="139" t="s">
        <v>46</v>
      </c>
      <c r="Z68" s="139" t="s">
        <v>46</v>
      </c>
      <c r="AA68" s="139">
        <v>46.97</v>
      </c>
      <c r="AB68" s="139">
        <v>56.36</v>
      </c>
      <c r="AC68" s="139" t="s">
        <v>46</v>
      </c>
      <c r="AD68" s="139" t="s">
        <v>46</v>
      </c>
      <c r="AE68" s="139" t="s">
        <v>46</v>
      </c>
      <c r="AF68" s="139" t="s">
        <v>46</v>
      </c>
      <c r="AG68" s="139" t="s">
        <v>46</v>
      </c>
      <c r="AH68" s="139" t="s">
        <v>46</v>
      </c>
      <c r="AI68" s="139" t="s">
        <v>46</v>
      </c>
      <c r="AJ68" s="139">
        <v>0</v>
      </c>
      <c r="AK68" s="139">
        <v>1</v>
      </c>
      <c r="AL68" s="139">
        <f>0.1*$AL$2</f>
        <v>7.5000000000000011E-2</v>
      </c>
      <c r="AM68" s="139">
        <f>AM62</f>
        <v>2.7E-2</v>
      </c>
      <c r="AN68" s="139">
        <f>ROUNDUP(AN62/3,0)</f>
        <v>1</v>
      </c>
      <c r="AQ68" s="142">
        <f>AM68*I68+AL68</f>
        <v>0.150080925</v>
      </c>
      <c r="AR68" s="142">
        <f t="shared" si="79"/>
        <v>1.50080925E-2</v>
      </c>
      <c r="AS68" s="143">
        <f t="shared" si="80"/>
        <v>0.25</v>
      </c>
      <c r="AT68" s="143">
        <f t="shared" si="81"/>
        <v>0.103772254375</v>
      </c>
      <c r="AU68" s="142">
        <f>10068.2*J68*POWER(10,-6)</f>
        <v>2.7997398854999998E-2</v>
      </c>
      <c r="AV68" s="143">
        <f t="shared" si="77"/>
        <v>0.54685867073000005</v>
      </c>
      <c r="AW68" s="144">
        <f t="shared" si="82"/>
        <v>0</v>
      </c>
      <c r="AX68" s="144">
        <f t="shared" si="83"/>
        <v>3.0400000000000005E-6</v>
      </c>
      <c r="AY68" s="144">
        <f t="shared" si="86"/>
        <v>1.6624503590192005E-6</v>
      </c>
      <c r="AZ68" s="289">
        <f>AW68/[1]DB!$B$23</f>
        <v>0</v>
      </c>
      <c r="BA68" s="289">
        <f>AX68/[1]DB!$B$23</f>
        <v>3.6626506024096393E-9</v>
      </c>
    </row>
    <row r="69" spans="1:53" s="139" customFormat="1" ht="15" thickBot="1" x14ac:dyDescent="0.35">
      <c r="A69" s="130" t="s">
        <v>763</v>
      </c>
      <c r="B69" s="130" t="str">
        <f>B62</f>
        <v>Электродегидратор ЭГ-1.1-1.2, нефть, попутный нефтяной газ, пластовая вода</v>
      </c>
      <c r="C69" s="13" t="s">
        <v>164</v>
      </c>
      <c r="D69" s="132" t="s">
        <v>27</v>
      </c>
      <c r="E69" s="145">
        <f>E66</f>
        <v>1.0000000000000001E-5</v>
      </c>
      <c r="F69" s="146">
        <f t="shared" si="85"/>
        <v>2</v>
      </c>
      <c r="G69" s="130">
        <v>0.6080000000000001</v>
      </c>
      <c r="H69" s="134">
        <f t="shared" si="78"/>
        <v>1.2160000000000002E-5</v>
      </c>
      <c r="I69" s="147">
        <f>I65*0.15</f>
        <v>2.7807749999999998</v>
      </c>
      <c r="J69" s="150">
        <v>0</v>
      </c>
      <c r="K69" s="153"/>
      <c r="L69" s="154"/>
      <c r="M69" s="139" t="str">
        <f t="shared" si="74"/>
        <v>C56</v>
      </c>
      <c r="N69" s="139" t="str">
        <f t="shared" si="75"/>
        <v>Электродегидратор ЭГ-1.1-1.2, нефть, попутный нефтяной газ, пластовая вода</v>
      </c>
      <c r="O69" s="139" t="str">
        <f t="shared" si="76"/>
        <v>Частичное-ликвидация</v>
      </c>
      <c r="P69" s="139" t="s">
        <v>46</v>
      </c>
      <c r="Q69" s="139" t="s">
        <v>46</v>
      </c>
      <c r="R69" s="139" t="s">
        <v>46</v>
      </c>
      <c r="S69" s="139" t="s">
        <v>46</v>
      </c>
      <c r="T69" s="139" t="s">
        <v>46</v>
      </c>
      <c r="U69" s="139" t="s">
        <v>46</v>
      </c>
      <c r="V69" s="139" t="s">
        <v>46</v>
      </c>
      <c r="W69" s="139" t="s">
        <v>46</v>
      </c>
      <c r="X69" s="139" t="s">
        <v>46</v>
      </c>
      <c r="Y69" s="139" t="s">
        <v>46</v>
      </c>
      <c r="Z69" s="139" t="s">
        <v>46</v>
      </c>
      <c r="AA69" s="139" t="s">
        <v>46</v>
      </c>
      <c r="AB69" s="139" t="s">
        <v>46</v>
      </c>
      <c r="AC69" s="139" t="s">
        <v>46</v>
      </c>
      <c r="AD69" s="139" t="s">
        <v>46</v>
      </c>
      <c r="AE69" s="139" t="s">
        <v>46</v>
      </c>
      <c r="AF69" s="139" t="s">
        <v>46</v>
      </c>
      <c r="AG69" s="139" t="s">
        <v>46</v>
      </c>
      <c r="AH69" s="139" t="s">
        <v>46</v>
      </c>
      <c r="AI69" s="139" t="s">
        <v>46</v>
      </c>
      <c r="AJ69" s="139">
        <v>0</v>
      </c>
      <c r="AK69" s="139">
        <v>0</v>
      </c>
      <c r="AL69" s="139">
        <f>0.1*$AL$2</f>
        <v>7.5000000000000011E-2</v>
      </c>
      <c r="AM69" s="139">
        <f>AM62</f>
        <v>2.7E-2</v>
      </c>
      <c r="AN69" s="139">
        <f>ROUNDUP(AN62/3,0)</f>
        <v>1</v>
      </c>
      <c r="AQ69" s="142">
        <f>AM69*I69*0.1+AL69</f>
        <v>8.2508092500000005E-2</v>
      </c>
      <c r="AR69" s="142">
        <f t="shared" si="79"/>
        <v>8.2508092500000012E-3</v>
      </c>
      <c r="AS69" s="143">
        <f t="shared" si="80"/>
        <v>0</v>
      </c>
      <c r="AT69" s="143">
        <f t="shared" si="81"/>
        <v>2.2689725437500002E-2</v>
      </c>
      <c r="AU69" s="142">
        <f>1333*J67*POWER(10,-6)</f>
        <v>3.7067730749999993E-3</v>
      </c>
      <c r="AV69" s="143">
        <f t="shared" si="77"/>
        <v>0.11715540026250001</v>
      </c>
      <c r="AW69" s="144">
        <f t="shared" si="82"/>
        <v>0</v>
      </c>
      <c r="AX69" s="144">
        <f t="shared" si="83"/>
        <v>0</v>
      </c>
      <c r="AY69" s="144">
        <f t="shared" si="86"/>
        <v>1.4246096671920005E-6</v>
      </c>
      <c r="AZ69" s="289">
        <f>AW69/[1]DB!$B$23</f>
        <v>0</v>
      </c>
      <c r="BA69" s="289">
        <f>AX69/[1]DB!$B$23</f>
        <v>0</v>
      </c>
    </row>
    <row r="70" spans="1:53" s="139" customFormat="1" x14ac:dyDescent="0.3">
      <c r="A70" s="193" t="s">
        <v>474</v>
      </c>
      <c r="B70" s="193" t="str">
        <f>B62</f>
        <v>Электродегидратор ЭГ-1.1-1.2, нефть, попутный нефтяной газ, пластовая вода</v>
      </c>
      <c r="C70" s="193" t="s">
        <v>341</v>
      </c>
      <c r="D70" s="193" t="s">
        <v>342</v>
      </c>
      <c r="E70" s="194">
        <v>2.5000000000000001E-5</v>
      </c>
      <c r="F70" s="146">
        <v>1</v>
      </c>
      <c r="G70" s="193">
        <v>1</v>
      </c>
      <c r="H70" s="195">
        <f t="shared" si="78"/>
        <v>2.5000000000000001E-5</v>
      </c>
      <c r="I70" s="196">
        <f>I62</f>
        <v>123.59</v>
      </c>
      <c r="J70" s="196">
        <f>J62*0.01</f>
        <v>1.2359</v>
      </c>
      <c r="K70" s="193"/>
      <c r="L70" s="193"/>
      <c r="M70" s="197" t="str">
        <f t="shared" si="74"/>
        <v>C57</v>
      </c>
      <c r="N70" s="197"/>
      <c r="O70" s="197"/>
      <c r="P70" s="197">
        <v>9.1999999999999993</v>
      </c>
      <c r="Q70" s="197">
        <v>13.1</v>
      </c>
      <c r="R70" s="197">
        <v>19.3</v>
      </c>
      <c r="S70" s="197">
        <v>37.6</v>
      </c>
      <c r="T70" s="197"/>
      <c r="U70" s="197"/>
      <c r="V70" s="197" t="s">
        <v>46</v>
      </c>
      <c r="W70" s="197" t="s">
        <v>46</v>
      </c>
      <c r="X70" s="197" t="s">
        <v>46</v>
      </c>
      <c r="Y70" s="197" t="s">
        <v>46</v>
      </c>
      <c r="Z70" s="197"/>
      <c r="AA70" s="197"/>
      <c r="AB70" s="197"/>
      <c r="AC70" s="197"/>
      <c r="AD70" s="197"/>
      <c r="AE70" s="197">
        <v>17.5</v>
      </c>
      <c r="AF70" s="197">
        <v>44.5</v>
      </c>
      <c r="AG70" s="197">
        <v>58</v>
      </c>
      <c r="AH70" s="197">
        <v>80</v>
      </c>
      <c r="AI70" s="197"/>
      <c r="AJ70" s="197">
        <v>0</v>
      </c>
      <c r="AK70" s="197">
        <v>2</v>
      </c>
      <c r="AL70" s="197">
        <f>AL62</f>
        <v>0.75</v>
      </c>
      <c r="AM70" s="197">
        <f>AM62</f>
        <v>2.7E-2</v>
      </c>
      <c r="AN70" s="197">
        <v>5</v>
      </c>
      <c r="AO70" s="197"/>
      <c r="AP70" s="197"/>
      <c r="AQ70" s="198">
        <f>AM70*I70+AL70</f>
        <v>4.0869300000000006</v>
      </c>
      <c r="AR70" s="198">
        <f>0.1*AQ70</f>
        <v>0.40869300000000008</v>
      </c>
      <c r="AS70" s="199">
        <f>AJ70*3+0.25*AK70</f>
        <v>0.5</v>
      </c>
      <c r="AT70" s="199">
        <f>SUM(AQ70:AS70)/4</f>
        <v>1.2489057500000003</v>
      </c>
      <c r="AU70" s="198">
        <f>10068.2*J70*POWER(10,-6)</f>
        <v>1.244328838E-2</v>
      </c>
      <c r="AV70" s="199">
        <f t="shared" si="77"/>
        <v>6.2569720383800007</v>
      </c>
      <c r="AW70" s="200">
        <f>AJ70*H70</f>
        <v>0</v>
      </c>
      <c r="AX70" s="200">
        <f>H70*AK70</f>
        <v>5.0000000000000002E-5</v>
      </c>
      <c r="AY70" s="200">
        <f>H70*AV70</f>
        <v>1.5642430095950003E-4</v>
      </c>
      <c r="AZ70" s="289">
        <f>AW70/[1]DB!$B$23</f>
        <v>0</v>
      </c>
      <c r="BA70" s="289">
        <f>AX70/[1]DB!$B$23</f>
        <v>6.0240963855421685E-8</v>
      </c>
    </row>
    <row r="71" spans="1:53" ht="15" thickBot="1" x14ac:dyDescent="0.35"/>
    <row r="72" spans="1:53" s="139" customFormat="1" ht="18" customHeight="1" x14ac:dyDescent="0.3">
      <c r="A72" s="130" t="s">
        <v>475</v>
      </c>
      <c r="B72" s="131" t="s">
        <v>660</v>
      </c>
      <c r="C72" s="13" t="s">
        <v>143</v>
      </c>
      <c r="D72" s="132" t="s">
        <v>25</v>
      </c>
      <c r="E72" s="133">
        <v>9.9999999999999995E-7</v>
      </c>
      <c r="F72" s="131">
        <v>2</v>
      </c>
      <c r="G72" s="130">
        <v>0.05</v>
      </c>
      <c r="H72" s="134">
        <f>E72*F72*G72</f>
        <v>9.9999999999999995E-8</v>
      </c>
      <c r="I72" s="135">
        <v>2.88</v>
      </c>
      <c r="J72" s="136">
        <f>I72</f>
        <v>2.88</v>
      </c>
      <c r="K72" s="137" t="s">
        <v>122</v>
      </c>
      <c r="L72" s="138">
        <v>100</v>
      </c>
      <c r="M72" s="139" t="str">
        <f t="shared" ref="M72:M80" si="87">A72</f>
        <v>C58</v>
      </c>
      <c r="N72" s="139" t="str">
        <f t="shared" ref="N72:N79" si="88">B72</f>
        <v>Трубчатая печь ПТБ-5-40Э№1-2, нефть, попутный нефтяной газ</v>
      </c>
      <c r="O72" s="139" t="str">
        <f t="shared" ref="O72:O79" si="89">D72</f>
        <v>Полное-пожар</v>
      </c>
      <c r="P72" s="139">
        <v>8.1</v>
      </c>
      <c r="Q72" s="139">
        <v>11.5</v>
      </c>
      <c r="R72" s="139">
        <v>17.100000000000001</v>
      </c>
      <c r="S72" s="139">
        <v>33.6</v>
      </c>
      <c r="T72" s="139" t="s">
        <v>46</v>
      </c>
      <c r="U72" s="139" t="s">
        <v>46</v>
      </c>
      <c r="V72" s="139" t="s">
        <v>46</v>
      </c>
      <c r="W72" s="139" t="s">
        <v>46</v>
      </c>
      <c r="X72" s="139" t="s">
        <v>46</v>
      </c>
      <c r="Y72" s="139" t="s">
        <v>46</v>
      </c>
      <c r="Z72" s="139" t="s">
        <v>46</v>
      </c>
      <c r="AA72" s="139" t="s">
        <v>46</v>
      </c>
      <c r="AB72" s="139" t="s">
        <v>46</v>
      </c>
      <c r="AC72" s="139" t="s">
        <v>46</v>
      </c>
      <c r="AD72" s="139" t="s">
        <v>46</v>
      </c>
      <c r="AE72" s="139" t="s">
        <v>46</v>
      </c>
      <c r="AF72" s="139" t="s">
        <v>46</v>
      </c>
      <c r="AG72" s="139" t="s">
        <v>46</v>
      </c>
      <c r="AH72" s="139" t="s">
        <v>46</v>
      </c>
      <c r="AI72" s="139" t="s">
        <v>46</v>
      </c>
      <c r="AJ72" s="140">
        <v>0</v>
      </c>
      <c r="AK72" s="140">
        <v>2</v>
      </c>
      <c r="AL72" s="141">
        <v>0.75</v>
      </c>
      <c r="AM72" s="141">
        <v>2.7E-2</v>
      </c>
      <c r="AN72" s="141">
        <v>3</v>
      </c>
      <c r="AQ72" s="142">
        <f>AM72*I72+AL72</f>
        <v>0.82776000000000005</v>
      </c>
      <c r="AR72" s="142">
        <f>0.1*AQ72</f>
        <v>8.2776000000000016E-2</v>
      </c>
      <c r="AS72" s="143">
        <f>AJ72*3+0.25*AK72</f>
        <v>0.5</v>
      </c>
      <c r="AT72" s="143">
        <f>SUM(AQ72:AS72)/4</f>
        <v>0.352634</v>
      </c>
      <c r="AU72" s="142">
        <f>10068.2*J72*POWER(10,-6)</f>
        <v>2.8996416000000001E-2</v>
      </c>
      <c r="AV72" s="143">
        <f t="shared" ref="AV72:AV80" si="90">AU72+AT72+AS72+AR72+AQ72</f>
        <v>1.7921664160000002</v>
      </c>
      <c r="AW72" s="144">
        <f>AJ72*H72</f>
        <v>0</v>
      </c>
      <c r="AX72" s="144">
        <f>H72*AK72</f>
        <v>1.9999999999999999E-7</v>
      </c>
      <c r="AY72" s="144">
        <f>H72*AV72</f>
        <v>1.792166416E-7</v>
      </c>
      <c r="AZ72" s="289">
        <f>AW72/[1]DB!$B$23</f>
        <v>0</v>
      </c>
      <c r="BA72" s="289">
        <f>AX72/[1]DB!$B$23</f>
        <v>2.4096385542168672E-10</v>
      </c>
    </row>
    <row r="73" spans="1:53" s="139" customFormat="1" x14ac:dyDescent="0.3">
      <c r="A73" s="130" t="s">
        <v>476</v>
      </c>
      <c r="B73" s="130" t="str">
        <f>B72</f>
        <v>Трубчатая печь ПТБ-5-40Э№1-2, нефть, попутный нефтяной газ</v>
      </c>
      <c r="C73" s="13" t="s">
        <v>149</v>
      </c>
      <c r="D73" s="132" t="s">
        <v>28</v>
      </c>
      <c r="E73" s="145">
        <f>E72</f>
        <v>9.9999999999999995E-7</v>
      </c>
      <c r="F73" s="146">
        <f>F72</f>
        <v>2</v>
      </c>
      <c r="G73" s="130">
        <v>0.19</v>
      </c>
      <c r="H73" s="134">
        <f t="shared" ref="H73:H80" si="91">E73*F73*G73</f>
        <v>3.7999999999999996E-7</v>
      </c>
      <c r="I73" s="147">
        <f>I72</f>
        <v>2.88</v>
      </c>
      <c r="J73" s="333">
        <f>POWER(10,-6)*35*SQRT(100)*3600*L72/1000*0.1</f>
        <v>1.2599999999999998E-2</v>
      </c>
      <c r="K73" s="148" t="s">
        <v>123</v>
      </c>
      <c r="L73" s="149">
        <v>2</v>
      </c>
      <c r="M73" s="139" t="str">
        <f t="shared" si="87"/>
        <v>C59</v>
      </c>
      <c r="N73" s="139" t="str">
        <f t="shared" si="88"/>
        <v>Трубчатая печь ПТБ-5-40Э№1-2, нефть, попутный нефтяной газ</v>
      </c>
      <c r="O73" s="139" t="str">
        <f t="shared" si="89"/>
        <v>Полное-взрыв</v>
      </c>
      <c r="P73" s="139" t="s">
        <v>46</v>
      </c>
      <c r="Q73" s="139" t="s">
        <v>46</v>
      </c>
      <c r="R73" s="139" t="s">
        <v>46</v>
      </c>
      <c r="S73" s="139" t="s">
        <v>46</v>
      </c>
      <c r="T73" s="139">
        <v>0</v>
      </c>
      <c r="U73" s="139">
        <v>0</v>
      </c>
      <c r="V73" s="139">
        <v>17.600000000000001</v>
      </c>
      <c r="W73" s="139">
        <v>58.6</v>
      </c>
      <c r="X73" s="139">
        <v>85.6</v>
      </c>
      <c r="Y73" s="139" t="s">
        <v>46</v>
      </c>
      <c r="Z73" s="139" t="s">
        <v>46</v>
      </c>
      <c r="AA73" s="139" t="s">
        <v>46</v>
      </c>
      <c r="AB73" s="139" t="s">
        <v>46</v>
      </c>
      <c r="AC73" s="139" t="s">
        <v>46</v>
      </c>
      <c r="AD73" s="139" t="s">
        <v>46</v>
      </c>
      <c r="AE73" s="139" t="s">
        <v>46</v>
      </c>
      <c r="AF73" s="139" t="s">
        <v>46</v>
      </c>
      <c r="AG73" s="139" t="s">
        <v>46</v>
      </c>
      <c r="AH73" s="139" t="s">
        <v>46</v>
      </c>
      <c r="AI73" s="139" t="s">
        <v>46</v>
      </c>
      <c r="AJ73" s="140">
        <v>1</v>
      </c>
      <c r="AK73" s="140">
        <v>2</v>
      </c>
      <c r="AL73" s="139">
        <f>AL72</f>
        <v>0.75</v>
      </c>
      <c r="AM73" s="139">
        <f>AM72</f>
        <v>2.7E-2</v>
      </c>
      <c r="AN73" s="139">
        <f>AN72</f>
        <v>3</v>
      </c>
      <c r="AQ73" s="142">
        <f>AM73*I73+AL73</f>
        <v>0.82776000000000005</v>
      </c>
      <c r="AR73" s="142">
        <f t="shared" ref="AR73:AR79" si="92">0.1*AQ73</f>
        <v>8.2776000000000016E-2</v>
      </c>
      <c r="AS73" s="143">
        <f t="shared" ref="AS73:AS79" si="93">AJ73*3+0.25*AK73</f>
        <v>3.5</v>
      </c>
      <c r="AT73" s="143">
        <f t="shared" ref="AT73:AT79" si="94">SUM(AQ73:AS73)/4</f>
        <v>1.1026340000000001</v>
      </c>
      <c r="AU73" s="142">
        <f>10068.2*J73*POWER(10,-6)*10</f>
        <v>1.2685932E-3</v>
      </c>
      <c r="AV73" s="143">
        <f t="shared" si="90"/>
        <v>5.5144385931999995</v>
      </c>
      <c r="AW73" s="144">
        <f t="shared" ref="AW73:AW79" si="95">AJ73*H73</f>
        <v>3.7999999999999996E-7</v>
      </c>
      <c r="AX73" s="144">
        <f t="shared" ref="AX73:AX79" si="96">H73*AK73</f>
        <v>7.5999999999999992E-7</v>
      </c>
      <c r="AY73" s="144">
        <f t="shared" ref="AY73" si="97">H73*AV73</f>
        <v>2.0954866654159998E-6</v>
      </c>
      <c r="AZ73" s="289">
        <f>AW73/[1]DB!$B$23</f>
        <v>4.5783132530120476E-10</v>
      </c>
      <c r="BA73" s="289">
        <f>AX73/[1]DB!$B$23</f>
        <v>9.1566265060240952E-10</v>
      </c>
    </row>
    <row r="74" spans="1:53" s="139" customFormat="1" x14ac:dyDescent="0.3">
      <c r="A74" s="130" t="s">
        <v>477</v>
      </c>
      <c r="B74" s="130" t="str">
        <f>B72</f>
        <v>Трубчатая печь ПТБ-5-40Э№1-2, нефть, попутный нефтяной газ</v>
      </c>
      <c r="C74" s="13" t="s">
        <v>188</v>
      </c>
      <c r="D74" s="132" t="s">
        <v>26</v>
      </c>
      <c r="E74" s="145">
        <f>E72</f>
        <v>9.9999999999999995E-7</v>
      </c>
      <c r="F74" s="146">
        <f t="shared" ref="F74:F79" si="98">F73</f>
        <v>2</v>
      </c>
      <c r="G74" s="130">
        <v>0.76</v>
      </c>
      <c r="H74" s="134">
        <f t="shared" si="91"/>
        <v>1.5199999999999998E-6</v>
      </c>
      <c r="I74" s="147">
        <f>I72</f>
        <v>2.88</v>
      </c>
      <c r="J74" s="150">
        <v>0</v>
      </c>
      <c r="K74" s="148" t="s">
        <v>124</v>
      </c>
      <c r="L74" s="149">
        <v>1.05</v>
      </c>
      <c r="M74" s="139" t="str">
        <f t="shared" si="87"/>
        <v>C60</v>
      </c>
      <c r="N74" s="139" t="str">
        <f t="shared" si="88"/>
        <v>Трубчатая печь ПТБ-5-40Э№1-2, нефть, попутный нефтяной газ</v>
      </c>
      <c r="O74" s="139" t="str">
        <f t="shared" si="89"/>
        <v>Полное-ликвидация</v>
      </c>
      <c r="P74" s="139" t="s">
        <v>46</v>
      </c>
      <c r="Q74" s="139" t="s">
        <v>46</v>
      </c>
      <c r="R74" s="139" t="s">
        <v>46</v>
      </c>
      <c r="S74" s="139" t="s">
        <v>46</v>
      </c>
      <c r="T74" s="139" t="s">
        <v>46</v>
      </c>
      <c r="U74" s="139" t="s">
        <v>46</v>
      </c>
      <c r="V74" s="139" t="s">
        <v>46</v>
      </c>
      <c r="W74" s="139" t="s">
        <v>46</v>
      </c>
      <c r="X74" s="139" t="s">
        <v>46</v>
      </c>
      <c r="Y74" s="139" t="s">
        <v>46</v>
      </c>
      <c r="Z74" s="139" t="s">
        <v>46</v>
      </c>
      <c r="AA74" s="139" t="s">
        <v>46</v>
      </c>
      <c r="AB74" s="139" t="s">
        <v>46</v>
      </c>
      <c r="AC74" s="139" t="s">
        <v>46</v>
      </c>
      <c r="AD74" s="139" t="s">
        <v>46</v>
      </c>
      <c r="AE74" s="139" t="s">
        <v>46</v>
      </c>
      <c r="AF74" s="139" t="s">
        <v>46</v>
      </c>
      <c r="AG74" s="139" t="s">
        <v>46</v>
      </c>
      <c r="AH74" s="139" t="s">
        <v>46</v>
      </c>
      <c r="AI74" s="139" t="s">
        <v>46</v>
      </c>
      <c r="AJ74" s="139">
        <v>0</v>
      </c>
      <c r="AK74" s="139">
        <v>0</v>
      </c>
      <c r="AL74" s="139">
        <f>AL72</f>
        <v>0.75</v>
      </c>
      <c r="AM74" s="139">
        <f>AM72</f>
        <v>2.7E-2</v>
      </c>
      <c r="AN74" s="139">
        <f>AN72</f>
        <v>3</v>
      </c>
      <c r="AQ74" s="142">
        <f>AM74*I74*0.1+AL74</f>
        <v>0.75777600000000001</v>
      </c>
      <c r="AR74" s="142">
        <f t="shared" si="92"/>
        <v>7.5777600000000001E-2</v>
      </c>
      <c r="AS74" s="143">
        <f t="shared" si="93"/>
        <v>0</v>
      </c>
      <c r="AT74" s="143">
        <f t="shared" si="94"/>
        <v>0.2083884</v>
      </c>
      <c r="AU74" s="142">
        <f>1333*J72*POWER(10,-6)</f>
        <v>3.8390399999999997E-3</v>
      </c>
      <c r="AV74" s="143">
        <f t="shared" si="90"/>
        <v>1.0457810400000001</v>
      </c>
      <c r="AW74" s="144">
        <f t="shared" si="95"/>
        <v>0</v>
      </c>
      <c r="AX74" s="144">
        <f t="shared" si="96"/>
        <v>0</v>
      </c>
      <c r="AY74" s="144">
        <f>H74*AV74</f>
        <v>1.5895871807999998E-6</v>
      </c>
      <c r="AZ74" s="289">
        <f>AW74/[1]DB!$B$23</f>
        <v>0</v>
      </c>
      <c r="BA74" s="289">
        <f>AX74/[1]DB!$B$23</f>
        <v>0</v>
      </c>
    </row>
    <row r="75" spans="1:53" s="139" customFormat="1" x14ac:dyDescent="0.3">
      <c r="A75" s="130" t="s">
        <v>478</v>
      </c>
      <c r="B75" s="130" t="str">
        <f>B72</f>
        <v>Трубчатая печь ПТБ-5-40Э№1-2, нефть, попутный нефтяной газ</v>
      </c>
      <c r="C75" s="13" t="s">
        <v>160</v>
      </c>
      <c r="D75" s="132" t="s">
        <v>161</v>
      </c>
      <c r="E75" s="133">
        <v>1.0000000000000001E-5</v>
      </c>
      <c r="F75" s="146">
        <f t="shared" si="98"/>
        <v>2</v>
      </c>
      <c r="G75" s="130">
        <v>4.0000000000000008E-2</v>
      </c>
      <c r="H75" s="134">
        <f t="shared" si="91"/>
        <v>8.0000000000000018E-7</v>
      </c>
      <c r="I75" s="147">
        <f>0.15*I72</f>
        <v>0.432</v>
      </c>
      <c r="J75" s="136">
        <f>I75</f>
        <v>0.432</v>
      </c>
      <c r="K75" s="148" t="s">
        <v>126</v>
      </c>
      <c r="L75" s="149">
        <v>45390</v>
      </c>
      <c r="M75" s="139" t="str">
        <f t="shared" si="87"/>
        <v>C61</v>
      </c>
      <c r="N75" s="139" t="str">
        <f t="shared" si="88"/>
        <v>Трубчатая печь ПТБ-5-40Э№1-2, нефть, попутный нефтяной газ</v>
      </c>
      <c r="O75" s="139" t="str">
        <f t="shared" si="89"/>
        <v>Частичное факел</v>
      </c>
      <c r="P75" s="139" t="s">
        <v>46</v>
      </c>
      <c r="Q75" s="139" t="s">
        <v>46</v>
      </c>
      <c r="R75" s="139" t="s">
        <v>46</v>
      </c>
      <c r="S75" s="139" t="s">
        <v>46</v>
      </c>
      <c r="T75" s="139" t="s">
        <v>46</v>
      </c>
      <c r="U75" s="139" t="s">
        <v>46</v>
      </c>
      <c r="V75" s="139" t="s">
        <v>46</v>
      </c>
      <c r="W75" s="139" t="s">
        <v>46</v>
      </c>
      <c r="X75" s="139" t="s">
        <v>46</v>
      </c>
      <c r="Y75" s="139">
        <v>15</v>
      </c>
      <c r="Z75" s="139">
        <v>3</v>
      </c>
      <c r="AA75" s="139" t="s">
        <v>46</v>
      </c>
      <c r="AB75" s="139" t="s">
        <v>46</v>
      </c>
      <c r="AC75" s="139" t="s">
        <v>46</v>
      </c>
      <c r="AD75" s="139" t="s">
        <v>46</v>
      </c>
      <c r="AE75" s="139" t="s">
        <v>46</v>
      </c>
      <c r="AF75" s="139" t="s">
        <v>46</v>
      </c>
      <c r="AG75" s="139" t="s">
        <v>46</v>
      </c>
      <c r="AH75" s="139" t="s">
        <v>46</v>
      </c>
      <c r="AI75" s="139" t="s">
        <v>46</v>
      </c>
      <c r="AJ75" s="139">
        <v>0</v>
      </c>
      <c r="AK75" s="139">
        <v>1</v>
      </c>
      <c r="AL75" s="139">
        <f>0.1*$AL$2</f>
        <v>7.5000000000000011E-2</v>
      </c>
      <c r="AM75" s="139">
        <f>AM73</f>
        <v>2.7E-2</v>
      </c>
      <c r="AN75" s="139">
        <f>AN72</f>
        <v>3</v>
      </c>
      <c r="AQ75" s="142">
        <f>AM75*I75*0.1+AL75</f>
        <v>7.6166400000000009E-2</v>
      </c>
      <c r="AR75" s="142">
        <f t="shared" si="92"/>
        <v>7.6166400000000009E-3</v>
      </c>
      <c r="AS75" s="143">
        <f t="shared" si="93"/>
        <v>0.25</v>
      </c>
      <c r="AT75" s="143">
        <f t="shared" si="94"/>
        <v>8.3445760000000008E-2</v>
      </c>
      <c r="AU75" s="142">
        <f>10068.2*J75*POWER(10,-6)</f>
        <v>4.3494624000000003E-3</v>
      </c>
      <c r="AV75" s="143">
        <f t="shared" si="90"/>
        <v>0.42157826240000007</v>
      </c>
      <c r="AW75" s="144">
        <f t="shared" si="95"/>
        <v>0</v>
      </c>
      <c r="AX75" s="144">
        <f t="shared" si="96"/>
        <v>8.0000000000000018E-7</v>
      </c>
      <c r="AY75" s="144">
        <f t="shared" ref="AY75:AY79" si="99">H75*AV75</f>
        <v>3.3726260992000016E-7</v>
      </c>
      <c r="AZ75" s="289">
        <f>AW75/[1]DB!$B$23</f>
        <v>0</v>
      </c>
      <c r="BA75" s="289">
        <f>AX75/[1]DB!$B$23</f>
        <v>9.638554216867473E-10</v>
      </c>
    </row>
    <row r="76" spans="1:53" s="139" customFormat="1" x14ac:dyDescent="0.3">
      <c r="A76" s="130" t="s">
        <v>479</v>
      </c>
      <c r="B76" s="130" t="str">
        <f>B72</f>
        <v>Трубчатая печь ПТБ-5-40Э№1-2, нефть, попутный нефтяной газ</v>
      </c>
      <c r="C76" s="13" t="s">
        <v>189</v>
      </c>
      <c r="D76" s="132" t="s">
        <v>27</v>
      </c>
      <c r="E76" s="145">
        <f>E75</f>
        <v>1.0000000000000001E-5</v>
      </c>
      <c r="F76" s="146">
        <f t="shared" si="98"/>
        <v>2</v>
      </c>
      <c r="G76" s="130">
        <v>0.16000000000000003</v>
      </c>
      <c r="H76" s="134">
        <f t="shared" si="91"/>
        <v>3.2000000000000007E-6</v>
      </c>
      <c r="I76" s="147">
        <f>0.15*I72</f>
        <v>0.432</v>
      </c>
      <c r="J76" s="136">
        <v>0</v>
      </c>
      <c r="K76" s="148" t="s">
        <v>127</v>
      </c>
      <c r="L76" s="149">
        <v>3</v>
      </c>
      <c r="M76" s="139" t="str">
        <f t="shared" si="87"/>
        <v>C62</v>
      </c>
      <c r="N76" s="139" t="str">
        <f t="shared" si="88"/>
        <v>Трубчатая печь ПТБ-5-40Э№1-2, нефть, попутный нефтяной газ</v>
      </c>
      <c r="O76" s="139" t="str">
        <f t="shared" si="89"/>
        <v>Частичное-ликвидация</v>
      </c>
      <c r="P76" s="139" t="s">
        <v>46</v>
      </c>
      <c r="Q76" s="139" t="s">
        <v>46</v>
      </c>
      <c r="R76" s="139" t="s">
        <v>46</v>
      </c>
      <c r="S76" s="139" t="s">
        <v>46</v>
      </c>
      <c r="T76" s="139" t="s">
        <v>46</v>
      </c>
      <c r="U76" s="139" t="s">
        <v>46</v>
      </c>
      <c r="V76" s="139" t="s">
        <v>46</v>
      </c>
      <c r="W76" s="139" t="s">
        <v>46</v>
      </c>
      <c r="X76" s="139" t="s">
        <v>46</v>
      </c>
      <c r="Y76" s="139" t="s">
        <v>46</v>
      </c>
      <c r="Z76" s="139" t="s">
        <v>46</v>
      </c>
      <c r="AA76" s="139" t="s">
        <v>46</v>
      </c>
      <c r="AB76" s="139" t="s">
        <v>46</v>
      </c>
      <c r="AC76" s="139" t="s">
        <v>46</v>
      </c>
      <c r="AD76" s="139" t="s">
        <v>46</v>
      </c>
      <c r="AE76" s="139" t="s">
        <v>46</v>
      </c>
      <c r="AF76" s="139" t="s">
        <v>46</v>
      </c>
      <c r="AG76" s="139" t="s">
        <v>46</v>
      </c>
      <c r="AH76" s="139" t="s">
        <v>46</v>
      </c>
      <c r="AI76" s="139" t="s">
        <v>46</v>
      </c>
      <c r="AJ76" s="139">
        <v>0</v>
      </c>
      <c r="AK76" s="139">
        <v>1</v>
      </c>
      <c r="AL76" s="139">
        <f>0.1*$AL$2</f>
        <v>7.5000000000000011E-2</v>
      </c>
      <c r="AM76" s="139">
        <f>AM72</f>
        <v>2.7E-2</v>
      </c>
      <c r="AN76" s="139">
        <f>ROUNDUP(AN72/3,0)</f>
        <v>1</v>
      </c>
      <c r="AQ76" s="142">
        <f>AM76*I76+AL76</f>
        <v>8.6664000000000005E-2</v>
      </c>
      <c r="AR76" s="142">
        <f t="shared" si="92"/>
        <v>8.6664000000000012E-3</v>
      </c>
      <c r="AS76" s="143">
        <f t="shared" si="93"/>
        <v>0.25</v>
      </c>
      <c r="AT76" s="143">
        <f t="shared" si="94"/>
        <v>8.6332600000000009E-2</v>
      </c>
      <c r="AU76" s="142">
        <f>1333*J73*POWER(10,-6)*10</f>
        <v>1.6795799999999995E-4</v>
      </c>
      <c r="AV76" s="143">
        <f t="shared" si="90"/>
        <v>0.43183095800000004</v>
      </c>
      <c r="AW76" s="144">
        <f t="shared" si="95"/>
        <v>0</v>
      </c>
      <c r="AX76" s="144">
        <f t="shared" si="96"/>
        <v>3.2000000000000007E-6</v>
      </c>
      <c r="AY76" s="144">
        <f t="shared" si="99"/>
        <v>1.3818590656000004E-6</v>
      </c>
      <c r="AZ76" s="289">
        <f>AW76/[1]DB!$B$23</f>
        <v>0</v>
      </c>
      <c r="BA76" s="289">
        <f>AX76/[1]DB!$B$23</f>
        <v>3.8554216867469892E-9</v>
      </c>
    </row>
    <row r="77" spans="1:53" s="139" customFormat="1" x14ac:dyDescent="0.3">
      <c r="A77" s="130" t="s">
        <v>515</v>
      </c>
      <c r="B77" s="130" t="str">
        <f>B72</f>
        <v>Трубчатая печь ПТБ-5-40Э№1-2, нефть, попутный нефтяной газ</v>
      </c>
      <c r="C77" s="13" t="s">
        <v>162</v>
      </c>
      <c r="D77" s="132" t="s">
        <v>161</v>
      </c>
      <c r="E77" s="145">
        <f>E76</f>
        <v>1.0000000000000001E-5</v>
      </c>
      <c r="F77" s="146">
        <f t="shared" si="98"/>
        <v>2</v>
      </c>
      <c r="G77" s="130">
        <v>4.0000000000000008E-2</v>
      </c>
      <c r="H77" s="134">
        <f t="shared" si="91"/>
        <v>8.0000000000000018E-7</v>
      </c>
      <c r="I77" s="147">
        <f>I75*0.15</f>
        <v>6.4799999999999996E-2</v>
      </c>
      <c r="J77" s="136">
        <f>I77</f>
        <v>6.4799999999999996E-2</v>
      </c>
      <c r="K77" s="151" t="s">
        <v>138</v>
      </c>
      <c r="L77" s="152">
        <v>12</v>
      </c>
      <c r="M77" s="139" t="str">
        <f t="shared" si="87"/>
        <v>C63</v>
      </c>
      <c r="N77" s="139" t="str">
        <f t="shared" si="88"/>
        <v>Трубчатая печь ПТБ-5-40Э№1-2, нефть, попутный нефтяной газ</v>
      </c>
      <c r="O77" s="139" t="str">
        <f t="shared" si="89"/>
        <v>Частичное факел</v>
      </c>
      <c r="P77" s="139" t="s">
        <v>46</v>
      </c>
      <c r="Q77" s="139" t="s">
        <v>46</v>
      </c>
      <c r="R77" s="139" t="s">
        <v>46</v>
      </c>
      <c r="S77" s="139" t="s">
        <v>46</v>
      </c>
      <c r="T77" s="139" t="s">
        <v>46</v>
      </c>
      <c r="U77" s="139" t="s">
        <v>46</v>
      </c>
      <c r="V77" s="139" t="s">
        <v>46</v>
      </c>
      <c r="W77" s="139" t="s">
        <v>46</v>
      </c>
      <c r="X77" s="139" t="s">
        <v>46</v>
      </c>
      <c r="Y77" s="139">
        <v>11</v>
      </c>
      <c r="Z77" s="139">
        <v>2</v>
      </c>
      <c r="AA77" s="139" t="s">
        <v>46</v>
      </c>
      <c r="AB77" s="139" t="s">
        <v>46</v>
      </c>
      <c r="AC77" s="139" t="s">
        <v>46</v>
      </c>
      <c r="AD77" s="139" t="s">
        <v>46</v>
      </c>
      <c r="AE77" s="139" t="s">
        <v>46</v>
      </c>
      <c r="AF77" s="139" t="s">
        <v>46</v>
      </c>
      <c r="AG77" s="139" t="s">
        <v>46</v>
      </c>
      <c r="AH77" s="139" t="s">
        <v>46</v>
      </c>
      <c r="AI77" s="139" t="s">
        <v>46</v>
      </c>
      <c r="AJ77" s="139">
        <v>0</v>
      </c>
      <c r="AK77" s="139">
        <v>1</v>
      </c>
      <c r="AL77" s="139">
        <f>0.1*$AL$2</f>
        <v>7.5000000000000011E-2</v>
      </c>
      <c r="AM77" s="139">
        <f>AM72</f>
        <v>2.7E-2</v>
      </c>
      <c r="AN77" s="139">
        <f>AN76</f>
        <v>1</v>
      </c>
      <c r="AQ77" s="142">
        <f>AM77*I77+AL77</f>
        <v>7.6749600000000015E-2</v>
      </c>
      <c r="AR77" s="142">
        <f t="shared" si="92"/>
        <v>7.6749600000000015E-3</v>
      </c>
      <c r="AS77" s="143">
        <f t="shared" si="93"/>
        <v>0.25</v>
      </c>
      <c r="AT77" s="143">
        <f t="shared" si="94"/>
        <v>8.3606139999999995E-2</v>
      </c>
      <c r="AU77" s="142">
        <f>10068.2*J77*POWER(10,-6)</f>
        <v>6.5241935999999997E-4</v>
      </c>
      <c r="AV77" s="143">
        <f t="shared" si="90"/>
        <v>0.41868311936000002</v>
      </c>
      <c r="AW77" s="144">
        <f t="shared" si="95"/>
        <v>0</v>
      </c>
      <c r="AX77" s="144">
        <f t="shared" si="96"/>
        <v>8.0000000000000018E-7</v>
      </c>
      <c r="AY77" s="144">
        <f t="shared" si="99"/>
        <v>3.349464954880001E-7</v>
      </c>
      <c r="AZ77" s="289">
        <f>AW77/[1]DB!$B$23</f>
        <v>0</v>
      </c>
      <c r="BA77" s="289">
        <f>AX77/[1]DB!$B$23</f>
        <v>9.638554216867473E-10</v>
      </c>
    </row>
    <row r="78" spans="1:53" s="139" customFormat="1" x14ac:dyDescent="0.3">
      <c r="A78" s="130" t="s">
        <v>516</v>
      </c>
      <c r="B78" s="130" t="str">
        <f>B72</f>
        <v>Трубчатая печь ПТБ-5-40Э№1-2, нефть, попутный нефтяной газ</v>
      </c>
      <c r="C78" s="13" t="s">
        <v>163</v>
      </c>
      <c r="D78" s="132" t="s">
        <v>112</v>
      </c>
      <c r="E78" s="145">
        <f>E76</f>
        <v>1.0000000000000001E-5</v>
      </c>
      <c r="F78" s="146">
        <f t="shared" si="98"/>
        <v>2</v>
      </c>
      <c r="G78" s="130">
        <v>0.15200000000000002</v>
      </c>
      <c r="H78" s="134">
        <f t="shared" si="91"/>
        <v>3.0400000000000005E-6</v>
      </c>
      <c r="I78" s="147">
        <f>I75*0.15</f>
        <v>6.4799999999999996E-2</v>
      </c>
      <c r="J78" s="136">
        <f>I78</f>
        <v>6.4799999999999996E-2</v>
      </c>
      <c r="K78" s="334" t="s">
        <v>466</v>
      </c>
      <c r="L78" s="287" t="s">
        <v>642</v>
      </c>
      <c r="M78" s="139" t="str">
        <f t="shared" si="87"/>
        <v>C64</v>
      </c>
      <c r="N78" s="139" t="str">
        <f t="shared" si="88"/>
        <v>Трубчатая печь ПТБ-5-40Э№1-2, нефть, попутный нефтяной газ</v>
      </c>
      <c r="O78" s="139" t="str">
        <f t="shared" si="89"/>
        <v>Частичное-пожар-вспышка</v>
      </c>
      <c r="P78" s="139" t="s">
        <v>46</v>
      </c>
      <c r="Q78" s="139" t="s">
        <v>46</v>
      </c>
      <c r="R78" s="139" t="s">
        <v>46</v>
      </c>
      <c r="S78" s="139" t="s">
        <v>46</v>
      </c>
      <c r="T78" s="139" t="s">
        <v>46</v>
      </c>
      <c r="U78" s="139" t="s">
        <v>46</v>
      </c>
      <c r="V78" s="139" t="s">
        <v>46</v>
      </c>
      <c r="W78" s="139" t="s">
        <v>46</v>
      </c>
      <c r="X78" s="139" t="s">
        <v>46</v>
      </c>
      <c r="Y78" s="139" t="s">
        <v>46</v>
      </c>
      <c r="Z78" s="139" t="s">
        <v>46</v>
      </c>
      <c r="AA78" s="139">
        <v>13.59</v>
      </c>
      <c r="AB78" s="139">
        <v>16.309999999999999</v>
      </c>
      <c r="AC78" s="139" t="s">
        <v>46</v>
      </c>
      <c r="AD78" s="139" t="s">
        <v>46</v>
      </c>
      <c r="AE78" s="139" t="s">
        <v>46</v>
      </c>
      <c r="AF78" s="139" t="s">
        <v>46</v>
      </c>
      <c r="AG78" s="139" t="s">
        <v>46</v>
      </c>
      <c r="AH78" s="139" t="s">
        <v>46</v>
      </c>
      <c r="AI78" s="139" t="s">
        <v>46</v>
      </c>
      <c r="AJ78" s="139">
        <v>0</v>
      </c>
      <c r="AK78" s="139">
        <v>1</v>
      </c>
      <c r="AL78" s="139">
        <f>0.1*$AL$2</f>
        <v>7.5000000000000011E-2</v>
      </c>
      <c r="AM78" s="139">
        <f>AM72</f>
        <v>2.7E-2</v>
      </c>
      <c r="AN78" s="139">
        <f>ROUNDUP(AN72/3,0)</f>
        <v>1</v>
      </c>
      <c r="AQ78" s="142">
        <f>AM78*I78+AL78</f>
        <v>7.6749600000000015E-2</v>
      </c>
      <c r="AR78" s="142">
        <f t="shared" si="92"/>
        <v>7.6749600000000015E-3</v>
      </c>
      <c r="AS78" s="143">
        <f t="shared" si="93"/>
        <v>0.25</v>
      </c>
      <c r="AT78" s="143">
        <f t="shared" si="94"/>
        <v>8.3606139999999995E-2</v>
      </c>
      <c r="AU78" s="142">
        <f>10068.2*J78*POWER(10,-6)</f>
        <v>6.5241935999999997E-4</v>
      </c>
      <c r="AV78" s="143">
        <f t="shared" si="90"/>
        <v>0.41868311936000002</v>
      </c>
      <c r="AW78" s="144">
        <f t="shared" si="95"/>
        <v>0</v>
      </c>
      <c r="AX78" s="144">
        <f t="shared" si="96"/>
        <v>3.0400000000000005E-6</v>
      </c>
      <c r="AY78" s="144">
        <f t="shared" si="99"/>
        <v>1.2727966828544004E-6</v>
      </c>
      <c r="AZ78" s="289">
        <f>AW78/[1]DB!$B$23</f>
        <v>0</v>
      </c>
      <c r="BA78" s="289">
        <f>AX78/[1]DB!$B$23</f>
        <v>3.6626506024096393E-9</v>
      </c>
    </row>
    <row r="79" spans="1:53" s="139" customFormat="1" ht="15" thickBot="1" x14ac:dyDescent="0.35">
      <c r="A79" s="130" t="s">
        <v>517</v>
      </c>
      <c r="B79" s="130" t="str">
        <f>B72</f>
        <v>Трубчатая печь ПТБ-5-40Э№1-2, нефть, попутный нефтяной газ</v>
      </c>
      <c r="C79" s="13" t="s">
        <v>164</v>
      </c>
      <c r="D79" s="132" t="s">
        <v>27</v>
      </c>
      <c r="E79" s="145">
        <f>E76</f>
        <v>1.0000000000000001E-5</v>
      </c>
      <c r="F79" s="146">
        <f t="shared" si="98"/>
        <v>2</v>
      </c>
      <c r="G79" s="130">
        <v>0.6080000000000001</v>
      </c>
      <c r="H79" s="134">
        <f t="shared" si="91"/>
        <v>1.2160000000000002E-5</v>
      </c>
      <c r="I79" s="147">
        <f>I75*0.15</f>
        <v>6.4799999999999996E-2</v>
      </c>
      <c r="J79" s="150">
        <v>0</v>
      </c>
      <c r="K79" s="153"/>
      <c r="L79" s="154"/>
      <c r="M79" s="139" t="str">
        <f t="shared" si="87"/>
        <v>C65</v>
      </c>
      <c r="N79" s="139" t="str">
        <f t="shared" si="88"/>
        <v>Трубчатая печь ПТБ-5-40Э№1-2, нефть, попутный нефтяной газ</v>
      </c>
      <c r="O79" s="139" t="str">
        <f t="shared" si="89"/>
        <v>Частичное-ликвидация</v>
      </c>
      <c r="P79" s="139" t="s">
        <v>46</v>
      </c>
      <c r="Q79" s="139" t="s">
        <v>46</v>
      </c>
      <c r="R79" s="139" t="s">
        <v>46</v>
      </c>
      <c r="S79" s="139" t="s">
        <v>46</v>
      </c>
      <c r="T79" s="139" t="s">
        <v>46</v>
      </c>
      <c r="U79" s="139" t="s">
        <v>46</v>
      </c>
      <c r="V79" s="139" t="s">
        <v>46</v>
      </c>
      <c r="W79" s="139" t="s">
        <v>46</v>
      </c>
      <c r="X79" s="139" t="s">
        <v>46</v>
      </c>
      <c r="Y79" s="139" t="s">
        <v>46</v>
      </c>
      <c r="Z79" s="139" t="s">
        <v>46</v>
      </c>
      <c r="AA79" s="139" t="s">
        <v>46</v>
      </c>
      <c r="AB79" s="139" t="s">
        <v>46</v>
      </c>
      <c r="AC79" s="139" t="s">
        <v>46</v>
      </c>
      <c r="AD79" s="139" t="s">
        <v>46</v>
      </c>
      <c r="AE79" s="139" t="s">
        <v>46</v>
      </c>
      <c r="AF79" s="139" t="s">
        <v>46</v>
      </c>
      <c r="AG79" s="139" t="s">
        <v>46</v>
      </c>
      <c r="AH79" s="139" t="s">
        <v>46</v>
      </c>
      <c r="AI79" s="139" t="s">
        <v>46</v>
      </c>
      <c r="AJ79" s="139">
        <v>0</v>
      </c>
      <c r="AK79" s="139">
        <v>0</v>
      </c>
      <c r="AL79" s="139">
        <f>0.1*$AL$2</f>
        <v>7.5000000000000011E-2</v>
      </c>
      <c r="AM79" s="139">
        <f>AM72</f>
        <v>2.7E-2</v>
      </c>
      <c r="AN79" s="139">
        <f>ROUNDUP(AN72/3,0)</f>
        <v>1</v>
      </c>
      <c r="AQ79" s="142">
        <f>AM79*I79*0.1+AL79</f>
        <v>7.5174960000000013E-2</v>
      </c>
      <c r="AR79" s="142">
        <f t="shared" si="92"/>
        <v>7.517496000000002E-3</v>
      </c>
      <c r="AS79" s="143">
        <f t="shared" si="93"/>
        <v>0</v>
      </c>
      <c r="AT79" s="143">
        <f t="shared" si="94"/>
        <v>2.0673114000000003E-2</v>
      </c>
      <c r="AU79" s="142">
        <f>1333*J77*POWER(10,-6)</f>
        <v>8.6378399999999993E-5</v>
      </c>
      <c r="AV79" s="143">
        <f t="shared" si="90"/>
        <v>0.10345194840000002</v>
      </c>
      <c r="AW79" s="144">
        <f t="shared" si="95"/>
        <v>0</v>
      </c>
      <c r="AX79" s="144">
        <f t="shared" si="96"/>
        <v>0</v>
      </c>
      <c r="AY79" s="144">
        <f t="shared" si="99"/>
        <v>1.2579756925440005E-6</v>
      </c>
      <c r="AZ79" s="289">
        <f>AW79/[1]DB!$B$23</f>
        <v>0</v>
      </c>
      <c r="BA79" s="289">
        <f>AX79/[1]DB!$B$23</f>
        <v>0</v>
      </c>
    </row>
    <row r="80" spans="1:53" s="139" customFormat="1" x14ac:dyDescent="0.3">
      <c r="A80" s="193" t="s">
        <v>667</v>
      </c>
      <c r="B80" s="193" t="str">
        <f>B72</f>
        <v>Трубчатая печь ПТБ-5-40Э№1-2, нефть, попутный нефтяной газ</v>
      </c>
      <c r="C80" s="193" t="s">
        <v>341</v>
      </c>
      <c r="D80" s="193" t="s">
        <v>342</v>
      </c>
      <c r="E80" s="194">
        <v>2.5000000000000001E-5</v>
      </c>
      <c r="F80" s="146">
        <v>1</v>
      </c>
      <c r="G80" s="193">
        <v>1</v>
      </c>
      <c r="H80" s="195">
        <f t="shared" si="91"/>
        <v>2.5000000000000001E-5</v>
      </c>
      <c r="I80" s="196">
        <f>I72</f>
        <v>2.88</v>
      </c>
      <c r="J80" s="196">
        <f>J72*0.1</f>
        <v>0.28799999999999998</v>
      </c>
      <c r="K80" s="193"/>
      <c r="L80" s="193"/>
      <c r="M80" s="197" t="str">
        <f t="shared" si="87"/>
        <v>C66</v>
      </c>
      <c r="N80" s="197"/>
      <c r="O80" s="197"/>
      <c r="P80" s="197">
        <v>8.1</v>
      </c>
      <c r="Q80" s="197">
        <v>11.5</v>
      </c>
      <c r="R80" s="197">
        <v>17.100000000000001</v>
      </c>
      <c r="S80" s="197">
        <v>33.6</v>
      </c>
      <c r="T80" s="197"/>
      <c r="U80" s="197"/>
      <c r="V80" s="197" t="s">
        <v>46</v>
      </c>
      <c r="W80" s="197" t="s">
        <v>46</v>
      </c>
      <c r="X80" s="197" t="s">
        <v>46</v>
      </c>
      <c r="Y80" s="197" t="s">
        <v>46</v>
      </c>
      <c r="Z80" s="197"/>
      <c r="AA80" s="197"/>
      <c r="AB80" s="197"/>
      <c r="AC80" s="197"/>
      <c r="AD80" s="197"/>
      <c r="AE80" s="197">
        <v>1</v>
      </c>
      <c r="AF80" s="197">
        <v>17</v>
      </c>
      <c r="AG80" s="197">
        <v>26</v>
      </c>
      <c r="AH80" s="197">
        <v>40</v>
      </c>
      <c r="AI80" s="197"/>
      <c r="AJ80" s="197">
        <v>0</v>
      </c>
      <c r="AK80" s="197">
        <v>2</v>
      </c>
      <c r="AL80" s="197">
        <f>AL72</f>
        <v>0.75</v>
      </c>
      <c r="AM80" s="197">
        <f>AM72</f>
        <v>2.7E-2</v>
      </c>
      <c r="AN80" s="197">
        <v>5</v>
      </c>
      <c r="AO80" s="197"/>
      <c r="AP80" s="197"/>
      <c r="AQ80" s="198">
        <f>AM80*I80+AL80</f>
        <v>0.82776000000000005</v>
      </c>
      <c r="AR80" s="198">
        <f>0.1*AQ80</f>
        <v>8.2776000000000016E-2</v>
      </c>
      <c r="AS80" s="199">
        <f>AJ80*3+0.25*AK80</f>
        <v>0.5</v>
      </c>
      <c r="AT80" s="199">
        <f>SUM(AQ80:AS80)/4</f>
        <v>0.352634</v>
      </c>
      <c r="AU80" s="198">
        <f>10068.2*J80*POWER(10,-6)</f>
        <v>2.8996415999999999E-3</v>
      </c>
      <c r="AV80" s="199">
        <f t="shared" si="90"/>
        <v>1.7660696416000001</v>
      </c>
      <c r="AW80" s="200">
        <f>AJ80*H80</f>
        <v>0</v>
      </c>
      <c r="AX80" s="200">
        <f>H80*AK80</f>
        <v>5.0000000000000002E-5</v>
      </c>
      <c r="AY80" s="200">
        <f>H80*AV80</f>
        <v>4.4151741040000004E-5</v>
      </c>
      <c r="AZ80" s="289">
        <f>AW80/[1]DB!$B$23</f>
        <v>0</v>
      </c>
      <c r="BA80" s="289">
        <f>AX80/[1]DB!$B$23</f>
        <v>6.0240963855421685E-8</v>
      </c>
    </row>
    <row r="81" spans="1:53" ht="15" thickBot="1" x14ac:dyDescent="0.35"/>
    <row r="82" spans="1:53" s="139" customFormat="1" ht="18" customHeight="1" x14ac:dyDescent="0.3">
      <c r="A82" s="130" t="s">
        <v>668</v>
      </c>
      <c r="B82" s="131" t="s">
        <v>661</v>
      </c>
      <c r="C82" s="13" t="s">
        <v>143</v>
      </c>
      <c r="D82" s="132" t="s">
        <v>25</v>
      </c>
      <c r="E82" s="133">
        <v>9.9999999999999995E-7</v>
      </c>
      <c r="F82" s="131">
        <v>4</v>
      </c>
      <c r="G82" s="130">
        <v>0.05</v>
      </c>
      <c r="H82" s="134">
        <f>E82*F82*G82</f>
        <v>1.9999999999999999E-7</v>
      </c>
      <c r="I82" s="135">
        <v>6.53</v>
      </c>
      <c r="J82" s="136">
        <f>I82</f>
        <v>6.53</v>
      </c>
      <c r="K82" s="137" t="s">
        <v>122</v>
      </c>
      <c r="L82" s="138">
        <v>120</v>
      </c>
      <c r="M82" s="139" t="str">
        <f t="shared" ref="M82:M90" si="100">A82</f>
        <v>C67</v>
      </c>
      <c r="N82" s="139" t="str">
        <f t="shared" ref="N82:N89" si="101">B82</f>
        <v>Теплообменник Т – 1-4, нефть, попутный нефтяной газ</v>
      </c>
      <c r="O82" s="139" t="str">
        <f t="shared" ref="O82:O89" si="102">D82</f>
        <v>Полное-пожар</v>
      </c>
      <c r="P82" s="139">
        <v>8.9</v>
      </c>
      <c r="Q82" s="139">
        <v>12.6</v>
      </c>
      <c r="R82" s="139">
        <v>18.600000000000001</v>
      </c>
      <c r="S82" s="139">
        <v>36.299999999999997</v>
      </c>
      <c r="T82" s="139" t="s">
        <v>46</v>
      </c>
      <c r="U82" s="139" t="s">
        <v>46</v>
      </c>
      <c r="V82" s="139" t="s">
        <v>46</v>
      </c>
      <c r="W82" s="139" t="s">
        <v>46</v>
      </c>
      <c r="X82" s="139" t="s">
        <v>46</v>
      </c>
      <c r="Y82" s="139" t="s">
        <v>46</v>
      </c>
      <c r="Z82" s="139" t="s">
        <v>46</v>
      </c>
      <c r="AA82" s="139" t="s">
        <v>46</v>
      </c>
      <c r="AB82" s="139" t="s">
        <v>46</v>
      </c>
      <c r="AC82" s="139" t="s">
        <v>46</v>
      </c>
      <c r="AD82" s="139" t="s">
        <v>46</v>
      </c>
      <c r="AE82" s="139" t="s">
        <v>46</v>
      </c>
      <c r="AF82" s="139" t="s">
        <v>46</v>
      </c>
      <c r="AG82" s="139" t="s">
        <v>46</v>
      </c>
      <c r="AH82" s="139" t="s">
        <v>46</v>
      </c>
      <c r="AI82" s="139" t="s">
        <v>46</v>
      </c>
      <c r="AJ82" s="140">
        <v>0</v>
      </c>
      <c r="AK82" s="140">
        <v>2</v>
      </c>
      <c r="AL82" s="141">
        <v>0.75</v>
      </c>
      <c r="AM82" s="141">
        <v>2.7E-2</v>
      </c>
      <c r="AN82" s="141">
        <v>3</v>
      </c>
      <c r="AQ82" s="142">
        <f>AM82*I82+AL82</f>
        <v>0.92630999999999997</v>
      </c>
      <c r="AR82" s="142">
        <f>0.1*AQ82</f>
        <v>9.2631000000000005E-2</v>
      </c>
      <c r="AS82" s="143">
        <f>AJ82*3+0.25*AK82</f>
        <v>0.5</v>
      </c>
      <c r="AT82" s="143">
        <f>SUM(AQ82:AS82)/4</f>
        <v>0.37973524999999997</v>
      </c>
      <c r="AU82" s="142">
        <f>10068.2*J82*POWER(10,-6)</f>
        <v>6.5745345999999996E-2</v>
      </c>
      <c r="AV82" s="143">
        <f t="shared" ref="AV82:AV90" si="103">AU82+AT82+AS82+AR82+AQ82</f>
        <v>1.9644215959999998</v>
      </c>
      <c r="AW82" s="144">
        <f>AJ82*H82</f>
        <v>0</v>
      </c>
      <c r="AX82" s="144">
        <f>H82*AK82</f>
        <v>3.9999999999999998E-7</v>
      </c>
      <c r="AY82" s="144">
        <f>H82*AV82</f>
        <v>3.9288431919999994E-7</v>
      </c>
      <c r="AZ82" s="289">
        <f>AW82/[1]DB!$B$23</f>
        <v>0</v>
      </c>
      <c r="BA82" s="289">
        <f>AX82/[1]DB!$B$23</f>
        <v>4.8192771084337344E-10</v>
      </c>
    </row>
    <row r="83" spans="1:53" s="139" customFormat="1" x14ac:dyDescent="0.3">
      <c r="A83" s="130" t="s">
        <v>669</v>
      </c>
      <c r="B83" s="130" t="str">
        <f>B82</f>
        <v>Теплообменник Т – 1-4, нефть, попутный нефтяной газ</v>
      </c>
      <c r="C83" s="13" t="s">
        <v>149</v>
      </c>
      <c r="D83" s="132" t="s">
        <v>28</v>
      </c>
      <c r="E83" s="145">
        <f>E82</f>
        <v>9.9999999999999995E-7</v>
      </c>
      <c r="F83" s="146">
        <f>F82</f>
        <v>4</v>
      </c>
      <c r="G83" s="130">
        <v>0.19</v>
      </c>
      <c r="H83" s="134">
        <f t="shared" ref="H83:H90" si="104">E83*F83*G83</f>
        <v>7.5999999999999992E-7</v>
      </c>
      <c r="I83" s="147">
        <f>I82</f>
        <v>6.53</v>
      </c>
      <c r="J83" s="333">
        <f>POWER(10,-6)*35*SQRT(100)*3600*L82/1000*0.1</f>
        <v>1.5120000000000001E-2</v>
      </c>
      <c r="K83" s="148" t="s">
        <v>123</v>
      </c>
      <c r="L83" s="149">
        <v>2</v>
      </c>
      <c r="M83" s="139" t="str">
        <f t="shared" si="100"/>
        <v>C68</v>
      </c>
      <c r="N83" s="139" t="str">
        <f t="shared" si="101"/>
        <v>Теплообменник Т – 1-4, нефть, попутный нефтяной газ</v>
      </c>
      <c r="O83" s="139" t="str">
        <f t="shared" si="102"/>
        <v>Полное-взрыв</v>
      </c>
      <c r="P83" s="139" t="s">
        <v>46</v>
      </c>
      <c r="Q83" s="139" t="s">
        <v>46</v>
      </c>
      <c r="R83" s="139" t="s">
        <v>46</v>
      </c>
      <c r="S83" s="139" t="s">
        <v>46</v>
      </c>
      <c r="T83" s="139">
        <v>0</v>
      </c>
      <c r="U83" s="139">
        <v>0</v>
      </c>
      <c r="V83" s="139">
        <v>18.600000000000001</v>
      </c>
      <c r="W83" s="139">
        <v>62.6</v>
      </c>
      <c r="X83" s="139">
        <v>91.1</v>
      </c>
      <c r="Y83" s="139" t="s">
        <v>46</v>
      </c>
      <c r="Z83" s="139" t="s">
        <v>46</v>
      </c>
      <c r="AA83" s="139" t="s">
        <v>46</v>
      </c>
      <c r="AB83" s="139" t="s">
        <v>46</v>
      </c>
      <c r="AC83" s="139" t="s">
        <v>46</v>
      </c>
      <c r="AD83" s="139" t="s">
        <v>46</v>
      </c>
      <c r="AE83" s="139" t="s">
        <v>46</v>
      </c>
      <c r="AF83" s="139" t="s">
        <v>46</v>
      </c>
      <c r="AG83" s="139" t="s">
        <v>46</v>
      </c>
      <c r="AH83" s="139" t="s">
        <v>46</v>
      </c>
      <c r="AI83" s="139" t="s">
        <v>46</v>
      </c>
      <c r="AJ83" s="140">
        <v>1</v>
      </c>
      <c r="AK83" s="140">
        <v>2</v>
      </c>
      <c r="AL83" s="139">
        <f>AL82</f>
        <v>0.75</v>
      </c>
      <c r="AM83" s="139">
        <f>AM82</f>
        <v>2.7E-2</v>
      </c>
      <c r="AN83" s="139">
        <f>AN82</f>
        <v>3</v>
      </c>
      <c r="AQ83" s="142">
        <f>AM83*I83+AL83</f>
        <v>0.92630999999999997</v>
      </c>
      <c r="AR83" s="142">
        <f t="shared" ref="AR83:AR89" si="105">0.1*AQ83</f>
        <v>9.2631000000000005E-2</v>
      </c>
      <c r="AS83" s="143">
        <f t="shared" ref="AS83:AS89" si="106">AJ83*3+0.25*AK83</f>
        <v>3.5</v>
      </c>
      <c r="AT83" s="143">
        <f t="shared" ref="AT83:AT89" si="107">SUM(AQ83:AS83)/4</f>
        <v>1.12973525</v>
      </c>
      <c r="AU83" s="142">
        <f>10068.2*J83*POWER(10,-6)*10</f>
        <v>1.52231184E-3</v>
      </c>
      <c r="AV83" s="143">
        <f t="shared" si="103"/>
        <v>5.6501985618399999</v>
      </c>
      <c r="AW83" s="144">
        <f t="shared" ref="AW83:AW89" si="108">AJ83*H83</f>
        <v>7.5999999999999992E-7</v>
      </c>
      <c r="AX83" s="144">
        <f t="shared" ref="AX83:AX89" si="109">H83*AK83</f>
        <v>1.5199999999999998E-6</v>
      </c>
      <c r="AY83" s="144">
        <f t="shared" ref="AY83" si="110">H83*AV83</f>
        <v>4.2941509069983993E-6</v>
      </c>
      <c r="AZ83" s="289">
        <f>AW83/[1]DB!$B$23</f>
        <v>9.1566265060240952E-10</v>
      </c>
      <c r="BA83" s="289">
        <f>AX83/[1]DB!$B$23</f>
        <v>1.831325301204819E-9</v>
      </c>
    </row>
    <row r="84" spans="1:53" s="139" customFormat="1" x14ac:dyDescent="0.3">
      <c r="A84" s="130" t="s">
        <v>764</v>
      </c>
      <c r="B84" s="130" t="str">
        <f>B82</f>
        <v>Теплообменник Т – 1-4, нефть, попутный нефтяной газ</v>
      </c>
      <c r="C84" s="13" t="s">
        <v>188</v>
      </c>
      <c r="D84" s="132" t="s">
        <v>26</v>
      </c>
      <c r="E84" s="145">
        <f>E82</f>
        <v>9.9999999999999995E-7</v>
      </c>
      <c r="F84" s="146">
        <f t="shared" ref="F84:F89" si="111">F83</f>
        <v>4</v>
      </c>
      <c r="G84" s="130">
        <v>0.76</v>
      </c>
      <c r="H84" s="134">
        <f t="shared" si="104"/>
        <v>3.0399999999999997E-6</v>
      </c>
      <c r="I84" s="147">
        <f>I82</f>
        <v>6.53</v>
      </c>
      <c r="J84" s="150">
        <v>0</v>
      </c>
      <c r="K84" s="148" t="s">
        <v>124</v>
      </c>
      <c r="L84" s="149">
        <v>1.05</v>
      </c>
      <c r="M84" s="139" t="str">
        <f t="shared" si="100"/>
        <v>C69</v>
      </c>
      <c r="N84" s="139" t="str">
        <f t="shared" si="101"/>
        <v>Теплообменник Т – 1-4, нефть, попутный нефтяной газ</v>
      </c>
      <c r="O84" s="139" t="str">
        <f t="shared" si="102"/>
        <v>Полное-ликвидация</v>
      </c>
      <c r="P84" s="139" t="s">
        <v>46</v>
      </c>
      <c r="Q84" s="139" t="s">
        <v>46</v>
      </c>
      <c r="R84" s="139" t="s">
        <v>46</v>
      </c>
      <c r="S84" s="139" t="s">
        <v>46</v>
      </c>
      <c r="T84" s="139" t="s">
        <v>46</v>
      </c>
      <c r="U84" s="139" t="s">
        <v>46</v>
      </c>
      <c r="V84" s="139" t="s">
        <v>46</v>
      </c>
      <c r="W84" s="139" t="s">
        <v>46</v>
      </c>
      <c r="X84" s="139" t="s">
        <v>46</v>
      </c>
      <c r="Y84" s="139" t="s">
        <v>46</v>
      </c>
      <c r="Z84" s="139" t="s">
        <v>46</v>
      </c>
      <c r="AA84" s="139" t="s">
        <v>46</v>
      </c>
      <c r="AB84" s="139" t="s">
        <v>46</v>
      </c>
      <c r="AC84" s="139" t="s">
        <v>46</v>
      </c>
      <c r="AD84" s="139" t="s">
        <v>46</v>
      </c>
      <c r="AE84" s="139" t="s">
        <v>46</v>
      </c>
      <c r="AF84" s="139" t="s">
        <v>46</v>
      </c>
      <c r="AG84" s="139" t="s">
        <v>46</v>
      </c>
      <c r="AH84" s="139" t="s">
        <v>46</v>
      </c>
      <c r="AI84" s="139" t="s">
        <v>46</v>
      </c>
      <c r="AJ84" s="139">
        <v>0</v>
      </c>
      <c r="AK84" s="139">
        <v>0</v>
      </c>
      <c r="AL84" s="139">
        <f>AL82</f>
        <v>0.75</v>
      </c>
      <c r="AM84" s="139">
        <f>AM82</f>
        <v>2.7E-2</v>
      </c>
      <c r="AN84" s="139">
        <f>AN82</f>
        <v>3</v>
      </c>
      <c r="AQ84" s="142">
        <f>AM84*I84*0.1+AL84</f>
        <v>0.76763099999999995</v>
      </c>
      <c r="AR84" s="142">
        <f t="shared" si="105"/>
        <v>7.6763100000000001E-2</v>
      </c>
      <c r="AS84" s="143">
        <f t="shared" si="106"/>
        <v>0</v>
      </c>
      <c r="AT84" s="143">
        <f t="shared" si="107"/>
        <v>0.21109852499999998</v>
      </c>
      <c r="AU84" s="142">
        <f>1333*J82*POWER(10,-6)</f>
        <v>8.7044899999999988E-3</v>
      </c>
      <c r="AV84" s="143">
        <f t="shared" si="103"/>
        <v>1.0641971149999998</v>
      </c>
      <c r="AW84" s="144">
        <f t="shared" si="108"/>
        <v>0</v>
      </c>
      <c r="AX84" s="144">
        <f t="shared" si="109"/>
        <v>0</v>
      </c>
      <c r="AY84" s="144">
        <f>H84*AV84</f>
        <v>3.2351592295999989E-6</v>
      </c>
      <c r="AZ84" s="289">
        <f>AW84/[1]DB!$B$23</f>
        <v>0</v>
      </c>
      <c r="BA84" s="289">
        <f>AX84/[1]DB!$B$23</f>
        <v>0</v>
      </c>
    </row>
    <row r="85" spans="1:53" s="139" customFormat="1" x14ac:dyDescent="0.3">
      <c r="A85" s="130" t="s">
        <v>765</v>
      </c>
      <c r="B85" s="130" t="str">
        <f>B82</f>
        <v>Теплообменник Т – 1-4, нефть, попутный нефтяной газ</v>
      </c>
      <c r="C85" s="13" t="s">
        <v>160</v>
      </c>
      <c r="D85" s="132" t="s">
        <v>161</v>
      </c>
      <c r="E85" s="133">
        <v>1.0000000000000001E-5</v>
      </c>
      <c r="F85" s="146">
        <f t="shared" si="111"/>
        <v>4</v>
      </c>
      <c r="G85" s="130">
        <v>4.0000000000000008E-2</v>
      </c>
      <c r="H85" s="134">
        <f t="shared" si="104"/>
        <v>1.6000000000000004E-6</v>
      </c>
      <c r="I85" s="147">
        <f>0.15*I82</f>
        <v>0.97950000000000004</v>
      </c>
      <c r="J85" s="136">
        <f>I85</f>
        <v>0.97950000000000004</v>
      </c>
      <c r="K85" s="148" t="s">
        <v>126</v>
      </c>
      <c r="L85" s="149">
        <v>45390</v>
      </c>
      <c r="M85" s="139" t="str">
        <f t="shared" si="100"/>
        <v>C70</v>
      </c>
      <c r="N85" s="139" t="str">
        <f t="shared" si="101"/>
        <v>Теплообменник Т – 1-4, нефть, попутный нефтяной газ</v>
      </c>
      <c r="O85" s="139" t="str">
        <f t="shared" si="102"/>
        <v>Частичное факел</v>
      </c>
      <c r="P85" s="139" t="s">
        <v>46</v>
      </c>
      <c r="Q85" s="139" t="s">
        <v>46</v>
      </c>
      <c r="R85" s="139" t="s">
        <v>46</v>
      </c>
      <c r="S85" s="139" t="s">
        <v>46</v>
      </c>
      <c r="T85" s="139" t="s">
        <v>46</v>
      </c>
      <c r="U85" s="139" t="s">
        <v>46</v>
      </c>
      <c r="V85" s="139" t="s">
        <v>46</v>
      </c>
      <c r="W85" s="139" t="s">
        <v>46</v>
      </c>
      <c r="X85" s="139" t="s">
        <v>46</v>
      </c>
      <c r="Y85" s="139">
        <v>15</v>
      </c>
      <c r="Z85" s="139">
        <v>3</v>
      </c>
      <c r="AA85" s="139" t="s">
        <v>46</v>
      </c>
      <c r="AB85" s="139" t="s">
        <v>46</v>
      </c>
      <c r="AC85" s="139" t="s">
        <v>46</v>
      </c>
      <c r="AD85" s="139" t="s">
        <v>46</v>
      </c>
      <c r="AE85" s="139" t="s">
        <v>46</v>
      </c>
      <c r="AF85" s="139" t="s">
        <v>46</v>
      </c>
      <c r="AG85" s="139" t="s">
        <v>46</v>
      </c>
      <c r="AH85" s="139" t="s">
        <v>46</v>
      </c>
      <c r="AI85" s="139" t="s">
        <v>46</v>
      </c>
      <c r="AJ85" s="139">
        <v>0</v>
      </c>
      <c r="AK85" s="139">
        <v>1</v>
      </c>
      <c r="AL85" s="139">
        <f>0.1*$AL$2</f>
        <v>7.5000000000000011E-2</v>
      </c>
      <c r="AM85" s="139">
        <f>AM83</f>
        <v>2.7E-2</v>
      </c>
      <c r="AN85" s="139">
        <f>AN82</f>
        <v>3</v>
      </c>
      <c r="AQ85" s="142">
        <f>AM85*I85*0.1+AL85</f>
        <v>7.7644650000000009E-2</v>
      </c>
      <c r="AR85" s="142">
        <f t="shared" si="105"/>
        <v>7.7644650000000016E-3</v>
      </c>
      <c r="AS85" s="143">
        <f t="shared" si="106"/>
        <v>0.25</v>
      </c>
      <c r="AT85" s="143">
        <f t="shared" si="107"/>
        <v>8.3852278750000009E-2</v>
      </c>
      <c r="AU85" s="142">
        <f>10068.2*J85*POWER(10,-6)</f>
        <v>9.8618018999999998E-3</v>
      </c>
      <c r="AV85" s="143">
        <f t="shared" si="103"/>
        <v>0.42912319565000001</v>
      </c>
      <c r="AW85" s="144">
        <f t="shared" si="108"/>
        <v>0</v>
      </c>
      <c r="AX85" s="144">
        <f t="shared" si="109"/>
        <v>1.6000000000000004E-6</v>
      </c>
      <c r="AY85" s="144">
        <f t="shared" ref="AY85:AY89" si="112">H85*AV85</f>
        <v>6.8659711304000021E-7</v>
      </c>
      <c r="AZ85" s="289">
        <f>AW85/[1]DB!$B$23</f>
        <v>0</v>
      </c>
      <c r="BA85" s="289">
        <f>AX85/[1]DB!$B$23</f>
        <v>1.9277108433734946E-9</v>
      </c>
    </row>
    <row r="86" spans="1:53" s="139" customFormat="1" x14ac:dyDescent="0.3">
      <c r="A86" s="130" t="s">
        <v>766</v>
      </c>
      <c r="B86" s="130" t="str">
        <f>B82</f>
        <v>Теплообменник Т – 1-4, нефть, попутный нефтяной газ</v>
      </c>
      <c r="C86" s="13" t="s">
        <v>189</v>
      </c>
      <c r="D86" s="132" t="s">
        <v>27</v>
      </c>
      <c r="E86" s="145">
        <f>E85</f>
        <v>1.0000000000000001E-5</v>
      </c>
      <c r="F86" s="146">
        <f t="shared" si="111"/>
        <v>4</v>
      </c>
      <c r="G86" s="130">
        <v>0.16000000000000003</v>
      </c>
      <c r="H86" s="134">
        <f t="shared" si="104"/>
        <v>6.4000000000000014E-6</v>
      </c>
      <c r="I86" s="147">
        <f>0.15*I82</f>
        <v>0.97950000000000004</v>
      </c>
      <c r="J86" s="136">
        <v>0</v>
      </c>
      <c r="K86" s="148" t="s">
        <v>127</v>
      </c>
      <c r="L86" s="149">
        <v>3</v>
      </c>
      <c r="M86" s="139" t="str">
        <f t="shared" si="100"/>
        <v>C71</v>
      </c>
      <c r="N86" s="139" t="str">
        <f t="shared" si="101"/>
        <v>Теплообменник Т – 1-4, нефть, попутный нефтяной газ</v>
      </c>
      <c r="O86" s="139" t="str">
        <f t="shared" si="102"/>
        <v>Частичное-ликвидация</v>
      </c>
      <c r="P86" s="139" t="s">
        <v>46</v>
      </c>
      <c r="Q86" s="139" t="s">
        <v>46</v>
      </c>
      <c r="R86" s="139" t="s">
        <v>46</v>
      </c>
      <c r="S86" s="139" t="s">
        <v>46</v>
      </c>
      <c r="T86" s="139" t="s">
        <v>46</v>
      </c>
      <c r="U86" s="139" t="s">
        <v>46</v>
      </c>
      <c r="V86" s="139" t="s">
        <v>46</v>
      </c>
      <c r="W86" s="139" t="s">
        <v>46</v>
      </c>
      <c r="X86" s="139" t="s">
        <v>46</v>
      </c>
      <c r="Y86" s="139" t="s">
        <v>46</v>
      </c>
      <c r="Z86" s="139" t="s">
        <v>46</v>
      </c>
      <c r="AA86" s="139" t="s">
        <v>46</v>
      </c>
      <c r="AB86" s="139" t="s">
        <v>46</v>
      </c>
      <c r="AC86" s="139" t="s">
        <v>46</v>
      </c>
      <c r="AD86" s="139" t="s">
        <v>46</v>
      </c>
      <c r="AE86" s="139" t="s">
        <v>46</v>
      </c>
      <c r="AF86" s="139" t="s">
        <v>46</v>
      </c>
      <c r="AG86" s="139" t="s">
        <v>46</v>
      </c>
      <c r="AH86" s="139" t="s">
        <v>46</v>
      </c>
      <c r="AI86" s="139" t="s">
        <v>46</v>
      </c>
      <c r="AJ86" s="139">
        <v>0</v>
      </c>
      <c r="AK86" s="139">
        <v>1</v>
      </c>
      <c r="AL86" s="139">
        <f>0.1*$AL$2</f>
        <v>7.5000000000000011E-2</v>
      </c>
      <c r="AM86" s="139">
        <f>AM82</f>
        <v>2.7E-2</v>
      </c>
      <c r="AN86" s="139">
        <f>ROUNDUP(AN82/3,0)</f>
        <v>1</v>
      </c>
      <c r="AQ86" s="142">
        <f>AM86*I86+AL86</f>
        <v>0.10144650000000001</v>
      </c>
      <c r="AR86" s="142">
        <f t="shared" si="105"/>
        <v>1.0144650000000002E-2</v>
      </c>
      <c r="AS86" s="143">
        <f t="shared" si="106"/>
        <v>0.25</v>
      </c>
      <c r="AT86" s="143">
        <f t="shared" si="107"/>
        <v>9.0397787500000007E-2</v>
      </c>
      <c r="AU86" s="142">
        <f>1333*J83*POWER(10,-6)*10</f>
        <v>2.0154960000000002E-4</v>
      </c>
      <c r="AV86" s="143">
        <f t="shared" si="103"/>
        <v>0.45219048709999998</v>
      </c>
      <c r="AW86" s="144">
        <f t="shared" si="108"/>
        <v>0</v>
      </c>
      <c r="AX86" s="144">
        <f t="shared" si="109"/>
        <v>6.4000000000000014E-6</v>
      </c>
      <c r="AY86" s="144">
        <f t="shared" si="112"/>
        <v>2.8940191174400005E-6</v>
      </c>
      <c r="AZ86" s="289">
        <f>AW86/[1]DB!$B$23</f>
        <v>0</v>
      </c>
      <c r="BA86" s="289">
        <f>AX86/[1]DB!$B$23</f>
        <v>7.7108433734939784E-9</v>
      </c>
    </row>
    <row r="87" spans="1:53" s="139" customFormat="1" x14ac:dyDescent="0.3">
      <c r="A87" s="130" t="s">
        <v>767</v>
      </c>
      <c r="B87" s="130" t="str">
        <f>B82</f>
        <v>Теплообменник Т – 1-4, нефть, попутный нефтяной газ</v>
      </c>
      <c r="C87" s="13" t="s">
        <v>162</v>
      </c>
      <c r="D87" s="132" t="s">
        <v>161</v>
      </c>
      <c r="E87" s="145">
        <f>E86</f>
        <v>1.0000000000000001E-5</v>
      </c>
      <c r="F87" s="146">
        <f t="shared" si="111"/>
        <v>4</v>
      </c>
      <c r="G87" s="130">
        <v>4.0000000000000008E-2</v>
      </c>
      <c r="H87" s="134">
        <f t="shared" si="104"/>
        <v>1.6000000000000004E-6</v>
      </c>
      <c r="I87" s="147">
        <f>I85*0.15</f>
        <v>0.146925</v>
      </c>
      <c r="J87" s="136">
        <f>I87</f>
        <v>0.146925</v>
      </c>
      <c r="K87" s="151" t="s">
        <v>138</v>
      </c>
      <c r="L87" s="152">
        <v>12</v>
      </c>
      <c r="M87" s="139" t="str">
        <f t="shared" si="100"/>
        <v>C72</v>
      </c>
      <c r="N87" s="139" t="str">
        <f t="shared" si="101"/>
        <v>Теплообменник Т – 1-4, нефть, попутный нефтяной газ</v>
      </c>
      <c r="O87" s="139" t="str">
        <f t="shared" si="102"/>
        <v>Частичное факел</v>
      </c>
      <c r="P87" s="139" t="s">
        <v>46</v>
      </c>
      <c r="Q87" s="139" t="s">
        <v>46</v>
      </c>
      <c r="R87" s="139" t="s">
        <v>46</v>
      </c>
      <c r="S87" s="139" t="s">
        <v>46</v>
      </c>
      <c r="T87" s="139" t="s">
        <v>46</v>
      </c>
      <c r="U87" s="139" t="s">
        <v>46</v>
      </c>
      <c r="V87" s="139" t="s">
        <v>46</v>
      </c>
      <c r="W87" s="139" t="s">
        <v>46</v>
      </c>
      <c r="X87" s="139" t="s">
        <v>46</v>
      </c>
      <c r="Y87" s="139">
        <v>11</v>
      </c>
      <c r="Z87" s="139">
        <v>2</v>
      </c>
      <c r="AA87" s="139" t="s">
        <v>46</v>
      </c>
      <c r="AB87" s="139" t="s">
        <v>46</v>
      </c>
      <c r="AC87" s="139" t="s">
        <v>46</v>
      </c>
      <c r="AD87" s="139" t="s">
        <v>46</v>
      </c>
      <c r="AE87" s="139" t="s">
        <v>46</v>
      </c>
      <c r="AF87" s="139" t="s">
        <v>46</v>
      </c>
      <c r="AG87" s="139" t="s">
        <v>46</v>
      </c>
      <c r="AH87" s="139" t="s">
        <v>46</v>
      </c>
      <c r="AI87" s="139" t="s">
        <v>46</v>
      </c>
      <c r="AJ87" s="139">
        <v>0</v>
      </c>
      <c r="AK87" s="139">
        <v>1</v>
      </c>
      <c r="AL87" s="139">
        <f>0.1*$AL$2</f>
        <v>7.5000000000000011E-2</v>
      </c>
      <c r="AM87" s="139">
        <f>AM82</f>
        <v>2.7E-2</v>
      </c>
      <c r="AN87" s="139">
        <f>AN86</f>
        <v>1</v>
      </c>
      <c r="AQ87" s="142">
        <f>AM87*I87+AL87</f>
        <v>7.8966975000000009E-2</v>
      </c>
      <c r="AR87" s="142">
        <f t="shared" si="105"/>
        <v>7.8966975000000009E-3</v>
      </c>
      <c r="AS87" s="143">
        <f t="shared" si="106"/>
        <v>0.25</v>
      </c>
      <c r="AT87" s="143">
        <f t="shared" si="107"/>
        <v>8.4215918125000011E-2</v>
      </c>
      <c r="AU87" s="142">
        <f>10068.2*J87*POWER(10,-6)</f>
        <v>1.4792702849999999E-3</v>
      </c>
      <c r="AV87" s="143">
        <f t="shared" si="103"/>
        <v>0.42255886091</v>
      </c>
      <c r="AW87" s="144">
        <f t="shared" si="108"/>
        <v>0</v>
      </c>
      <c r="AX87" s="144">
        <f t="shared" si="109"/>
        <v>1.6000000000000004E-6</v>
      </c>
      <c r="AY87" s="144">
        <f t="shared" si="112"/>
        <v>6.7609417745600011E-7</v>
      </c>
      <c r="AZ87" s="289">
        <f>AW87/[1]DB!$B$23</f>
        <v>0</v>
      </c>
      <c r="BA87" s="289">
        <f>AX87/[1]DB!$B$23</f>
        <v>1.9277108433734946E-9</v>
      </c>
    </row>
    <row r="88" spans="1:53" s="139" customFormat="1" x14ac:dyDescent="0.3">
      <c r="A88" s="130" t="s">
        <v>768</v>
      </c>
      <c r="B88" s="130" t="str">
        <f>B82</f>
        <v>Теплообменник Т – 1-4, нефть, попутный нефтяной газ</v>
      </c>
      <c r="C88" s="13" t="s">
        <v>163</v>
      </c>
      <c r="D88" s="132" t="s">
        <v>112</v>
      </c>
      <c r="E88" s="145">
        <f>E86</f>
        <v>1.0000000000000001E-5</v>
      </c>
      <c r="F88" s="146">
        <f t="shared" si="111"/>
        <v>4</v>
      </c>
      <c r="G88" s="130">
        <v>0.15200000000000002</v>
      </c>
      <c r="H88" s="134">
        <f t="shared" si="104"/>
        <v>6.0800000000000011E-6</v>
      </c>
      <c r="I88" s="147">
        <f>I85*0.15</f>
        <v>0.146925</v>
      </c>
      <c r="J88" s="136">
        <f>I88</f>
        <v>0.146925</v>
      </c>
      <c r="K88" s="334" t="s">
        <v>466</v>
      </c>
      <c r="L88" s="287" t="s">
        <v>642</v>
      </c>
      <c r="M88" s="139" t="str">
        <f t="shared" si="100"/>
        <v>C73</v>
      </c>
      <c r="N88" s="139" t="str">
        <f t="shared" si="101"/>
        <v>Теплообменник Т – 1-4, нефть, попутный нефтяной газ</v>
      </c>
      <c r="O88" s="139" t="str">
        <f t="shared" si="102"/>
        <v>Частичное-пожар-вспышка</v>
      </c>
      <c r="P88" s="139" t="s">
        <v>46</v>
      </c>
      <c r="Q88" s="139" t="s">
        <v>46</v>
      </c>
      <c r="R88" s="139" t="s">
        <v>46</v>
      </c>
      <c r="S88" s="139" t="s">
        <v>46</v>
      </c>
      <c r="T88" s="139" t="s">
        <v>46</v>
      </c>
      <c r="U88" s="139" t="s">
        <v>46</v>
      </c>
      <c r="V88" s="139" t="s">
        <v>46</v>
      </c>
      <c r="W88" s="139" t="s">
        <v>46</v>
      </c>
      <c r="X88" s="139" t="s">
        <v>46</v>
      </c>
      <c r="Y88" s="139" t="s">
        <v>46</v>
      </c>
      <c r="Z88" s="139" t="s">
        <v>46</v>
      </c>
      <c r="AA88" s="139">
        <v>17.8</v>
      </c>
      <c r="AB88" s="139">
        <v>21.36</v>
      </c>
      <c r="AC88" s="139" t="s">
        <v>46</v>
      </c>
      <c r="AD88" s="139" t="s">
        <v>46</v>
      </c>
      <c r="AE88" s="139" t="s">
        <v>46</v>
      </c>
      <c r="AF88" s="139" t="s">
        <v>46</v>
      </c>
      <c r="AG88" s="139" t="s">
        <v>46</v>
      </c>
      <c r="AH88" s="139" t="s">
        <v>46</v>
      </c>
      <c r="AI88" s="139" t="s">
        <v>46</v>
      </c>
      <c r="AJ88" s="139">
        <v>0</v>
      </c>
      <c r="AK88" s="139">
        <v>1</v>
      </c>
      <c r="AL88" s="139">
        <f>0.1*$AL$2</f>
        <v>7.5000000000000011E-2</v>
      </c>
      <c r="AM88" s="139">
        <f>AM82</f>
        <v>2.7E-2</v>
      </c>
      <c r="AN88" s="139">
        <f>ROUNDUP(AN82/3,0)</f>
        <v>1</v>
      </c>
      <c r="AQ88" s="142">
        <f>AM88*I88+AL88</f>
        <v>7.8966975000000009E-2</v>
      </c>
      <c r="AR88" s="142">
        <f t="shared" si="105"/>
        <v>7.8966975000000009E-3</v>
      </c>
      <c r="AS88" s="143">
        <f t="shared" si="106"/>
        <v>0.25</v>
      </c>
      <c r="AT88" s="143">
        <f t="shared" si="107"/>
        <v>8.4215918125000011E-2</v>
      </c>
      <c r="AU88" s="142">
        <f>10068.2*J88*POWER(10,-6)</f>
        <v>1.4792702849999999E-3</v>
      </c>
      <c r="AV88" s="143">
        <f t="shared" si="103"/>
        <v>0.42255886091</v>
      </c>
      <c r="AW88" s="144">
        <f t="shared" si="108"/>
        <v>0</v>
      </c>
      <c r="AX88" s="144">
        <f t="shared" si="109"/>
        <v>6.0800000000000011E-6</v>
      </c>
      <c r="AY88" s="144">
        <f t="shared" si="112"/>
        <v>2.5691578743328003E-6</v>
      </c>
      <c r="AZ88" s="289">
        <f>AW88/[1]DB!$B$23</f>
        <v>0</v>
      </c>
      <c r="BA88" s="289">
        <f>AX88/[1]DB!$B$23</f>
        <v>7.3253012048192786E-9</v>
      </c>
    </row>
    <row r="89" spans="1:53" s="139" customFormat="1" ht="15" thickBot="1" x14ac:dyDescent="0.35">
      <c r="A89" s="130" t="s">
        <v>769</v>
      </c>
      <c r="B89" s="130" t="str">
        <f>B82</f>
        <v>Теплообменник Т – 1-4, нефть, попутный нефтяной газ</v>
      </c>
      <c r="C89" s="13" t="s">
        <v>164</v>
      </c>
      <c r="D89" s="132" t="s">
        <v>27</v>
      </c>
      <c r="E89" s="145">
        <f>E86</f>
        <v>1.0000000000000001E-5</v>
      </c>
      <c r="F89" s="146">
        <f t="shared" si="111"/>
        <v>4</v>
      </c>
      <c r="G89" s="130">
        <v>0.6080000000000001</v>
      </c>
      <c r="H89" s="134">
        <f t="shared" si="104"/>
        <v>2.4320000000000004E-5</v>
      </c>
      <c r="I89" s="147">
        <f>I85*0.15</f>
        <v>0.146925</v>
      </c>
      <c r="J89" s="150">
        <v>0</v>
      </c>
      <c r="K89" s="153"/>
      <c r="L89" s="154"/>
      <c r="M89" s="139" t="str">
        <f t="shared" si="100"/>
        <v>C74</v>
      </c>
      <c r="N89" s="139" t="str">
        <f t="shared" si="101"/>
        <v>Теплообменник Т – 1-4, нефть, попутный нефтяной газ</v>
      </c>
      <c r="O89" s="139" t="str">
        <f t="shared" si="102"/>
        <v>Частичное-ликвидация</v>
      </c>
      <c r="P89" s="139" t="s">
        <v>46</v>
      </c>
      <c r="Q89" s="139" t="s">
        <v>46</v>
      </c>
      <c r="R89" s="139" t="s">
        <v>46</v>
      </c>
      <c r="S89" s="139" t="s">
        <v>46</v>
      </c>
      <c r="T89" s="139" t="s">
        <v>46</v>
      </c>
      <c r="U89" s="139" t="s">
        <v>46</v>
      </c>
      <c r="V89" s="139" t="s">
        <v>46</v>
      </c>
      <c r="W89" s="139" t="s">
        <v>46</v>
      </c>
      <c r="X89" s="139" t="s">
        <v>46</v>
      </c>
      <c r="Y89" s="139" t="s">
        <v>46</v>
      </c>
      <c r="Z89" s="139" t="s">
        <v>46</v>
      </c>
      <c r="AA89" s="139" t="s">
        <v>46</v>
      </c>
      <c r="AB89" s="139" t="s">
        <v>46</v>
      </c>
      <c r="AC89" s="139" t="s">
        <v>46</v>
      </c>
      <c r="AD89" s="139" t="s">
        <v>46</v>
      </c>
      <c r="AE89" s="139" t="s">
        <v>46</v>
      </c>
      <c r="AF89" s="139" t="s">
        <v>46</v>
      </c>
      <c r="AG89" s="139" t="s">
        <v>46</v>
      </c>
      <c r="AH89" s="139" t="s">
        <v>46</v>
      </c>
      <c r="AI89" s="139" t="s">
        <v>46</v>
      </c>
      <c r="AJ89" s="139">
        <v>0</v>
      </c>
      <c r="AK89" s="139">
        <v>0</v>
      </c>
      <c r="AL89" s="139">
        <f>0.1*$AL$2</f>
        <v>7.5000000000000011E-2</v>
      </c>
      <c r="AM89" s="139">
        <f>AM82</f>
        <v>2.7E-2</v>
      </c>
      <c r="AN89" s="139">
        <f>ROUNDUP(AN82/3,0)</f>
        <v>1</v>
      </c>
      <c r="AQ89" s="142">
        <f>AM89*I89*0.1+AL89</f>
        <v>7.5396697500000012E-2</v>
      </c>
      <c r="AR89" s="142">
        <f t="shared" si="105"/>
        <v>7.5396697500000019E-3</v>
      </c>
      <c r="AS89" s="143">
        <f t="shared" si="106"/>
        <v>0</v>
      </c>
      <c r="AT89" s="143">
        <f t="shared" si="107"/>
        <v>2.0734091812500004E-2</v>
      </c>
      <c r="AU89" s="142">
        <f>1333*J87*POWER(10,-6)</f>
        <v>1.9585102499999999E-4</v>
      </c>
      <c r="AV89" s="143">
        <f t="shared" si="103"/>
        <v>0.10386631008750002</v>
      </c>
      <c r="AW89" s="144">
        <f t="shared" si="108"/>
        <v>0</v>
      </c>
      <c r="AX89" s="144">
        <f t="shared" si="109"/>
        <v>0</v>
      </c>
      <c r="AY89" s="144">
        <f t="shared" si="112"/>
        <v>2.5260286613280009E-6</v>
      </c>
      <c r="AZ89" s="289">
        <f>AW89/[1]DB!$B$23</f>
        <v>0</v>
      </c>
      <c r="BA89" s="289">
        <f>AX89/[1]DB!$B$23</f>
        <v>0</v>
      </c>
    </row>
    <row r="90" spans="1:53" s="139" customFormat="1" x14ac:dyDescent="0.3">
      <c r="A90" s="193" t="s">
        <v>770</v>
      </c>
      <c r="B90" s="193" t="str">
        <f>B82</f>
        <v>Теплообменник Т – 1-4, нефть, попутный нефтяной газ</v>
      </c>
      <c r="C90" s="193" t="s">
        <v>341</v>
      </c>
      <c r="D90" s="193" t="s">
        <v>342</v>
      </c>
      <c r="E90" s="194">
        <v>2.5000000000000001E-5</v>
      </c>
      <c r="F90" s="146">
        <v>1</v>
      </c>
      <c r="G90" s="193">
        <v>1</v>
      </c>
      <c r="H90" s="195">
        <f t="shared" si="104"/>
        <v>2.5000000000000001E-5</v>
      </c>
      <c r="I90" s="196">
        <f>I82</f>
        <v>6.53</v>
      </c>
      <c r="J90" s="196">
        <f>J82*0.1</f>
        <v>0.65300000000000002</v>
      </c>
      <c r="K90" s="193"/>
      <c r="L90" s="193"/>
      <c r="M90" s="197" t="str">
        <f t="shared" si="100"/>
        <v>C75</v>
      </c>
      <c r="N90" s="197"/>
      <c r="O90" s="197"/>
      <c r="P90" s="197">
        <v>8.9</v>
      </c>
      <c r="Q90" s="197">
        <v>12.6</v>
      </c>
      <c r="R90" s="197">
        <v>18.600000000000001</v>
      </c>
      <c r="S90" s="197">
        <v>36.299999999999997</v>
      </c>
      <c r="T90" s="197"/>
      <c r="U90" s="197"/>
      <c r="V90" s="197" t="s">
        <v>46</v>
      </c>
      <c r="W90" s="197" t="s">
        <v>46</v>
      </c>
      <c r="X90" s="197" t="s">
        <v>46</v>
      </c>
      <c r="Y90" s="197" t="s">
        <v>46</v>
      </c>
      <c r="Z90" s="197"/>
      <c r="AA90" s="197"/>
      <c r="AB90" s="197"/>
      <c r="AC90" s="197"/>
      <c r="AD90" s="197"/>
      <c r="AE90" s="197">
        <v>1</v>
      </c>
      <c r="AF90" s="197">
        <v>30.5</v>
      </c>
      <c r="AG90" s="197">
        <v>41.5</v>
      </c>
      <c r="AH90" s="197">
        <v>59.5</v>
      </c>
      <c r="AI90" s="197"/>
      <c r="AJ90" s="197">
        <v>0</v>
      </c>
      <c r="AK90" s="197">
        <v>2</v>
      </c>
      <c r="AL90" s="197">
        <f>AL82</f>
        <v>0.75</v>
      </c>
      <c r="AM90" s="197">
        <f>AM82</f>
        <v>2.7E-2</v>
      </c>
      <c r="AN90" s="197">
        <v>5</v>
      </c>
      <c r="AO90" s="197"/>
      <c r="AP90" s="197"/>
      <c r="AQ90" s="198">
        <f>AM90*I90+AL90</f>
        <v>0.92630999999999997</v>
      </c>
      <c r="AR90" s="198">
        <f>0.1*AQ90</f>
        <v>9.2631000000000005E-2</v>
      </c>
      <c r="AS90" s="199">
        <f>AJ90*3+0.25*AK90</f>
        <v>0.5</v>
      </c>
      <c r="AT90" s="199">
        <f>SUM(AQ90:AS90)/4</f>
        <v>0.37973524999999997</v>
      </c>
      <c r="AU90" s="198">
        <f>10068.2*J90*POWER(10,-6)</f>
        <v>6.5745346000000001E-3</v>
      </c>
      <c r="AV90" s="199">
        <f t="shared" si="103"/>
        <v>1.9052507846</v>
      </c>
      <c r="AW90" s="200">
        <f>AJ90*H90</f>
        <v>0</v>
      </c>
      <c r="AX90" s="200">
        <f>H90*AK90</f>
        <v>5.0000000000000002E-5</v>
      </c>
      <c r="AY90" s="200">
        <f>H90*AV90</f>
        <v>4.7631269615000002E-5</v>
      </c>
      <c r="AZ90" s="289">
        <f>AW90/[1]DB!$B$23</f>
        <v>0</v>
      </c>
      <c r="BA90" s="289">
        <f>AX90/[1]DB!$B$23</f>
        <v>6.0240963855421685E-8</v>
      </c>
    </row>
    <row r="91" spans="1:53" ht="15" thickBot="1" x14ac:dyDescent="0.35"/>
    <row r="92" spans="1:53" s="139" customFormat="1" ht="18" customHeight="1" x14ac:dyDescent="0.3">
      <c r="A92" s="130" t="s">
        <v>771</v>
      </c>
      <c r="B92" s="131" t="s">
        <v>662</v>
      </c>
      <c r="C92" s="13" t="s">
        <v>663</v>
      </c>
      <c r="D92" s="132" t="s">
        <v>25</v>
      </c>
      <c r="E92" s="133">
        <v>1.0000000000000001E-5</v>
      </c>
      <c r="F92" s="131">
        <v>1</v>
      </c>
      <c r="G92" s="130">
        <v>0.05</v>
      </c>
      <c r="H92" s="134">
        <f>E92*F92*G92</f>
        <v>5.0000000000000008E-7</v>
      </c>
      <c r="I92" s="135">
        <v>5.03</v>
      </c>
      <c r="J92" s="136">
        <f>I92</f>
        <v>5.03</v>
      </c>
      <c r="K92" s="137" t="s">
        <v>122</v>
      </c>
      <c r="L92" s="138">
        <v>80</v>
      </c>
      <c r="M92" s="139" t="str">
        <f t="shared" ref="M92:N94" si="113">A92</f>
        <v>C76</v>
      </c>
      <c r="N92" s="139" t="str">
        <f t="shared" si="113"/>
        <v>Дренажные емкости УПН, нефть</v>
      </c>
      <c r="O92" s="139" t="str">
        <f>D92</f>
        <v>Полное-пожар</v>
      </c>
      <c r="P92" s="139">
        <v>7.3</v>
      </c>
      <c r="Q92" s="139">
        <v>10.3</v>
      </c>
      <c r="R92" s="139">
        <v>15.4</v>
      </c>
      <c r="S92" s="139">
        <v>30.4</v>
      </c>
      <c r="T92" s="139" t="s">
        <v>46</v>
      </c>
      <c r="U92" s="139" t="s">
        <v>46</v>
      </c>
      <c r="V92" s="139" t="s">
        <v>46</v>
      </c>
      <c r="W92" s="139" t="s">
        <v>46</v>
      </c>
      <c r="X92" s="139" t="s">
        <v>46</v>
      </c>
      <c r="Y92" s="139" t="s">
        <v>46</v>
      </c>
      <c r="Z92" s="139" t="s">
        <v>46</v>
      </c>
      <c r="AA92" s="139" t="s">
        <v>46</v>
      </c>
      <c r="AB92" s="139" t="s">
        <v>46</v>
      </c>
      <c r="AC92" s="139" t="s">
        <v>46</v>
      </c>
      <c r="AD92" s="139" t="s">
        <v>46</v>
      </c>
      <c r="AE92" s="139" t="s">
        <v>46</v>
      </c>
      <c r="AF92" s="139" t="s">
        <v>46</v>
      </c>
      <c r="AG92" s="139" t="s">
        <v>46</v>
      </c>
      <c r="AH92" s="139" t="s">
        <v>46</v>
      </c>
      <c r="AI92" s="139" t="s">
        <v>46</v>
      </c>
      <c r="AJ92" s="140">
        <v>1</v>
      </c>
      <c r="AK92" s="140">
        <v>2</v>
      </c>
      <c r="AL92" s="141">
        <v>0.75</v>
      </c>
      <c r="AM92" s="141">
        <v>2.7E-2</v>
      </c>
      <c r="AN92" s="141">
        <v>3</v>
      </c>
      <c r="AQ92" s="142">
        <f>AM92*I92+AL92</f>
        <v>0.88580999999999999</v>
      </c>
      <c r="AR92" s="142">
        <f>0.1*AQ92</f>
        <v>8.8581000000000007E-2</v>
      </c>
      <c r="AS92" s="143">
        <f>AJ92*3+0.25*AK92</f>
        <v>3.5</v>
      </c>
      <c r="AT92" s="143">
        <f>SUM(AQ92:AS92)/4</f>
        <v>1.1185977499999999</v>
      </c>
      <c r="AU92" s="142">
        <f>10068.2*J92*POWER(10,-6)</f>
        <v>5.0643046000000004E-2</v>
      </c>
      <c r="AV92" s="143">
        <f>AU92+AT92+AS92+AR92+AQ92</f>
        <v>5.6436317960000002</v>
      </c>
      <c r="AW92" s="144">
        <f>AJ92*H92</f>
        <v>5.0000000000000008E-7</v>
      </c>
      <c r="AX92" s="144">
        <f>H92*AK92</f>
        <v>1.0000000000000002E-6</v>
      </c>
      <c r="AY92" s="144">
        <f>H92*AV92</f>
        <v>2.8218158980000005E-6</v>
      </c>
      <c r="AZ92" s="289">
        <f>AW92/DB!$B$23</f>
        <v>6.0240963855421696E-10</v>
      </c>
      <c r="BA92" s="289">
        <f>AX92/DB!$B$23</f>
        <v>1.2048192771084339E-9</v>
      </c>
    </row>
    <row r="93" spans="1:53" s="139" customFormat="1" x14ac:dyDescent="0.3">
      <c r="A93" s="130" t="s">
        <v>772</v>
      </c>
      <c r="B93" s="130" t="str">
        <f>B92</f>
        <v>Дренажные емкости УПН, нефть</v>
      </c>
      <c r="C93" s="13" t="s">
        <v>664</v>
      </c>
      <c r="D93" s="132" t="s">
        <v>28</v>
      </c>
      <c r="E93" s="145">
        <f>E92</f>
        <v>1.0000000000000001E-5</v>
      </c>
      <c r="F93" s="146">
        <f>F92</f>
        <v>1</v>
      </c>
      <c r="G93" s="130">
        <v>4.7500000000000001E-2</v>
      </c>
      <c r="H93" s="134">
        <f>E93*F93*G93</f>
        <v>4.7500000000000006E-7</v>
      </c>
      <c r="I93" s="147">
        <f>I92</f>
        <v>5.03</v>
      </c>
      <c r="J93" s="155">
        <f>POWER(10,-6)*35*SQRT(100)*3600*L92/1000*0.1</f>
        <v>1.0079999999999999E-2</v>
      </c>
      <c r="K93" s="148" t="s">
        <v>123</v>
      </c>
      <c r="L93" s="149">
        <v>0</v>
      </c>
      <c r="M93" s="139" t="str">
        <f t="shared" si="113"/>
        <v>C77</v>
      </c>
      <c r="N93" s="139" t="str">
        <f t="shared" si="113"/>
        <v>Дренажные емкости УПН, нефть</v>
      </c>
      <c r="O93" s="139" t="str">
        <f>D93</f>
        <v>Полное-взрыв</v>
      </c>
      <c r="P93" s="139" t="s">
        <v>46</v>
      </c>
      <c r="Q93" s="139" t="s">
        <v>46</v>
      </c>
      <c r="R93" s="139" t="s">
        <v>46</v>
      </c>
      <c r="S93" s="139" t="s">
        <v>46</v>
      </c>
      <c r="T93" s="139">
        <v>0</v>
      </c>
      <c r="U93" s="139">
        <v>0</v>
      </c>
      <c r="V93" s="139">
        <v>16.600000000000001</v>
      </c>
      <c r="W93" s="139">
        <v>54.6</v>
      </c>
      <c r="X93" s="139">
        <v>79.599999999999994</v>
      </c>
      <c r="Y93" s="139" t="s">
        <v>46</v>
      </c>
      <c r="Z93" s="139" t="s">
        <v>46</v>
      </c>
      <c r="AA93" s="139" t="s">
        <v>46</v>
      </c>
      <c r="AB93" s="139" t="s">
        <v>46</v>
      </c>
      <c r="AC93" s="139" t="s">
        <v>46</v>
      </c>
      <c r="AD93" s="139" t="s">
        <v>46</v>
      </c>
      <c r="AE93" s="139" t="s">
        <v>46</v>
      </c>
      <c r="AF93" s="139" t="s">
        <v>46</v>
      </c>
      <c r="AG93" s="139" t="s">
        <v>46</v>
      </c>
      <c r="AH93" s="139" t="s">
        <v>46</v>
      </c>
      <c r="AI93" s="139" t="s">
        <v>46</v>
      </c>
      <c r="AJ93" s="140">
        <v>2</v>
      </c>
      <c r="AK93" s="140">
        <v>2</v>
      </c>
      <c r="AL93" s="139">
        <f>AL92</f>
        <v>0.75</v>
      </c>
      <c r="AM93" s="139">
        <f>AM92</f>
        <v>2.7E-2</v>
      </c>
      <c r="AN93" s="139">
        <f>AN92</f>
        <v>3</v>
      </c>
      <c r="AQ93" s="142">
        <f>AM93*I93+AL93</f>
        <v>0.88580999999999999</v>
      </c>
      <c r="AR93" s="142">
        <f>0.1*AQ93</f>
        <v>8.8581000000000007E-2</v>
      </c>
      <c r="AS93" s="143">
        <f>AJ93*3+0.25*AK93</f>
        <v>6.5</v>
      </c>
      <c r="AT93" s="143">
        <f>SUM(AQ93:AS93)/4</f>
        <v>1.8685977499999999</v>
      </c>
      <c r="AU93" s="142">
        <f>10068.2*J93*POWER(10,-6)*10</f>
        <v>1.01487456E-3</v>
      </c>
      <c r="AV93" s="143">
        <f>AU93+AT93+AS93+AR93+AQ93</f>
        <v>9.3440036245599991</v>
      </c>
      <c r="AW93" s="144">
        <f>AJ93*H93</f>
        <v>9.5000000000000012E-7</v>
      </c>
      <c r="AX93" s="144">
        <f>H93*AK93</f>
        <v>9.5000000000000012E-7</v>
      </c>
      <c r="AY93" s="144">
        <f>H93*AV93</f>
        <v>4.4384017216660003E-6</v>
      </c>
      <c r="AZ93" s="289">
        <f>AW93/DB!$B$23</f>
        <v>1.1445783132530122E-9</v>
      </c>
      <c r="BA93" s="289">
        <f>AX93/DB!$B$23</f>
        <v>1.1445783132530122E-9</v>
      </c>
    </row>
    <row r="94" spans="1:53" s="139" customFormat="1" x14ac:dyDescent="0.3">
      <c r="A94" s="130" t="s">
        <v>773</v>
      </c>
      <c r="B94" s="130" t="str">
        <f>B92</f>
        <v>Дренажные емкости УПН, нефть</v>
      </c>
      <c r="C94" s="13" t="s">
        <v>665</v>
      </c>
      <c r="D94" s="132" t="s">
        <v>26</v>
      </c>
      <c r="E94" s="145">
        <f>E92</f>
        <v>1.0000000000000001E-5</v>
      </c>
      <c r="F94" s="146">
        <f>F92</f>
        <v>1</v>
      </c>
      <c r="G94" s="130">
        <v>0.90249999999999997</v>
      </c>
      <c r="H94" s="134">
        <f>E94*F94*G94</f>
        <v>9.0250000000000008E-6</v>
      </c>
      <c r="I94" s="147">
        <f>I92</f>
        <v>5.03</v>
      </c>
      <c r="J94" s="150">
        <v>0</v>
      </c>
      <c r="K94" s="148" t="s">
        <v>124</v>
      </c>
      <c r="L94" s="149">
        <v>0</v>
      </c>
      <c r="M94" s="139" t="str">
        <f t="shared" si="113"/>
        <v>C78</v>
      </c>
      <c r="N94" s="139" t="str">
        <f t="shared" si="113"/>
        <v>Дренажные емкости УПН, нефть</v>
      </c>
      <c r="O94" s="139" t="str">
        <f>D94</f>
        <v>Полное-ликвидация</v>
      </c>
      <c r="P94" s="139" t="s">
        <v>46</v>
      </c>
      <c r="Q94" s="139" t="s">
        <v>46</v>
      </c>
      <c r="R94" s="139" t="s">
        <v>46</v>
      </c>
      <c r="S94" s="139" t="s">
        <v>46</v>
      </c>
      <c r="T94" s="139" t="s">
        <v>46</v>
      </c>
      <c r="U94" s="139" t="s">
        <v>46</v>
      </c>
      <c r="V94" s="139" t="s">
        <v>46</v>
      </c>
      <c r="W94" s="139" t="s">
        <v>46</v>
      </c>
      <c r="X94" s="139" t="s">
        <v>46</v>
      </c>
      <c r="Y94" s="139" t="s">
        <v>46</v>
      </c>
      <c r="Z94" s="139" t="s">
        <v>46</v>
      </c>
      <c r="AA94" s="139" t="s">
        <v>46</v>
      </c>
      <c r="AB94" s="139" t="s">
        <v>46</v>
      </c>
      <c r="AC94" s="139" t="s">
        <v>46</v>
      </c>
      <c r="AD94" s="139" t="s">
        <v>46</v>
      </c>
      <c r="AE94" s="139" t="s">
        <v>46</v>
      </c>
      <c r="AF94" s="139" t="s">
        <v>46</v>
      </c>
      <c r="AG94" s="139" t="s">
        <v>46</v>
      </c>
      <c r="AH94" s="139" t="s">
        <v>46</v>
      </c>
      <c r="AI94" s="139" t="s">
        <v>46</v>
      </c>
      <c r="AJ94" s="139">
        <v>0</v>
      </c>
      <c r="AK94" s="139">
        <v>0</v>
      </c>
      <c r="AL94" s="139">
        <f>AL92</f>
        <v>0.75</v>
      </c>
      <c r="AM94" s="139">
        <f>AM92</f>
        <v>2.7E-2</v>
      </c>
      <c r="AN94" s="139">
        <f>AN92</f>
        <v>3</v>
      </c>
      <c r="AQ94" s="142">
        <f>AM94*I94*0.1+AL94</f>
        <v>0.76358099999999995</v>
      </c>
      <c r="AR94" s="142">
        <f>0.1*AQ94</f>
        <v>7.6358099999999998E-2</v>
      </c>
      <c r="AS94" s="143">
        <f>AJ94*3+0.25*AK94</f>
        <v>0</v>
      </c>
      <c r="AT94" s="143">
        <f>SUM(AQ94:AS94)/4</f>
        <v>0.20998477499999998</v>
      </c>
      <c r="AU94" s="142">
        <f>1333*J92*POWER(10,-6)</f>
        <v>6.7049900000000001E-3</v>
      </c>
      <c r="AV94" s="143">
        <f>AU94+AT94+AS94+AR94+AQ94</f>
        <v>1.056628865</v>
      </c>
      <c r="AW94" s="144">
        <f>AJ94*H94</f>
        <v>0</v>
      </c>
      <c r="AX94" s="144">
        <f>H94*AK94</f>
        <v>0</v>
      </c>
      <c r="AY94" s="144">
        <f>H94*AV94</f>
        <v>9.5360755066250001E-6</v>
      </c>
      <c r="AZ94" s="289">
        <f>AW94/DB!$B$23</f>
        <v>0</v>
      </c>
      <c r="BA94" s="289">
        <f>AX94/DB!$B$23</f>
        <v>0</v>
      </c>
    </row>
    <row r="95" spans="1:53" s="139" customFormat="1" x14ac:dyDescent="0.3">
      <c r="A95" s="130"/>
      <c r="B95" s="130"/>
      <c r="C95" s="13"/>
      <c r="D95" s="132"/>
      <c r="E95" s="133"/>
      <c r="F95" s="146"/>
      <c r="G95" s="130"/>
      <c r="H95" s="134"/>
      <c r="I95" s="147"/>
      <c r="J95" s="136"/>
      <c r="K95" s="148" t="s">
        <v>126</v>
      </c>
      <c r="L95" s="149">
        <v>45390</v>
      </c>
      <c r="AQ95" s="142"/>
      <c r="AR95" s="142"/>
      <c r="AS95" s="143"/>
      <c r="AT95" s="143"/>
      <c r="AU95" s="142"/>
      <c r="AV95" s="143"/>
      <c r="AW95" s="144"/>
      <c r="AX95" s="144"/>
      <c r="AY95" s="144"/>
    </row>
    <row r="96" spans="1:53" s="139" customFormat="1" x14ac:dyDescent="0.3">
      <c r="A96" s="130"/>
      <c r="B96" s="130"/>
      <c r="C96" s="13"/>
      <c r="D96" s="132"/>
      <c r="E96" s="145"/>
      <c r="F96" s="146"/>
      <c r="G96" s="130"/>
      <c r="H96" s="134"/>
      <c r="I96" s="147"/>
      <c r="J96" s="136"/>
      <c r="K96" s="148" t="s">
        <v>127</v>
      </c>
      <c r="L96" s="149">
        <v>3</v>
      </c>
      <c r="AQ96" s="142"/>
      <c r="AR96" s="142"/>
      <c r="AS96" s="143"/>
      <c r="AT96" s="143"/>
      <c r="AU96" s="142"/>
      <c r="AV96" s="143"/>
      <c r="AW96" s="144"/>
      <c r="AX96" s="144"/>
      <c r="AY96" s="144"/>
    </row>
    <row r="97" spans="1:53" s="139" customFormat="1" ht="15" thickBot="1" x14ac:dyDescent="0.35">
      <c r="A97" s="130"/>
      <c r="B97" s="130"/>
      <c r="C97" s="13"/>
      <c r="D97" s="132"/>
      <c r="E97" s="145"/>
      <c r="F97" s="146"/>
      <c r="G97" s="130"/>
      <c r="H97" s="134"/>
      <c r="I97" s="147"/>
      <c r="J97" s="136"/>
      <c r="K97" s="153" t="s">
        <v>138</v>
      </c>
      <c r="L97" s="165">
        <v>14</v>
      </c>
      <c r="AQ97" s="142"/>
      <c r="AR97" s="142"/>
      <c r="AS97" s="143"/>
      <c r="AT97" s="143"/>
      <c r="AU97" s="142"/>
      <c r="AV97" s="143"/>
      <c r="AW97" s="144"/>
      <c r="AX97" s="144"/>
      <c r="AY97" s="144"/>
    </row>
    <row r="98" spans="1:53" s="139" customFormat="1" x14ac:dyDescent="0.3">
      <c r="A98" s="140"/>
      <c r="B98" s="140"/>
      <c r="D98" s="186"/>
      <c r="E98" s="187"/>
      <c r="F98" s="188"/>
      <c r="G98" s="140"/>
      <c r="H98" s="144"/>
      <c r="I98" s="143"/>
      <c r="J98" s="143"/>
      <c r="K98" s="334" t="s">
        <v>466</v>
      </c>
      <c r="L98" s="287" t="s">
        <v>642</v>
      </c>
      <c r="AQ98" s="142"/>
      <c r="AR98" s="142"/>
      <c r="AS98" s="143"/>
      <c r="AT98" s="143"/>
      <c r="AU98" s="142"/>
      <c r="AV98" s="143"/>
      <c r="AW98" s="144"/>
      <c r="AX98" s="144"/>
      <c r="AY98" s="144"/>
    </row>
    <row r="99" spans="1:53" s="139" customFormat="1" x14ac:dyDescent="0.3">
      <c r="A99" s="140"/>
      <c r="B99" s="140"/>
      <c r="D99" s="186"/>
      <c r="E99" s="187"/>
      <c r="F99" s="188"/>
      <c r="G99" s="140"/>
      <c r="H99" s="144"/>
      <c r="I99" s="143"/>
      <c r="J99" s="143"/>
      <c r="K99" s="140"/>
      <c r="L99" s="188"/>
      <c r="AQ99" s="142"/>
      <c r="AR99" s="142"/>
      <c r="AS99" s="143"/>
      <c r="AT99" s="143"/>
      <c r="AU99" s="142"/>
      <c r="AV99" s="143"/>
      <c r="AW99" s="144"/>
      <c r="AX99" s="144"/>
      <c r="AY99" s="144"/>
    </row>
    <row r="100" spans="1:53" s="139" customFormat="1" x14ac:dyDescent="0.3">
      <c r="A100" s="140"/>
      <c r="B100" s="140"/>
      <c r="D100" s="186"/>
      <c r="E100" s="187"/>
      <c r="F100" s="188"/>
      <c r="G100" s="140"/>
      <c r="H100" s="144"/>
      <c r="I100" s="143"/>
      <c r="J100" s="143"/>
      <c r="K100" s="140"/>
      <c r="L100" s="188"/>
      <c r="AQ100" s="142"/>
      <c r="AR100" s="142"/>
      <c r="AS100" s="143"/>
      <c r="AT100" s="143"/>
      <c r="AU100" s="142"/>
      <c r="AV100" s="143"/>
      <c r="AW100" s="144"/>
      <c r="AX100" s="144"/>
      <c r="AY100" s="144"/>
    </row>
    <row r="101" spans="1:53" ht="15" thickBot="1" x14ac:dyDescent="0.35"/>
    <row r="102" spans="1:53" s="91" customFormat="1" ht="15" thickBot="1" x14ac:dyDescent="0.35">
      <c r="A102" s="81" t="s">
        <v>774</v>
      </c>
      <c r="B102" s="82" t="s">
        <v>666</v>
      </c>
      <c r="C102" s="83" t="s">
        <v>174</v>
      </c>
      <c r="D102" s="84" t="s">
        <v>130</v>
      </c>
      <c r="E102" s="85">
        <v>1.0000000000000001E-5</v>
      </c>
      <c r="F102" s="82">
        <v>21</v>
      </c>
      <c r="G102" s="81">
        <v>1.4999999999999999E-2</v>
      </c>
      <c r="H102" s="86">
        <f t="shared" ref="H102:H107" si="114">E102*F102*G102</f>
        <v>3.1499999999999999E-6</v>
      </c>
      <c r="I102" s="87">
        <v>1.2</v>
      </c>
      <c r="J102" s="99">
        <f>I102</f>
        <v>1.2</v>
      </c>
      <c r="K102" s="89" t="s">
        <v>122</v>
      </c>
      <c r="L102" s="90">
        <f>J102*36</f>
        <v>43.199999999999996</v>
      </c>
      <c r="M102" s="91" t="str">
        <f t="shared" ref="M102:N107" si="115">A102</f>
        <v>C79</v>
      </c>
      <c r="N102" s="91" t="str">
        <f t="shared" si="115"/>
        <v>Насосное оборудование УПН, нефть</v>
      </c>
      <c r="O102" s="91" t="str">
        <f t="shared" ref="O102:O107" si="116">D102</f>
        <v>Полное-факел</v>
      </c>
      <c r="P102" s="91" t="s">
        <v>46</v>
      </c>
      <c r="Q102" s="91" t="s">
        <v>46</v>
      </c>
      <c r="R102" s="91" t="s">
        <v>46</v>
      </c>
      <c r="S102" s="91" t="s">
        <v>46</v>
      </c>
      <c r="T102" s="91" t="s">
        <v>46</v>
      </c>
      <c r="U102" s="91" t="s">
        <v>46</v>
      </c>
      <c r="V102" s="91" t="s">
        <v>46</v>
      </c>
      <c r="W102" s="91" t="s">
        <v>46</v>
      </c>
      <c r="X102" s="91" t="s">
        <v>46</v>
      </c>
      <c r="Y102" s="91">
        <v>15</v>
      </c>
      <c r="Z102" s="91">
        <v>3</v>
      </c>
      <c r="AA102" s="91" t="s">
        <v>46</v>
      </c>
      <c r="AB102" s="91" t="s">
        <v>46</v>
      </c>
      <c r="AC102" s="91" t="s">
        <v>46</v>
      </c>
      <c r="AD102" s="91" t="s">
        <v>46</v>
      </c>
      <c r="AE102" s="91" t="s">
        <v>46</v>
      </c>
      <c r="AF102" s="91" t="s">
        <v>46</v>
      </c>
      <c r="AG102" s="91" t="s">
        <v>46</v>
      </c>
      <c r="AH102" s="91" t="s">
        <v>46</v>
      </c>
      <c r="AI102" s="91" t="s">
        <v>46</v>
      </c>
      <c r="AJ102" s="92">
        <v>1</v>
      </c>
      <c r="AK102" s="92">
        <v>1</v>
      </c>
      <c r="AL102" s="93">
        <v>0.75</v>
      </c>
      <c r="AM102" s="93">
        <v>2.7E-2</v>
      </c>
      <c r="AN102" s="93">
        <v>3</v>
      </c>
      <c r="AQ102" s="94">
        <f>AM102*I102+AL102</f>
        <v>0.78239999999999998</v>
      </c>
      <c r="AR102" s="94">
        <f t="shared" ref="AR102:AR107" si="117">0.1*AQ102</f>
        <v>7.8240000000000004E-2</v>
      </c>
      <c r="AS102" s="95">
        <f t="shared" ref="AS102:AS107" si="118">AJ102*3+0.25*AK102</f>
        <v>3.25</v>
      </c>
      <c r="AT102" s="95">
        <f t="shared" ref="AT102:AT107" si="119">SUM(AQ102:AS102)/4</f>
        <v>1.02766</v>
      </c>
      <c r="AU102" s="94">
        <f>10068.2*J102*POWER(10,-6)</f>
        <v>1.208184E-2</v>
      </c>
      <c r="AV102" s="95">
        <f t="shared" ref="AV102:AV107" si="120">AU102+AT102+AS102+AR102+AQ102</f>
        <v>5.1503818399999997</v>
      </c>
      <c r="AW102" s="96">
        <f t="shared" ref="AW102:AW107" si="121">AJ102*H102</f>
        <v>3.1499999999999999E-6</v>
      </c>
      <c r="AX102" s="96">
        <f t="shared" ref="AX102:AX107" si="122">H102*AK102</f>
        <v>3.1499999999999999E-6</v>
      </c>
      <c r="AY102" s="96">
        <f t="shared" ref="AY102:AY107" si="123">H102*AV102</f>
        <v>1.6223702795999999E-5</v>
      </c>
      <c r="AZ102" s="289">
        <f>AW102/[1]DB!$B$23</f>
        <v>3.7951807228915658E-9</v>
      </c>
      <c r="BA102" s="289">
        <f>AX102/[1]DB!$B$23</f>
        <v>3.7951807228915658E-9</v>
      </c>
    </row>
    <row r="103" spans="1:53" s="91" customFormat="1" ht="15" thickBot="1" x14ac:dyDescent="0.35">
      <c r="A103" s="81" t="s">
        <v>775</v>
      </c>
      <c r="B103" s="81" t="str">
        <f>B102</f>
        <v>Насосное оборудование УПН, нефть</v>
      </c>
      <c r="C103" s="83" t="s">
        <v>175</v>
      </c>
      <c r="D103" s="84" t="s">
        <v>173</v>
      </c>
      <c r="E103" s="97">
        <f>E102</f>
        <v>1.0000000000000001E-5</v>
      </c>
      <c r="F103" s="98">
        <f>F102</f>
        <v>21</v>
      </c>
      <c r="G103" s="81">
        <v>1.4249999999999999E-2</v>
      </c>
      <c r="H103" s="86">
        <f t="shared" si="114"/>
        <v>2.9924999999999997E-6</v>
      </c>
      <c r="I103" s="99">
        <f>I102</f>
        <v>1.2</v>
      </c>
      <c r="J103" s="189">
        <f>POWER(10,-6)*35*SQRT(100)*3600*L102/1000*0.1</f>
        <v>5.4431999999999987E-3</v>
      </c>
      <c r="K103" s="89" t="s">
        <v>123</v>
      </c>
      <c r="L103" s="90">
        <v>0</v>
      </c>
      <c r="M103" s="91" t="str">
        <f t="shared" si="115"/>
        <v>C80</v>
      </c>
      <c r="N103" s="91" t="str">
        <f t="shared" si="115"/>
        <v>Насосное оборудование УПН, нефть</v>
      </c>
      <c r="O103" s="91" t="str">
        <f t="shared" si="116"/>
        <v>Полное-взрыв облака ТВС</v>
      </c>
      <c r="P103" s="91" t="s">
        <v>46</v>
      </c>
      <c r="Q103" s="91" t="s">
        <v>46</v>
      </c>
      <c r="R103" s="91" t="s">
        <v>46</v>
      </c>
      <c r="S103" s="91" t="s">
        <v>46</v>
      </c>
      <c r="T103" s="91">
        <v>0</v>
      </c>
      <c r="U103" s="91">
        <v>0</v>
      </c>
      <c r="V103" s="91">
        <v>13.1</v>
      </c>
      <c r="W103" s="91">
        <v>44.6</v>
      </c>
      <c r="X103" s="91">
        <v>65.099999999999994</v>
      </c>
      <c r="Y103" s="91" t="s">
        <v>46</v>
      </c>
      <c r="Z103" s="91" t="s">
        <v>46</v>
      </c>
      <c r="AA103" s="91" t="s">
        <v>46</v>
      </c>
      <c r="AB103" s="91" t="s">
        <v>46</v>
      </c>
      <c r="AC103" s="91" t="s">
        <v>46</v>
      </c>
      <c r="AD103" s="91" t="s">
        <v>46</v>
      </c>
      <c r="AE103" s="91" t="s">
        <v>46</v>
      </c>
      <c r="AF103" s="91" t="s">
        <v>46</v>
      </c>
      <c r="AG103" s="91" t="s">
        <v>46</v>
      </c>
      <c r="AH103" s="91" t="s">
        <v>46</v>
      </c>
      <c r="AI103" s="91" t="s">
        <v>46</v>
      </c>
      <c r="AJ103" s="92">
        <v>0</v>
      </c>
      <c r="AK103" s="92">
        <v>1</v>
      </c>
      <c r="AL103" s="91">
        <f>AL102</f>
        <v>0.75</v>
      </c>
      <c r="AM103" s="91">
        <f>AM102</f>
        <v>2.7E-2</v>
      </c>
      <c r="AN103" s="91">
        <f>AN102</f>
        <v>3</v>
      </c>
      <c r="AQ103" s="94">
        <f>AM103*I103+AL103</f>
        <v>0.78239999999999998</v>
      </c>
      <c r="AR103" s="94">
        <f t="shared" si="117"/>
        <v>7.8240000000000004E-2</v>
      </c>
      <c r="AS103" s="95">
        <f t="shared" si="118"/>
        <v>0.25</v>
      </c>
      <c r="AT103" s="95">
        <f t="shared" si="119"/>
        <v>0.27766000000000002</v>
      </c>
      <c r="AU103" s="94">
        <f>10068.2*J103*POWER(10,-6)*10</f>
        <v>5.480322623999999E-4</v>
      </c>
      <c r="AV103" s="95">
        <f t="shared" si="120"/>
        <v>1.3888480322624002</v>
      </c>
      <c r="AW103" s="96">
        <f t="shared" si="121"/>
        <v>0</v>
      </c>
      <c r="AX103" s="96">
        <f t="shared" si="122"/>
        <v>2.9924999999999997E-6</v>
      </c>
      <c r="AY103" s="96">
        <f t="shared" si="123"/>
        <v>4.1561277365452323E-6</v>
      </c>
      <c r="AZ103" s="289">
        <f>AW103/[1]DB!$B$23</f>
        <v>0</v>
      </c>
      <c r="BA103" s="289">
        <f>AX103/[1]DB!$B$23</f>
        <v>3.6054216867469878E-9</v>
      </c>
    </row>
    <row r="104" spans="1:53" s="91" customFormat="1" x14ac:dyDescent="0.3">
      <c r="A104" s="81" t="s">
        <v>776</v>
      </c>
      <c r="B104" s="81" t="str">
        <f>B102</f>
        <v>Насосное оборудование УПН, нефть</v>
      </c>
      <c r="C104" s="83" t="s">
        <v>176</v>
      </c>
      <c r="D104" s="84" t="s">
        <v>26</v>
      </c>
      <c r="E104" s="97">
        <f>E102</f>
        <v>1.0000000000000001E-5</v>
      </c>
      <c r="F104" s="98">
        <f>F102</f>
        <v>21</v>
      </c>
      <c r="G104" s="81">
        <v>0.27074999999999999</v>
      </c>
      <c r="H104" s="86">
        <f t="shared" si="114"/>
        <v>5.6857500000000002E-5</v>
      </c>
      <c r="I104" s="99">
        <f>I102</f>
        <v>1.2</v>
      </c>
      <c r="J104" s="81">
        <v>0</v>
      </c>
      <c r="K104" s="89" t="s">
        <v>124</v>
      </c>
      <c r="L104" s="90">
        <v>1</v>
      </c>
      <c r="M104" s="91" t="str">
        <f t="shared" si="115"/>
        <v>C81</v>
      </c>
      <c r="N104" s="91" t="str">
        <f t="shared" si="115"/>
        <v>Насосное оборудование УПН, нефть</v>
      </c>
      <c r="O104" s="91" t="str">
        <f t="shared" si="116"/>
        <v>Полное-ликвидация</v>
      </c>
      <c r="P104" s="91" t="s">
        <v>46</v>
      </c>
      <c r="Q104" s="91" t="s">
        <v>46</v>
      </c>
      <c r="R104" s="91" t="s">
        <v>46</v>
      </c>
      <c r="S104" s="91" t="s">
        <v>46</v>
      </c>
      <c r="T104" s="91" t="s">
        <v>46</v>
      </c>
      <c r="U104" s="91" t="s">
        <v>46</v>
      </c>
      <c r="V104" s="91" t="s">
        <v>46</v>
      </c>
      <c r="W104" s="91" t="s">
        <v>46</v>
      </c>
      <c r="X104" s="91" t="s">
        <v>46</v>
      </c>
      <c r="Y104" s="91" t="s">
        <v>46</v>
      </c>
      <c r="Z104" s="91" t="s">
        <v>46</v>
      </c>
      <c r="AA104" s="91" t="s">
        <v>46</v>
      </c>
      <c r="AB104" s="91" t="s">
        <v>46</v>
      </c>
      <c r="AC104" s="91" t="s">
        <v>46</v>
      </c>
      <c r="AD104" s="91" t="s">
        <v>46</v>
      </c>
      <c r="AE104" s="91" t="s">
        <v>46</v>
      </c>
      <c r="AF104" s="91" t="s">
        <v>46</v>
      </c>
      <c r="AG104" s="91" t="s">
        <v>46</v>
      </c>
      <c r="AH104" s="91" t="s">
        <v>46</v>
      </c>
      <c r="AI104" s="91" t="s">
        <v>46</v>
      </c>
      <c r="AJ104" s="91">
        <v>0</v>
      </c>
      <c r="AK104" s="91">
        <v>0</v>
      </c>
      <c r="AL104" s="91">
        <f>AL102</f>
        <v>0.75</v>
      </c>
      <c r="AM104" s="91">
        <f>AM102</f>
        <v>2.7E-2</v>
      </c>
      <c r="AN104" s="91">
        <f>AN102</f>
        <v>3</v>
      </c>
      <c r="AQ104" s="94">
        <f>AM104*I104*0.1+AL104</f>
        <v>0.75324000000000002</v>
      </c>
      <c r="AR104" s="94">
        <f t="shared" si="117"/>
        <v>7.5324000000000002E-2</v>
      </c>
      <c r="AS104" s="95">
        <f t="shared" si="118"/>
        <v>0</v>
      </c>
      <c r="AT104" s="95">
        <f t="shared" si="119"/>
        <v>0.20714100000000002</v>
      </c>
      <c r="AU104" s="94">
        <f>1333*J103*POWER(10,-6)</f>
        <v>7.2557855999999978E-6</v>
      </c>
      <c r="AV104" s="95">
        <f t="shared" si="120"/>
        <v>1.0357122557856</v>
      </c>
      <c r="AW104" s="96">
        <f t="shared" si="121"/>
        <v>0</v>
      </c>
      <c r="AX104" s="96">
        <f t="shared" si="122"/>
        <v>0</v>
      </c>
      <c r="AY104" s="96">
        <f t="shared" si="123"/>
        <v>5.8888009583329751E-5</v>
      </c>
      <c r="AZ104" s="289">
        <f>AW104/[1]DB!$B$23</f>
        <v>0</v>
      </c>
      <c r="BA104" s="289">
        <f>AX104/[1]DB!$B$23</f>
        <v>0</v>
      </c>
    </row>
    <row r="105" spans="1:53" s="91" customFormat="1" x14ac:dyDescent="0.3">
      <c r="A105" s="81" t="s">
        <v>777</v>
      </c>
      <c r="B105" s="81" t="str">
        <f>B102</f>
        <v>Насосное оборудование УПН, нефть</v>
      </c>
      <c r="C105" s="83" t="s">
        <v>177</v>
      </c>
      <c r="D105" s="84" t="s">
        <v>47</v>
      </c>
      <c r="E105" s="97">
        <f>E103</f>
        <v>1.0000000000000001E-5</v>
      </c>
      <c r="F105" s="98">
        <f>F102</f>
        <v>21</v>
      </c>
      <c r="G105" s="81">
        <v>3.4999999999999996E-2</v>
      </c>
      <c r="H105" s="86">
        <f t="shared" si="114"/>
        <v>7.3499999999999999E-6</v>
      </c>
      <c r="I105" s="99">
        <f>0.15*I102</f>
        <v>0.18</v>
      </c>
      <c r="J105" s="99">
        <f>I105</f>
        <v>0.18</v>
      </c>
      <c r="K105" s="102" t="s">
        <v>126</v>
      </c>
      <c r="L105" s="103">
        <v>45390</v>
      </c>
      <c r="M105" s="91" t="str">
        <f t="shared" si="115"/>
        <v>C82</v>
      </c>
      <c r="N105" s="91" t="str">
        <f t="shared" si="115"/>
        <v>Насосное оборудование УПН, нефть</v>
      </c>
      <c r="O105" s="91" t="str">
        <f t="shared" si="116"/>
        <v>Частичное-пожар</v>
      </c>
      <c r="P105" s="91">
        <v>5.3</v>
      </c>
      <c r="Q105" s="91">
        <v>7.6</v>
      </c>
      <c r="R105" s="91">
        <v>11.5</v>
      </c>
      <c r="S105" s="91">
        <v>23.2</v>
      </c>
      <c r="T105" s="91" t="s">
        <v>46</v>
      </c>
      <c r="U105" s="91" t="s">
        <v>46</v>
      </c>
      <c r="V105" s="91" t="s">
        <v>46</v>
      </c>
      <c r="W105" s="91" t="s">
        <v>46</v>
      </c>
      <c r="X105" s="91" t="s">
        <v>46</v>
      </c>
      <c r="Y105" s="91" t="s">
        <v>46</v>
      </c>
      <c r="Z105" s="91" t="s">
        <v>46</v>
      </c>
      <c r="AA105" s="91" t="s">
        <v>46</v>
      </c>
      <c r="AB105" s="91" t="s">
        <v>46</v>
      </c>
      <c r="AC105" s="91" t="s">
        <v>46</v>
      </c>
      <c r="AD105" s="91" t="s">
        <v>46</v>
      </c>
      <c r="AE105" s="91" t="s">
        <v>46</v>
      </c>
      <c r="AF105" s="91" t="s">
        <v>46</v>
      </c>
      <c r="AG105" s="91" t="s">
        <v>46</v>
      </c>
      <c r="AH105" s="91" t="s">
        <v>46</v>
      </c>
      <c r="AI105" s="91" t="s">
        <v>46</v>
      </c>
      <c r="AJ105" s="91">
        <v>0</v>
      </c>
      <c r="AK105" s="91">
        <v>1</v>
      </c>
      <c r="AL105" s="91">
        <f>0.1*$AL$2</f>
        <v>7.5000000000000011E-2</v>
      </c>
      <c r="AM105" s="91">
        <f>AM102</f>
        <v>2.7E-2</v>
      </c>
      <c r="AN105" s="91">
        <f>ROUNDUP(AN102/3,0)</f>
        <v>1</v>
      </c>
      <c r="AQ105" s="94">
        <f>AM105*I105+AL105</f>
        <v>7.9860000000000014E-2</v>
      </c>
      <c r="AR105" s="94">
        <f t="shared" si="117"/>
        <v>7.9860000000000018E-3</v>
      </c>
      <c r="AS105" s="95">
        <f t="shared" si="118"/>
        <v>0.25</v>
      </c>
      <c r="AT105" s="95">
        <f t="shared" si="119"/>
        <v>8.4461500000000009E-2</v>
      </c>
      <c r="AU105" s="94">
        <f>10068.2*J105*POWER(10,-6)</f>
        <v>1.812276E-3</v>
      </c>
      <c r="AV105" s="95">
        <f t="shared" si="120"/>
        <v>0.42411977600000006</v>
      </c>
      <c r="AW105" s="96">
        <f t="shared" si="121"/>
        <v>0</v>
      </c>
      <c r="AX105" s="96">
        <f t="shared" si="122"/>
        <v>7.3499999999999999E-6</v>
      </c>
      <c r="AY105" s="96">
        <f t="shared" si="123"/>
        <v>3.1172803536000004E-6</v>
      </c>
      <c r="AZ105" s="289">
        <f>AW105/[1]DB!$B$23</f>
        <v>0</v>
      </c>
      <c r="BA105" s="289">
        <f>AX105/[1]DB!$B$23</f>
        <v>8.8554216867469876E-9</v>
      </c>
    </row>
    <row r="106" spans="1:53" s="91" customFormat="1" x14ac:dyDescent="0.3">
      <c r="A106" s="81" t="s">
        <v>778</v>
      </c>
      <c r="B106" s="81" t="str">
        <f>B102</f>
        <v>Насосное оборудование УПН, нефть</v>
      </c>
      <c r="C106" s="83" t="s">
        <v>422</v>
      </c>
      <c r="D106" s="84" t="s">
        <v>421</v>
      </c>
      <c r="E106" s="97">
        <f>E104</f>
        <v>1.0000000000000001E-5</v>
      </c>
      <c r="F106" s="98">
        <f>F102</f>
        <v>21</v>
      </c>
      <c r="G106" s="81">
        <v>3.3249999999999995E-2</v>
      </c>
      <c r="H106" s="86">
        <f t="shared" si="114"/>
        <v>6.9824999999999988E-6</v>
      </c>
      <c r="I106" s="99">
        <f>0.15*I102</f>
        <v>0.18</v>
      </c>
      <c r="J106" s="99">
        <v>0.01</v>
      </c>
      <c r="K106" s="102" t="s">
        <v>127</v>
      </c>
      <c r="L106" s="103">
        <v>3</v>
      </c>
      <c r="M106" s="91" t="str">
        <f t="shared" si="115"/>
        <v>C83</v>
      </c>
      <c r="N106" s="91" t="str">
        <f t="shared" si="115"/>
        <v>Насосное оборудование УПН, нефть</v>
      </c>
      <c r="O106" s="91" t="str">
        <f t="shared" si="116"/>
        <v>Частичное-вспышка</v>
      </c>
      <c r="P106" s="91" t="s">
        <v>46</v>
      </c>
      <c r="Q106" s="91" t="s">
        <v>46</v>
      </c>
      <c r="R106" s="91" t="s">
        <v>46</v>
      </c>
      <c r="S106" s="91" t="s">
        <v>46</v>
      </c>
      <c r="T106" s="91" t="s">
        <v>46</v>
      </c>
      <c r="U106" s="91" t="s">
        <v>46</v>
      </c>
      <c r="V106" s="91" t="s">
        <v>46</v>
      </c>
      <c r="W106" s="91" t="s">
        <v>46</v>
      </c>
      <c r="X106" s="91" t="s">
        <v>46</v>
      </c>
      <c r="Y106" s="91" t="s">
        <v>46</v>
      </c>
      <c r="Z106" s="91" t="s">
        <v>46</v>
      </c>
      <c r="AA106" s="91">
        <v>7.33</v>
      </c>
      <c r="AB106" s="91">
        <v>8.8000000000000007</v>
      </c>
      <c r="AC106" s="91" t="s">
        <v>46</v>
      </c>
      <c r="AD106" s="91" t="s">
        <v>46</v>
      </c>
      <c r="AE106" s="91" t="s">
        <v>46</v>
      </c>
      <c r="AF106" s="91" t="s">
        <v>46</v>
      </c>
      <c r="AG106" s="91" t="s">
        <v>46</v>
      </c>
      <c r="AH106" s="91" t="s">
        <v>46</v>
      </c>
      <c r="AI106" s="91" t="s">
        <v>46</v>
      </c>
      <c r="AJ106" s="91">
        <v>0</v>
      </c>
      <c r="AK106" s="91">
        <v>1</v>
      </c>
      <c r="AL106" s="91">
        <f>0.1*$AL$2</f>
        <v>7.5000000000000011E-2</v>
      </c>
      <c r="AM106" s="91">
        <f>AM102</f>
        <v>2.7E-2</v>
      </c>
      <c r="AN106" s="91">
        <f>ROUNDUP(AN102/3,0)</f>
        <v>1</v>
      </c>
      <c r="AQ106" s="94">
        <f>AM106*I106+AL106</f>
        <v>7.9860000000000014E-2</v>
      </c>
      <c r="AR106" s="94">
        <f t="shared" si="117"/>
        <v>7.9860000000000018E-3</v>
      </c>
      <c r="AS106" s="95">
        <f t="shared" si="118"/>
        <v>0.25</v>
      </c>
      <c r="AT106" s="95">
        <f t="shared" si="119"/>
        <v>8.4461500000000009E-2</v>
      </c>
      <c r="AU106" s="94">
        <f>10068.2*J106*POWER(10,-6)*10</f>
        <v>1.0068200000000001E-3</v>
      </c>
      <c r="AV106" s="95">
        <f t="shared" si="120"/>
        <v>0.42331432000000002</v>
      </c>
      <c r="AW106" s="96">
        <f t="shared" si="121"/>
        <v>0</v>
      </c>
      <c r="AX106" s="96">
        <f t="shared" si="122"/>
        <v>6.9824999999999988E-6</v>
      </c>
      <c r="AY106" s="96">
        <f t="shared" si="123"/>
        <v>2.9557922393999995E-6</v>
      </c>
      <c r="AZ106" s="289">
        <f>AW106/[1]DB!$B$23</f>
        <v>0</v>
      </c>
      <c r="BA106" s="289">
        <f>AX106/[1]DB!$B$23</f>
        <v>8.4126506024096368E-9</v>
      </c>
    </row>
    <row r="107" spans="1:53" s="91" customFormat="1" ht="15" thickBot="1" x14ac:dyDescent="0.35">
      <c r="A107" s="81" t="s">
        <v>779</v>
      </c>
      <c r="B107" s="81" t="str">
        <f>B102</f>
        <v>Насосное оборудование УПН, нефть</v>
      </c>
      <c r="C107" s="83" t="s">
        <v>178</v>
      </c>
      <c r="D107" s="84" t="s">
        <v>27</v>
      </c>
      <c r="E107" s="97">
        <f>E105</f>
        <v>1.0000000000000001E-5</v>
      </c>
      <c r="F107" s="98">
        <f>F102</f>
        <v>21</v>
      </c>
      <c r="G107" s="81">
        <v>0.63174999999999992</v>
      </c>
      <c r="H107" s="86">
        <f t="shared" si="114"/>
        <v>1.3266749999999998E-4</v>
      </c>
      <c r="I107" s="99">
        <f>0.15*I102</f>
        <v>0.18</v>
      </c>
      <c r="J107" s="81">
        <v>0</v>
      </c>
      <c r="K107" s="104" t="s">
        <v>138</v>
      </c>
      <c r="L107" s="104">
        <v>16</v>
      </c>
      <c r="M107" s="91" t="str">
        <f t="shared" si="115"/>
        <v>C84</v>
      </c>
      <c r="N107" s="91" t="str">
        <f t="shared" si="115"/>
        <v>Насосное оборудование УПН, нефть</v>
      </c>
      <c r="O107" s="91" t="str">
        <f t="shared" si="116"/>
        <v>Частичное-ликвидация</v>
      </c>
      <c r="P107" s="91" t="s">
        <v>46</v>
      </c>
      <c r="Q107" s="91" t="s">
        <v>46</v>
      </c>
      <c r="R107" s="91" t="s">
        <v>46</v>
      </c>
      <c r="S107" s="91" t="s">
        <v>46</v>
      </c>
      <c r="T107" s="91" t="s">
        <v>46</v>
      </c>
      <c r="U107" s="91" t="s">
        <v>46</v>
      </c>
      <c r="V107" s="91" t="s">
        <v>46</v>
      </c>
      <c r="W107" s="91" t="s">
        <v>46</v>
      </c>
      <c r="X107" s="91" t="s">
        <v>46</v>
      </c>
      <c r="Y107" s="91" t="s">
        <v>46</v>
      </c>
      <c r="Z107" s="91" t="s">
        <v>46</v>
      </c>
      <c r="AA107" s="91" t="s">
        <v>46</v>
      </c>
      <c r="AB107" s="91" t="s">
        <v>46</v>
      </c>
      <c r="AC107" s="91" t="s">
        <v>46</v>
      </c>
      <c r="AD107" s="91" t="s">
        <v>46</v>
      </c>
      <c r="AE107" s="91" t="s">
        <v>46</v>
      </c>
      <c r="AF107" s="91" t="s">
        <v>46</v>
      </c>
      <c r="AG107" s="91" t="s">
        <v>46</v>
      </c>
      <c r="AH107" s="91" t="s">
        <v>46</v>
      </c>
      <c r="AI107" s="91" t="s">
        <v>46</v>
      </c>
      <c r="AJ107" s="91">
        <v>0</v>
      </c>
      <c r="AK107" s="91">
        <v>0</v>
      </c>
      <c r="AL107" s="91">
        <f>0.1*$AL$2</f>
        <v>7.5000000000000011E-2</v>
      </c>
      <c r="AM107" s="91">
        <f>AM102</f>
        <v>2.7E-2</v>
      </c>
      <c r="AN107" s="91">
        <f>ROUNDUP(AN102/3,0)</f>
        <v>1</v>
      </c>
      <c r="AQ107" s="94">
        <f>AM107*I107*0.1+AL107</f>
        <v>7.5486000000000011E-2</v>
      </c>
      <c r="AR107" s="94">
        <f t="shared" si="117"/>
        <v>7.5486000000000017E-3</v>
      </c>
      <c r="AS107" s="95">
        <f t="shared" si="118"/>
        <v>0</v>
      </c>
      <c r="AT107" s="95">
        <f t="shared" si="119"/>
        <v>2.0758650000000003E-2</v>
      </c>
      <c r="AU107" s="94">
        <f>1333*J106*POWER(10,-6)</f>
        <v>1.3329999999999999E-5</v>
      </c>
      <c r="AV107" s="95">
        <f t="shared" si="120"/>
        <v>0.10380658000000001</v>
      </c>
      <c r="AW107" s="96">
        <f t="shared" si="121"/>
        <v>0</v>
      </c>
      <c r="AX107" s="96">
        <f t="shared" si="122"/>
        <v>0</v>
      </c>
      <c r="AY107" s="96">
        <f t="shared" si="123"/>
        <v>1.3771759452149999E-5</v>
      </c>
      <c r="AZ107" s="289">
        <f>AW107/[1]DB!$B$23</f>
        <v>0</v>
      </c>
      <c r="BA107" s="289">
        <f>AX107/[1]DB!$B$23</f>
        <v>0</v>
      </c>
    </row>
    <row r="108" spans="1:53" s="91" customFormat="1" x14ac:dyDescent="0.3">
      <c r="A108" s="92"/>
      <c r="B108" s="92"/>
      <c r="D108" s="183"/>
      <c r="E108" s="184"/>
      <c r="F108" s="185"/>
      <c r="G108" s="92"/>
      <c r="H108" s="96"/>
      <c r="I108" s="95"/>
      <c r="J108" s="92"/>
      <c r="K108" s="334" t="s">
        <v>466</v>
      </c>
      <c r="L108" s="287" t="s">
        <v>642</v>
      </c>
      <c r="AQ108" s="94"/>
      <c r="AR108" s="94"/>
      <c r="AS108" s="95"/>
      <c r="AT108" s="95"/>
      <c r="AU108" s="94"/>
      <c r="AV108" s="95"/>
      <c r="AW108" s="96"/>
      <c r="AX108" s="96"/>
      <c r="AY108" s="96"/>
    </row>
    <row r="109" spans="1:53" s="91" customFormat="1" x14ac:dyDescent="0.3">
      <c r="A109" s="92"/>
      <c r="B109" s="92"/>
      <c r="D109" s="183"/>
      <c r="E109" s="184"/>
      <c r="F109" s="185"/>
      <c r="G109" s="92"/>
      <c r="H109" s="96"/>
      <c r="I109" s="95"/>
      <c r="J109" s="92"/>
      <c r="K109" s="92"/>
      <c r="L109" s="92"/>
      <c r="AQ109" s="94"/>
      <c r="AR109" s="94"/>
      <c r="AS109" s="95"/>
      <c r="AT109" s="95"/>
      <c r="AU109" s="94"/>
      <c r="AV109" s="95"/>
      <c r="AW109" s="96"/>
      <c r="AX109" s="96"/>
      <c r="AY109" s="96"/>
    </row>
    <row r="110" spans="1:53" s="91" customFormat="1" x14ac:dyDescent="0.3">
      <c r="A110" s="92"/>
      <c r="B110" s="92"/>
      <c r="D110" s="183"/>
      <c r="E110" s="184"/>
      <c r="F110" s="185"/>
      <c r="G110" s="92"/>
      <c r="H110" s="96"/>
      <c r="I110" s="95"/>
      <c r="J110" s="92"/>
      <c r="K110" s="92"/>
      <c r="L110" s="92"/>
      <c r="AQ110" s="94"/>
      <c r="AR110" s="94"/>
      <c r="AS110" s="95"/>
      <c r="AT110" s="95"/>
      <c r="AU110" s="94"/>
      <c r="AV110" s="95"/>
      <c r="AW110" s="96"/>
      <c r="AX110" s="96"/>
      <c r="AY110" s="96"/>
    </row>
    <row r="111" spans="1:53" s="336" customFormat="1" ht="15" thickBot="1" x14ac:dyDescent="0.35">
      <c r="A111" s="335"/>
      <c r="B111" s="335"/>
      <c r="D111" s="337"/>
      <c r="E111" s="338"/>
      <c r="F111" s="339"/>
      <c r="G111" s="335"/>
      <c r="H111" s="340"/>
      <c r="I111" s="341"/>
      <c r="J111" s="335"/>
      <c r="K111" s="335"/>
      <c r="L111" s="335"/>
      <c r="AQ111" s="342"/>
      <c r="AR111" s="342"/>
      <c r="AS111" s="341"/>
      <c r="AT111" s="341"/>
      <c r="AU111" s="342"/>
      <c r="AV111" s="341"/>
      <c r="AW111" s="340"/>
      <c r="AX111" s="340"/>
      <c r="AY111" s="340"/>
    </row>
    <row r="112" spans="1:53" s="91" customFormat="1" ht="15" thickBot="1" x14ac:dyDescent="0.35">
      <c r="A112" s="81" t="s">
        <v>780</v>
      </c>
      <c r="B112" s="82" t="s">
        <v>670</v>
      </c>
      <c r="C112" s="83" t="s">
        <v>174</v>
      </c>
      <c r="D112" s="84" t="s">
        <v>130</v>
      </c>
      <c r="E112" s="85">
        <v>1.0000000000000001E-5</v>
      </c>
      <c r="F112" s="82">
        <v>4</v>
      </c>
      <c r="G112" s="81">
        <v>1.4999999999999999E-2</v>
      </c>
      <c r="H112" s="86">
        <f t="shared" ref="H112:H117" si="124">E112*F112*G112</f>
        <v>6.0000000000000008E-7</v>
      </c>
      <c r="I112" s="87">
        <v>0.6</v>
      </c>
      <c r="J112" s="99">
        <f>I112</f>
        <v>0.6</v>
      </c>
      <c r="K112" s="89" t="s">
        <v>122</v>
      </c>
      <c r="L112" s="90">
        <v>30</v>
      </c>
      <c r="M112" s="91" t="str">
        <f t="shared" ref="M112:N117" si="125">A112</f>
        <v>C85</v>
      </c>
      <c r="N112" s="91" t="str">
        <f t="shared" si="125"/>
        <v>Насосное оборудование УПН,реагент</v>
      </c>
      <c r="O112" s="91" t="str">
        <f t="shared" ref="O112:O117" si="126">D112</f>
        <v>Полное-факел</v>
      </c>
      <c r="P112" s="91" t="s">
        <v>46</v>
      </c>
      <c r="Q112" s="91" t="s">
        <v>46</v>
      </c>
      <c r="R112" s="91" t="s">
        <v>46</v>
      </c>
      <c r="S112" s="91" t="s">
        <v>46</v>
      </c>
      <c r="T112" s="91" t="s">
        <v>46</v>
      </c>
      <c r="U112" s="91" t="s">
        <v>46</v>
      </c>
      <c r="V112" s="91" t="s">
        <v>46</v>
      </c>
      <c r="W112" s="91" t="s">
        <v>46</v>
      </c>
      <c r="X112" s="91" t="s">
        <v>46</v>
      </c>
      <c r="Y112" s="91">
        <v>15</v>
      </c>
      <c r="Z112" s="91">
        <v>3</v>
      </c>
      <c r="AA112" s="91" t="s">
        <v>46</v>
      </c>
      <c r="AB112" s="91" t="s">
        <v>46</v>
      </c>
      <c r="AC112" s="91" t="s">
        <v>46</v>
      </c>
      <c r="AD112" s="91" t="s">
        <v>46</v>
      </c>
      <c r="AE112" s="91" t="s">
        <v>46</v>
      </c>
      <c r="AF112" s="91" t="s">
        <v>46</v>
      </c>
      <c r="AG112" s="91" t="s">
        <v>46</v>
      </c>
      <c r="AH112" s="91" t="s">
        <v>46</v>
      </c>
      <c r="AI112" s="91" t="s">
        <v>46</v>
      </c>
      <c r="AJ112" s="92">
        <v>1</v>
      </c>
      <c r="AK112" s="92">
        <v>1</v>
      </c>
      <c r="AL112" s="93">
        <v>0.75</v>
      </c>
      <c r="AM112" s="93">
        <v>2.7E-2</v>
      </c>
      <c r="AN112" s="93">
        <v>3</v>
      </c>
      <c r="AQ112" s="94">
        <f>AM112*I112+AL112</f>
        <v>0.76619999999999999</v>
      </c>
      <c r="AR112" s="94">
        <f t="shared" ref="AR112:AR117" si="127">0.1*AQ112</f>
        <v>7.6620000000000008E-2</v>
      </c>
      <c r="AS112" s="95">
        <f t="shared" ref="AS112:AS117" si="128">AJ112*3+0.25*AK112</f>
        <v>3.25</v>
      </c>
      <c r="AT112" s="95">
        <f t="shared" ref="AT112:AT117" si="129">SUM(AQ112:AS112)/4</f>
        <v>1.0232049999999999</v>
      </c>
      <c r="AU112" s="94">
        <f>10068.2*J112*POWER(10,-6)</f>
        <v>6.04092E-3</v>
      </c>
      <c r="AV112" s="95">
        <f t="shared" ref="AV112:AV117" si="130">AU112+AT112+AS112+AR112+AQ112</f>
        <v>5.1220659200000007</v>
      </c>
      <c r="AW112" s="96">
        <f t="shared" ref="AW112:AW117" si="131">AJ112*H112</f>
        <v>6.0000000000000008E-7</v>
      </c>
      <c r="AX112" s="96">
        <f t="shared" ref="AX112:AX117" si="132">H112*AK112</f>
        <v>6.0000000000000008E-7</v>
      </c>
      <c r="AY112" s="96">
        <f t="shared" ref="AY112:AY117" si="133">H112*AV112</f>
        <v>3.0732395520000008E-6</v>
      </c>
      <c r="AZ112" s="289">
        <f>AW112/[1]DB!$B$23</f>
        <v>7.2289156626506037E-10</v>
      </c>
      <c r="BA112" s="289">
        <f>AX112/[1]DB!$B$23</f>
        <v>7.2289156626506037E-10</v>
      </c>
    </row>
    <row r="113" spans="1:53" s="91" customFormat="1" ht="15" thickBot="1" x14ac:dyDescent="0.35">
      <c r="A113" s="81" t="s">
        <v>781</v>
      </c>
      <c r="B113" s="81" t="str">
        <f>B112</f>
        <v>Насосное оборудование УПН,реагент</v>
      </c>
      <c r="C113" s="83" t="s">
        <v>175</v>
      </c>
      <c r="D113" s="84" t="s">
        <v>173</v>
      </c>
      <c r="E113" s="97">
        <f>E112</f>
        <v>1.0000000000000001E-5</v>
      </c>
      <c r="F113" s="98">
        <f>F112</f>
        <v>4</v>
      </c>
      <c r="G113" s="81">
        <v>1.4249999999999999E-2</v>
      </c>
      <c r="H113" s="86">
        <f t="shared" si="124"/>
        <v>5.7000000000000005E-7</v>
      </c>
      <c r="I113" s="99">
        <f>I112</f>
        <v>0.6</v>
      </c>
      <c r="J113" s="189">
        <f>POWER(10,-6)*35*SQRT(100)*3600*L112/1000*0.1</f>
        <v>3.7800000000000004E-3</v>
      </c>
      <c r="K113" s="89" t="s">
        <v>123</v>
      </c>
      <c r="L113" s="90">
        <v>0</v>
      </c>
      <c r="M113" s="91" t="str">
        <f t="shared" si="125"/>
        <v>C86</v>
      </c>
      <c r="N113" s="91" t="str">
        <f t="shared" si="125"/>
        <v>Насосное оборудование УПН,реагент</v>
      </c>
      <c r="O113" s="91" t="str">
        <f t="shared" si="126"/>
        <v>Полное-взрыв облака ТВС</v>
      </c>
      <c r="P113" s="91" t="s">
        <v>46</v>
      </c>
      <c r="Q113" s="91" t="s">
        <v>46</v>
      </c>
      <c r="R113" s="91" t="s">
        <v>46</v>
      </c>
      <c r="S113" s="91" t="s">
        <v>46</v>
      </c>
      <c r="T113" s="91">
        <v>0</v>
      </c>
      <c r="U113" s="91">
        <v>0</v>
      </c>
      <c r="V113" s="91">
        <v>11.6</v>
      </c>
      <c r="W113" s="91">
        <v>39.6</v>
      </c>
      <c r="X113" s="91">
        <v>57.6</v>
      </c>
      <c r="Y113" s="91" t="s">
        <v>46</v>
      </c>
      <c r="Z113" s="91" t="s">
        <v>46</v>
      </c>
      <c r="AA113" s="91" t="s">
        <v>46</v>
      </c>
      <c r="AB113" s="91" t="s">
        <v>46</v>
      </c>
      <c r="AC113" s="91" t="s">
        <v>46</v>
      </c>
      <c r="AD113" s="91" t="s">
        <v>46</v>
      </c>
      <c r="AE113" s="91" t="s">
        <v>46</v>
      </c>
      <c r="AF113" s="91" t="s">
        <v>46</v>
      </c>
      <c r="AG113" s="91" t="s">
        <v>46</v>
      </c>
      <c r="AH113" s="91" t="s">
        <v>46</v>
      </c>
      <c r="AI113" s="91" t="s">
        <v>46</v>
      </c>
      <c r="AJ113" s="92">
        <v>0</v>
      </c>
      <c r="AK113" s="92">
        <v>1</v>
      </c>
      <c r="AL113" s="91">
        <f>AL112</f>
        <v>0.75</v>
      </c>
      <c r="AM113" s="91">
        <f>AM112</f>
        <v>2.7E-2</v>
      </c>
      <c r="AN113" s="91">
        <f>AN112</f>
        <v>3</v>
      </c>
      <c r="AQ113" s="94">
        <f>AM113*I113+AL113</f>
        <v>0.76619999999999999</v>
      </c>
      <c r="AR113" s="94">
        <f t="shared" si="127"/>
        <v>7.6620000000000008E-2</v>
      </c>
      <c r="AS113" s="95">
        <f t="shared" si="128"/>
        <v>0.25</v>
      </c>
      <c r="AT113" s="95">
        <f t="shared" si="129"/>
        <v>0.27320500000000003</v>
      </c>
      <c r="AU113" s="94">
        <f>10068.2*J113*POWER(10,-6)*10</f>
        <v>3.8057796000000001E-4</v>
      </c>
      <c r="AV113" s="95">
        <f t="shared" si="130"/>
        <v>1.3664055779600002</v>
      </c>
      <c r="AW113" s="96">
        <f t="shared" si="131"/>
        <v>0</v>
      </c>
      <c r="AX113" s="96">
        <f t="shared" si="132"/>
        <v>5.7000000000000005E-7</v>
      </c>
      <c r="AY113" s="96">
        <f t="shared" si="133"/>
        <v>7.7885117943720019E-7</v>
      </c>
      <c r="AZ113" s="289">
        <f>AW113/[1]DB!$B$23</f>
        <v>0</v>
      </c>
      <c r="BA113" s="289">
        <f>AX113/[1]DB!$B$23</f>
        <v>6.8674698795180729E-10</v>
      </c>
    </row>
    <row r="114" spans="1:53" s="91" customFormat="1" x14ac:dyDescent="0.3">
      <c r="A114" s="81" t="s">
        <v>782</v>
      </c>
      <c r="B114" s="81" t="str">
        <f>B112</f>
        <v>Насосное оборудование УПН,реагент</v>
      </c>
      <c r="C114" s="83" t="s">
        <v>176</v>
      </c>
      <c r="D114" s="84" t="s">
        <v>26</v>
      </c>
      <c r="E114" s="97">
        <f>E112</f>
        <v>1.0000000000000001E-5</v>
      </c>
      <c r="F114" s="98">
        <f>F112</f>
        <v>4</v>
      </c>
      <c r="G114" s="81">
        <v>0.27074999999999999</v>
      </c>
      <c r="H114" s="86">
        <f t="shared" si="124"/>
        <v>1.0830000000000001E-5</v>
      </c>
      <c r="I114" s="99">
        <f>I112</f>
        <v>0.6</v>
      </c>
      <c r="J114" s="81">
        <v>0</v>
      </c>
      <c r="K114" s="89" t="s">
        <v>124</v>
      </c>
      <c r="L114" s="90">
        <v>1</v>
      </c>
      <c r="M114" s="91" t="str">
        <f t="shared" si="125"/>
        <v>C87</v>
      </c>
      <c r="N114" s="91" t="str">
        <f t="shared" si="125"/>
        <v>Насосное оборудование УПН,реагент</v>
      </c>
      <c r="O114" s="91" t="str">
        <f t="shared" si="126"/>
        <v>Полное-ликвидация</v>
      </c>
      <c r="P114" s="91" t="s">
        <v>46</v>
      </c>
      <c r="Q114" s="91" t="s">
        <v>46</v>
      </c>
      <c r="R114" s="91" t="s">
        <v>46</v>
      </c>
      <c r="S114" s="91" t="s">
        <v>46</v>
      </c>
      <c r="T114" s="91" t="s">
        <v>46</v>
      </c>
      <c r="U114" s="91" t="s">
        <v>46</v>
      </c>
      <c r="V114" s="91" t="s">
        <v>46</v>
      </c>
      <c r="W114" s="91" t="s">
        <v>46</v>
      </c>
      <c r="X114" s="91" t="s">
        <v>46</v>
      </c>
      <c r="Y114" s="91" t="s">
        <v>46</v>
      </c>
      <c r="Z114" s="91" t="s">
        <v>46</v>
      </c>
      <c r="AA114" s="91" t="s">
        <v>46</v>
      </c>
      <c r="AB114" s="91" t="s">
        <v>46</v>
      </c>
      <c r="AC114" s="91" t="s">
        <v>46</v>
      </c>
      <c r="AD114" s="91" t="s">
        <v>46</v>
      </c>
      <c r="AE114" s="91" t="s">
        <v>46</v>
      </c>
      <c r="AF114" s="91" t="s">
        <v>46</v>
      </c>
      <c r="AG114" s="91" t="s">
        <v>46</v>
      </c>
      <c r="AH114" s="91" t="s">
        <v>46</v>
      </c>
      <c r="AI114" s="91" t="s">
        <v>46</v>
      </c>
      <c r="AJ114" s="91">
        <v>0</v>
      </c>
      <c r="AK114" s="91">
        <v>0</v>
      </c>
      <c r="AL114" s="91">
        <f>AL112</f>
        <v>0.75</v>
      </c>
      <c r="AM114" s="91">
        <f>AM112</f>
        <v>2.7E-2</v>
      </c>
      <c r="AN114" s="91">
        <f>AN112</f>
        <v>3</v>
      </c>
      <c r="AQ114" s="94">
        <f>AM114*I114*0.1+AL114</f>
        <v>0.75161999999999995</v>
      </c>
      <c r="AR114" s="94">
        <f t="shared" si="127"/>
        <v>7.5162000000000007E-2</v>
      </c>
      <c r="AS114" s="95">
        <f t="shared" si="128"/>
        <v>0</v>
      </c>
      <c r="AT114" s="95">
        <f t="shared" si="129"/>
        <v>0.20669549999999998</v>
      </c>
      <c r="AU114" s="94">
        <f>1333*J113*POWER(10,-6)</f>
        <v>5.0387400000000008E-6</v>
      </c>
      <c r="AV114" s="95">
        <f t="shared" si="130"/>
        <v>1.03348253874</v>
      </c>
      <c r="AW114" s="96">
        <f t="shared" si="131"/>
        <v>0</v>
      </c>
      <c r="AX114" s="96">
        <f t="shared" si="132"/>
        <v>0</v>
      </c>
      <c r="AY114" s="96">
        <f t="shared" si="133"/>
        <v>1.1192615894554201E-5</v>
      </c>
      <c r="AZ114" s="289">
        <f>AW114/[1]DB!$B$23</f>
        <v>0</v>
      </c>
      <c r="BA114" s="289">
        <f>AX114/[1]DB!$B$23</f>
        <v>0</v>
      </c>
    </row>
    <row r="115" spans="1:53" s="91" customFormat="1" x14ac:dyDescent="0.3">
      <c r="A115" s="81" t="s">
        <v>783</v>
      </c>
      <c r="B115" s="81" t="str">
        <f>B112</f>
        <v>Насосное оборудование УПН,реагент</v>
      </c>
      <c r="C115" s="83" t="s">
        <v>177</v>
      </c>
      <c r="D115" s="84" t="s">
        <v>47</v>
      </c>
      <c r="E115" s="97">
        <f>E113</f>
        <v>1.0000000000000001E-5</v>
      </c>
      <c r="F115" s="98">
        <f>F112</f>
        <v>4</v>
      </c>
      <c r="G115" s="81">
        <v>3.4999999999999996E-2</v>
      </c>
      <c r="H115" s="86">
        <f t="shared" si="124"/>
        <v>1.3999999999999999E-6</v>
      </c>
      <c r="I115" s="99">
        <f>0.15*I112</f>
        <v>0.09</v>
      </c>
      <c r="J115" s="99">
        <f>I115</f>
        <v>0.09</v>
      </c>
      <c r="K115" s="102" t="s">
        <v>126</v>
      </c>
      <c r="L115" s="103">
        <v>45390</v>
      </c>
      <c r="M115" s="91" t="str">
        <f t="shared" si="125"/>
        <v>C88</v>
      </c>
      <c r="N115" s="91" t="str">
        <f t="shared" si="125"/>
        <v>Насосное оборудование УПН,реагент</v>
      </c>
      <c r="O115" s="91" t="str">
        <f t="shared" si="126"/>
        <v>Частичное-пожар</v>
      </c>
      <c r="P115" s="91">
        <v>5.2</v>
      </c>
      <c r="Q115" s="91">
        <v>7.5</v>
      </c>
      <c r="R115" s="91">
        <v>11.1</v>
      </c>
      <c r="S115" s="91">
        <v>21.3</v>
      </c>
      <c r="T115" s="91" t="s">
        <v>46</v>
      </c>
      <c r="U115" s="91" t="s">
        <v>46</v>
      </c>
      <c r="V115" s="91" t="s">
        <v>46</v>
      </c>
      <c r="W115" s="91" t="s">
        <v>46</v>
      </c>
      <c r="X115" s="91" t="s">
        <v>46</v>
      </c>
      <c r="Y115" s="91" t="s">
        <v>46</v>
      </c>
      <c r="Z115" s="91" t="s">
        <v>46</v>
      </c>
      <c r="AA115" s="91" t="s">
        <v>46</v>
      </c>
      <c r="AB115" s="91" t="s">
        <v>46</v>
      </c>
      <c r="AC115" s="91" t="s">
        <v>46</v>
      </c>
      <c r="AD115" s="91" t="s">
        <v>46</v>
      </c>
      <c r="AE115" s="91" t="s">
        <v>46</v>
      </c>
      <c r="AF115" s="91" t="s">
        <v>46</v>
      </c>
      <c r="AG115" s="91" t="s">
        <v>46</v>
      </c>
      <c r="AH115" s="91" t="s">
        <v>46</v>
      </c>
      <c r="AI115" s="91" t="s">
        <v>46</v>
      </c>
      <c r="AJ115" s="91">
        <v>0</v>
      </c>
      <c r="AK115" s="91">
        <v>1</v>
      </c>
      <c r="AL115" s="91">
        <f>0.1*$AL$2</f>
        <v>7.5000000000000011E-2</v>
      </c>
      <c r="AM115" s="91">
        <f>AM112</f>
        <v>2.7E-2</v>
      </c>
      <c r="AN115" s="91">
        <f>ROUNDUP(AN112/3,0)</f>
        <v>1</v>
      </c>
      <c r="AQ115" s="94">
        <f>AM115*I115+AL115</f>
        <v>7.7430000000000013E-2</v>
      </c>
      <c r="AR115" s="94">
        <f t="shared" si="127"/>
        <v>7.7430000000000016E-3</v>
      </c>
      <c r="AS115" s="95">
        <f t="shared" si="128"/>
        <v>0.25</v>
      </c>
      <c r="AT115" s="95">
        <f t="shared" si="129"/>
        <v>8.379325E-2</v>
      </c>
      <c r="AU115" s="94">
        <f>10068.2*J115*POWER(10,-6)</f>
        <v>9.0613800000000002E-4</v>
      </c>
      <c r="AV115" s="95">
        <f t="shared" si="130"/>
        <v>0.41987238799999999</v>
      </c>
      <c r="AW115" s="96">
        <f t="shared" si="131"/>
        <v>0</v>
      </c>
      <c r="AX115" s="96">
        <f t="shared" si="132"/>
        <v>1.3999999999999999E-6</v>
      </c>
      <c r="AY115" s="96">
        <f t="shared" si="133"/>
        <v>5.8782134319999997E-7</v>
      </c>
      <c r="AZ115" s="289">
        <f>AW115/[1]DB!$B$23</f>
        <v>0</v>
      </c>
      <c r="BA115" s="289">
        <f>AX115/[1]DB!$B$23</f>
        <v>1.6867469879518071E-9</v>
      </c>
    </row>
    <row r="116" spans="1:53" s="91" customFormat="1" x14ac:dyDescent="0.3">
      <c r="A116" s="81" t="s">
        <v>784</v>
      </c>
      <c r="B116" s="81" t="str">
        <f>B112</f>
        <v>Насосное оборудование УПН,реагент</v>
      </c>
      <c r="C116" s="83" t="s">
        <v>422</v>
      </c>
      <c r="D116" s="84" t="s">
        <v>421</v>
      </c>
      <c r="E116" s="97">
        <f>E114</f>
        <v>1.0000000000000001E-5</v>
      </c>
      <c r="F116" s="98">
        <f>F112</f>
        <v>4</v>
      </c>
      <c r="G116" s="81">
        <v>3.3249999999999995E-2</v>
      </c>
      <c r="H116" s="86">
        <f t="shared" si="124"/>
        <v>1.33E-6</v>
      </c>
      <c r="I116" s="99">
        <f>0.15*I112</f>
        <v>0.09</v>
      </c>
      <c r="J116" s="99">
        <v>0.01</v>
      </c>
      <c r="K116" s="102" t="s">
        <v>127</v>
      </c>
      <c r="L116" s="103">
        <v>3</v>
      </c>
      <c r="M116" s="91" t="str">
        <f t="shared" si="125"/>
        <v>C89</v>
      </c>
      <c r="N116" s="91" t="str">
        <f t="shared" si="125"/>
        <v>Насосное оборудование УПН,реагент</v>
      </c>
      <c r="O116" s="91" t="str">
        <f t="shared" si="126"/>
        <v>Частичное-вспышка</v>
      </c>
      <c r="P116" s="91" t="s">
        <v>46</v>
      </c>
      <c r="Q116" s="91" t="s">
        <v>46</v>
      </c>
      <c r="R116" s="91" t="s">
        <v>46</v>
      </c>
      <c r="S116" s="91" t="s">
        <v>46</v>
      </c>
      <c r="T116" s="91" t="s">
        <v>46</v>
      </c>
      <c r="U116" s="91" t="s">
        <v>46</v>
      </c>
      <c r="V116" s="91" t="s">
        <v>46</v>
      </c>
      <c r="W116" s="91" t="s">
        <v>46</v>
      </c>
      <c r="X116" s="91" t="s">
        <v>46</v>
      </c>
      <c r="Y116" s="91" t="s">
        <v>46</v>
      </c>
      <c r="Z116" s="91" t="s">
        <v>46</v>
      </c>
      <c r="AA116" s="91">
        <v>7.33</v>
      </c>
      <c r="AB116" s="91">
        <v>8.8000000000000007</v>
      </c>
      <c r="AC116" s="91" t="s">
        <v>46</v>
      </c>
      <c r="AD116" s="91" t="s">
        <v>46</v>
      </c>
      <c r="AE116" s="91" t="s">
        <v>46</v>
      </c>
      <c r="AF116" s="91" t="s">
        <v>46</v>
      </c>
      <c r="AG116" s="91" t="s">
        <v>46</v>
      </c>
      <c r="AH116" s="91" t="s">
        <v>46</v>
      </c>
      <c r="AI116" s="91" t="s">
        <v>46</v>
      </c>
      <c r="AJ116" s="91">
        <v>0</v>
      </c>
      <c r="AK116" s="91">
        <v>1</v>
      </c>
      <c r="AL116" s="91">
        <f>0.1*$AL$2</f>
        <v>7.5000000000000011E-2</v>
      </c>
      <c r="AM116" s="91">
        <f>AM112</f>
        <v>2.7E-2</v>
      </c>
      <c r="AN116" s="91">
        <f>ROUNDUP(AN112/3,0)</f>
        <v>1</v>
      </c>
      <c r="AQ116" s="94">
        <f>AM116*I116+AL116</f>
        <v>7.7430000000000013E-2</v>
      </c>
      <c r="AR116" s="94">
        <f t="shared" si="127"/>
        <v>7.7430000000000016E-3</v>
      </c>
      <c r="AS116" s="95">
        <f t="shared" si="128"/>
        <v>0.25</v>
      </c>
      <c r="AT116" s="95">
        <f t="shared" si="129"/>
        <v>8.379325E-2</v>
      </c>
      <c r="AU116" s="94">
        <f>10068.2*J116*POWER(10,-6)*10</f>
        <v>1.0068200000000001E-3</v>
      </c>
      <c r="AV116" s="95">
        <f t="shared" si="130"/>
        <v>0.41997307</v>
      </c>
      <c r="AW116" s="96">
        <f t="shared" si="131"/>
        <v>0</v>
      </c>
      <c r="AX116" s="96">
        <f t="shared" si="132"/>
        <v>1.33E-6</v>
      </c>
      <c r="AY116" s="96">
        <f t="shared" si="133"/>
        <v>5.585641831E-7</v>
      </c>
      <c r="AZ116" s="289">
        <f>AW116/[1]DB!$B$23</f>
        <v>0</v>
      </c>
      <c r="BA116" s="289">
        <f>AX116/[1]DB!$B$23</f>
        <v>1.6024096385542168E-9</v>
      </c>
    </row>
    <row r="117" spans="1:53" s="91" customFormat="1" ht="15" thickBot="1" x14ac:dyDescent="0.35">
      <c r="A117" s="81" t="s">
        <v>785</v>
      </c>
      <c r="B117" s="81" t="str">
        <f>B112</f>
        <v>Насосное оборудование УПН,реагент</v>
      </c>
      <c r="C117" s="83" t="s">
        <v>178</v>
      </c>
      <c r="D117" s="84" t="s">
        <v>27</v>
      </c>
      <c r="E117" s="97">
        <f>E115</f>
        <v>1.0000000000000001E-5</v>
      </c>
      <c r="F117" s="98">
        <f>F112</f>
        <v>4</v>
      </c>
      <c r="G117" s="81">
        <v>0.63174999999999992</v>
      </c>
      <c r="H117" s="86">
        <f t="shared" si="124"/>
        <v>2.527E-5</v>
      </c>
      <c r="I117" s="99">
        <f>0.15*I112</f>
        <v>0.09</v>
      </c>
      <c r="J117" s="81">
        <v>0</v>
      </c>
      <c r="K117" s="104" t="s">
        <v>138</v>
      </c>
      <c r="L117" s="104">
        <v>16</v>
      </c>
      <c r="M117" s="91" t="str">
        <f t="shared" si="125"/>
        <v>C90</v>
      </c>
      <c r="N117" s="91" t="str">
        <f t="shared" si="125"/>
        <v>Насосное оборудование УПН,реагент</v>
      </c>
      <c r="O117" s="91" t="str">
        <f t="shared" si="126"/>
        <v>Частичное-ликвидация</v>
      </c>
      <c r="P117" s="91" t="s">
        <v>46</v>
      </c>
      <c r="Q117" s="91" t="s">
        <v>46</v>
      </c>
      <c r="R117" s="91" t="s">
        <v>46</v>
      </c>
      <c r="S117" s="91" t="s">
        <v>46</v>
      </c>
      <c r="T117" s="91" t="s">
        <v>46</v>
      </c>
      <c r="U117" s="91" t="s">
        <v>46</v>
      </c>
      <c r="V117" s="91" t="s">
        <v>46</v>
      </c>
      <c r="W117" s="91" t="s">
        <v>46</v>
      </c>
      <c r="X117" s="91" t="s">
        <v>46</v>
      </c>
      <c r="Y117" s="91" t="s">
        <v>46</v>
      </c>
      <c r="Z117" s="91" t="s">
        <v>46</v>
      </c>
      <c r="AA117" s="91" t="s">
        <v>46</v>
      </c>
      <c r="AB117" s="91" t="s">
        <v>46</v>
      </c>
      <c r="AC117" s="91" t="s">
        <v>46</v>
      </c>
      <c r="AD117" s="91" t="s">
        <v>46</v>
      </c>
      <c r="AE117" s="91" t="s">
        <v>46</v>
      </c>
      <c r="AF117" s="91" t="s">
        <v>46</v>
      </c>
      <c r="AG117" s="91" t="s">
        <v>46</v>
      </c>
      <c r="AH117" s="91" t="s">
        <v>46</v>
      </c>
      <c r="AI117" s="91" t="s">
        <v>46</v>
      </c>
      <c r="AJ117" s="91">
        <v>0</v>
      </c>
      <c r="AK117" s="91">
        <v>0</v>
      </c>
      <c r="AL117" s="91">
        <f>0.1*$AL$2</f>
        <v>7.5000000000000011E-2</v>
      </c>
      <c r="AM117" s="91">
        <f>AM112</f>
        <v>2.7E-2</v>
      </c>
      <c r="AN117" s="91">
        <f>ROUNDUP(AN112/3,0)</f>
        <v>1</v>
      </c>
      <c r="AQ117" s="94">
        <f>AM117*I117*0.1+AL117</f>
        <v>7.5243000000000004E-2</v>
      </c>
      <c r="AR117" s="94">
        <f t="shared" si="127"/>
        <v>7.5243000000000011E-3</v>
      </c>
      <c r="AS117" s="95">
        <f t="shared" si="128"/>
        <v>0</v>
      </c>
      <c r="AT117" s="95">
        <f t="shared" si="129"/>
        <v>2.0691825E-2</v>
      </c>
      <c r="AU117" s="94">
        <f>1333*J116*POWER(10,-6)</f>
        <v>1.3329999999999999E-5</v>
      </c>
      <c r="AV117" s="95">
        <f t="shared" si="130"/>
        <v>0.103472455</v>
      </c>
      <c r="AW117" s="96">
        <f t="shared" si="131"/>
        <v>0</v>
      </c>
      <c r="AX117" s="96">
        <f t="shared" si="132"/>
        <v>0</v>
      </c>
      <c r="AY117" s="96">
        <f t="shared" si="133"/>
        <v>2.6147489378500002E-6</v>
      </c>
      <c r="AZ117" s="289">
        <f>AW117/[1]DB!$B$23</f>
        <v>0</v>
      </c>
      <c r="BA117" s="289">
        <f>AX117/[1]DB!$B$23</f>
        <v>0</v>
      </c>
    </row>
    <row r="118" spans="1:53" s="91" customFormat="1" x14ac:dyDescent="0.3">
      <c r="A118" s="92"/>
      <c r="B118" s="92"/>
      <c r="D118" s="183"/>
      <c r="E118" s="184"/>
      <c r="F118" s="185"/>
      <c r="G118" s="92"/>
      <c r="H118" s="96"/>
      <c r="I118" s="95"/>
      <c r="J118" s="92"/>
      <c r="K118" s="288" t="s">
        <v>466</v>
      </c>
      <c r="L118" s="287" t="s">
        <v>642</v>
      </c>
      <c r="AQ118" s="94"/>
      <c r="AR118" s="94"/>
      <c r="AS118" s="95"/>
      <c r="AT118" s="95"/>
      <c r="AU118" s="94"/>
      <c r="AV118" s="95"/>
      <c r="AW118" s="96"/>
      <c r="AX118" s="96"/>
      <c r="AY118" s="96"/>
    </row>
    <row r="119" spans="1:53" s="91" customFormat="1" x14ac:dyDescent="0.3">
      <c r="A119" s="92"/>
      <c r="B119" s="92"/>
      <c r="D119" s="183"/>
      <c r="E119" s="184"/>
      <c r="F119" s="185"/>
      <c r="G119" s="92"/>
      <c r="H119" s="96"/>
      <c r="I119" s="95"/>
      <c r="J119" s="92"/>
      <c r="K119" s="92"/>
      <c r="L119" s="92"/>
      <c r="AQ119" s="94"/>
      <c r="AR119" s="94"/>
      <c r="AS119" s="95"/>
      <c r="AT119" s="95"/>
      <c r="AU119" s="94"/>
      <c r="AV119" s="95"/>
      <c r="AW119" s="96"/>
      <c r="AX119" s="96"/>
      <c r="AY119" s="96"/>
    </row>
    <row r="120" spans="1:53" s="91" customFormat="1" x14ac:dyDescent="0.3">
      <c r="A120" s="92"/>
      <c r="B120" s="92"/>
      <c r="D120" s="183"/>
      <c r="E120" s="184"/>
      <c r="F120" s="185"/>
      <c r="G120" s="92"/>
      <c r="H120" s="96"/>
      <c r="I120" s="95"/>
      <c r="J120" s="92"/>
      <c r="K120" s="92"/>
      <c r="L120" s="92"/>
      <c r="AQ120" s="94"/>
      <c r="AR120" s="94"/>
      <c r="AS120" s="95"/>
      <c r="AT120" s="95"/>
      <c r="AU120" s="94"/>
      <c r="AV120" s="95"/>
      <c r="AW120" s="96"/>
      <c r="AX120" s="96"/>
      <c r="AY120" s="96"/>
    </row>
    <row r="121" spans="1:53" ht="15" thickBot="1" x14ac:dyDescent="0.35"/>
    <row r="122" spans="1:53" ht="15" thickBot="1" x14ac:dyDescent="0.35">
      <c r="A122" s="8" t="s">
        <v>786</v>
      </c>
      <c r="B122" s="62" t="s">
        <v>677</v>
      </c>
      <c r="C122" s="78" t="s">
        <v>106</v>
      </c>
      <c r="D122" s="9" t="s">
        <v>25</v>
      </c>
      <c r="E122" s="65">
        <v>2.9999999999999999E-7</v>
      </c>
      <c r="F122" s="62">
        <v>563</v>
      </c>
      <c r="G122" s="8">
        <v>0.2</v>
      </c>
      <c r="H122" s="10">
        <f t="shared" ref="H122:H127" si="134">E122*F122*G122</f>
        <v>3.3779999999999998E-5</v>
      </c>
      <c r="I122" s="63">
        <v>2.97</v>
      </c>
      <c r="J122" s="68">
        <f>I122</f>
        <v>2.97</v>
      </c>
      <c r="K122" s="71" t="s">
        <v>122</v>
      </c>
      <c r="L122" s="76">
        <f>I122*20</f>
        <v>59.400000000000006</v>
      </c>
      <c r="M122" s="31" t="str">
        <f t="shared" ref="M122:N127" si="135">A122</f>
        <v>C91</v>
      </c>
      <c r="N122" s="31" t="str">
        <f t="shared" si="135"/>
        <v>Трубопровод сырой нефти на УПН от задвижки №1 че-рез расширитель, сепаратор С-1, до буферных емкостей БЕ-2.1, БЕ-2.2, нефть</v>
      </c>
      <c r="O122" s="31" t="str">
        <f t="shared" ref="O122:O127" si="136">D122</f>
        <v>Полное-пожар</v>
      </c>
      <c r="P122" s="31">
        <v>6.3</v>
      </c>
      <c r="Q122" s="31">
        <v>8.9</v>
      </c>
      <c r="R122" s="31">
        <v>13.4</v>
      </c>
      <c r="S122" s="31">
        <v>26.7</v>
      </c>
      <c r="T122" s="31" t="s">
        <v>46</v>
      </c>
      <c r="U122" s="31" t="s">
        <v>46</v>
      </c>
      <c r="V122" s="31" t="s">
        <v>46</v>
      </c>
      <c r="W122" s="31" t="s">
        <v>46</v>
      </c>
      <c r="X122" s="31" t="s">
        <v>46</v>
      </c>
      <c r="Y122" s="31" t="s">
        <v>46</v>
      </c>
      <c r="Z122" s="31" t="s">
        <v>46</v>
      </c>
      <c r="AA122" s="31" t="s">
        <v>46</v>
      </c>
      <c r="AB122" s="31" t="s">
        <v>46</v>
      </c>
      <c r="AC122" s="31" t="s">
        <v>46</v>
      </c>
      <c r="AD122" s="31" t="s">
        <v>46</v>
      </c>
      <c r="AE122" s="31" t="s">
        <v>46</v>
      </c>
      <c r="AF122" s="31" t="s">
        <v>46</v>
      </c>
      <c r="AG122" s="31" t="s">
        <v>46</v>
      </c>
      <c r="AH122" s="31" t="s">
        <v>46</v>
      </c>
      <c r="AI122" s="31" t="s">
        <v>46</v>
      </c>
      <c r="AJ122" s="12">
        <v>0</v>
      </c>
      <c r="AK122" s="12">
        <v>1</v>
      </c>
      <c r="AL122" s="64">
        <v>0.75</v>
      </c>
      <c r="AM122" s="64">
        <v>2.7E-2</v>
      </c>
      <c r="AN122" s="64">
        <v>3</v>
      </c>
      <c r="AO122" s="31"/>
      <c r="AP122" s="31"/>
      <c r="AQ122" s="32">
        <f>AM122*I122+AL122</f>
        <v>0.83018999999999998</v>
      </c>
      <c r="AR122" s="32">
        <f t="shared" ref="AR122:AR127" si="137">0.1*AQ122</f>
        <v>8.3019000000000009E-2</v>
      </c>
      <c r="AS122" s="33">
        <f t="shared" ref="AS122:AS127" si="138">AJ122*3+0.25*AK122</f>
        <v>0.25</v>
      </c>
      <c r="AT122" s="33">
        <f t="shared" ref="AT122:AT127" si="139">SUM(AQ122:AS122)/4</f>
        <v>0.29080224999999998</v>
      </c>
      <c r="AU122" s="32">
        <f>10068.2*J122*POWER(10,-6)</f>
        <v>2.9902554000000001E-2</v>
      </c>
      <c r="AV122" s="33">
        <f t="shared" ref="AV122:AV127" si="140">AU122+AT122+AS122+AR122+AQ122</f>
        <v>1.4839138039999999</v>
      </c>
      <c r="AW122" s="34">
        <f t="shared" ref="AW122:AW127" si="141">AJ122*H122</f>
        <v>0</v>
      </c>
      <c r="AX122" s="34">
        <f t="shared" ref="AX122:AX127" si="142">H122*AK122</f>
        <v>3.3779999999999998E-5</v>
      </c>
      <c r="AY122" s="34">
        <f t="shared" ref="AY122:AY127" si="143">H122*AV122</f>
        <v>5.0126608299119993E-5</v>
      </c>
      <c r="AZ122" s="289">
        <f>AW122/[1]DB!$B$23</f>
        <v>0</v>
      </c>
      <c r="BA122" s="289">
        <f>AX122/[1]DB!$B$23</f>
        <v>4.0698795180722887E-8</v>
      </c>
    </row>
    <row r="123" spans="1:53" ht="15" thickBot="1" x14ac:dyDescent="0.35">
      <c r="A123" s="8" t="s">
        <v>787</v>
      </c>
      <c r="B123" s="8" t="str">
        <f>B122</f>
        <v>Трубопровод сырой нефти на УПН от задвижки №1 че-рез расширитель, сепаратор С-1, до буферных емкостей БЕ-2.1, БЕ-2.2, нефть</v>
      </c>
      <c r="C123" s="78" t="s">
        <v>107</v>
      </c>
      <c r="D123" s="9" t="s">
        <v>28</v>
      </c>
      <c r="E123" s="66">
        <f>E122</f>
        <v>2.9999999999999999E-7</v>
      </c>
      <c r="F123" s="67">
        <f>F122</f>
        <v>563</v>
      </c>
      <c r="G123" s="8">
        <v>0.04</v>
      </c>
      <c r="H123" s="10">
        <f t="shared" si="134"/>
        <v>6.7559999999999994E-6</v>
      </c>
      <c r="I123" s="61">
        <f>I122</f>
        <v>2.97</v>
      </c>
      <c r="J123" s="274">
        <f>POWER(10,-6)*35*SQRT(100)*3600*L122/1000*0.1</f>
        <v>7.4843999999999996E-3</v>
      </c>
      <c r="K123" s="71" t="s">
        <v>123</v>
      </c>
      <c r="L123" s="76">
        <v>0</v>
      </c>
      <c r="M123" s="31" t="str">
        <f t="shared" si="135"/>
        <v>C92</v>
      </c>
      <c r="N123" s="31" t="str">
        <f t="shared" si="135"/>
        <v>Трубопровод сырой нефти на УПН от задвижки №1 че-рез расширитель, сепаратор С-1, до буферных емкостей БЕ-2.1, БЕ-2.2, нефть</v>
      </c>
      <c r="O123" s="31" t="str">
        <f t="shared" si="136"/>
        <v>Полное-взрыв</v>
      </c>
      <c r="P123" s="31" t="s">
        <v>46</v>
      </c>
      <c r="Q123" s="31" t="s">
        <v>46</v>
      </c>
      <c r="R123" s="31" t="s">
        <v>46</v>
      </c>
      <c r="S123" s="31" t="s">
        <v>46</v>
      </c>
      <c r="T123" s="31">
        <v>0</v>
      </c>
      <c r="U123" s="31">
        <v>0</v>
      </c>
      <c r="V123" s="31">
        <v>14.6</v>
      </c>
      <c r="W123" s="31">
        <v>49.6</v>
      </c>
      <c r="X123" s="31">
        <v>72.099999999999994</v>
      </c>
      <c r="Y123" s="31" t="s">
        <v>46</v>
      </c>
      <c r="Z123" s="31" t="s">
        <v>46</v>
      </c>
      <c r="AA123" s="31" t="s">
        <v>46</v>
      </c>
      <c r="AB123" s="31" t="s">
        <v>46</v>
      </c>
      <c r="AC123" s="31" t="s">
        <v>46</v>
      </c>
      <c r="AD123" s="31" t="s">
        <v>46</v>
      </c>
      <c r="AE123" s="31" t="s">
        <v>46</v>
      </c>
      <c r="AF123" s="31" t="s">
        <v>46</v>
      </c>
      <c r="AG123" s="31" t="s">
        <v>46</v>
      </c>
      <c r="AH123" s="31" t="s">
        <v>46</v>
      </c>
      <c r="AI123" s="31" t="s">
        <v>46</v>
      </c>
      <c r="AJ123" s="12">
        <v>0</v>
      </c>
      <c r="AK123" s="12">
        <v>1</v>
      </c>
      <c r="AL123" s="31">
        <f>AL122</f>
        <v>0.75</v>
      </c>
      <c r="AM123" s="31">
        <f>AM122</f>
        <v>2.7E-2</v>
      </c>
      <c r="AN123" s="31">
        <f>AN122</f>
        <v>3</v>
      </c>
      <c r="AO123" s="31"/>
      <c r="AP123" s="31"/>
      <c r="AQ123" s="32">
        <f>AM123*I123+AL123</f>
        <v>0.83018999999999998</v>
      </c>
      <c r="AR123" s="32">
        <f t="shared" si="137"/>
        <v>8.3019000000000009E-2</v>
      </c>
      <c r="AS123" s="33">
        <f t="shared" si="138"/>
        <v>0.25</v>
      </c>
      <c r="AT123" s="33">
        <f t="shared" si="139"/>
        <v>0.29080224999999998</v>
      </c>
      <c r="AU123" s="32">
        <f>10068.2*J123*POWER(10,-6)*10</f>
        <v>7.5354436079999999E-4</v>
      </c>
      <c r="AV123" s="33">
        <f t="shared" si="140"/>
        <v>1.4547647943608</v>
      </c>
      <c r="AW123" s="34">
        <f t="shared" si="141"/>
        <v>0</v>
      </c>
      <c r="AX123" s="34">
        <f t="shared" si="142"/>
        <v>6.7559999999999994E-6</v>
      </c>
      <c r="AY123" s="34">
        <f t="shared" si="143"/>
        <v>9.8283909507015637E-6</v>
      </c>
      <c r="AZ123" s="289">
        <f>AW123/[1]DB!$B$23</f>
        <v>0</v>
      </c>
      <c r="BA123" s="289">
        <f>AX123/[1]DB!$B$23</f>
        <v>8.139759036144578E-9</v>
      </c>
    </row>
    <row r="124" spans="1:53" x14ac:dyDescent="0.3">
      <c r="A124" s="8" t="s">
        <v>788</v>
      </c>
      <c r="B124" s="8" t="str">
        <f>B122</f>
        <v>Трубопровод сырой нефти на УПН от задвижки №1 че-рез расширитель, сепаратор С-1, до буферных емкостей БЕ-2.1, БЕ-2.2, нефть</v>
      </c>
      <c r="C124" s="78" t="s">
        <v>108</v>
      </c>
      <c r="D124" s="9" t="s">
        <v>26</v>
      </c>
      <c r="E124" s="66">
        <f>E122</f>
        <v>2.9999999999999999E-7</v>
      </c>
      <c r="F124" s="67">
        <f>F122</f>
        <v>563</v>
      </c>
      <c r="G124" s="8">
        <v>0.76</v>
      </c>
      <c r="H124" s="10">
        <f t="shared" si="134"/>
        <v>1.2836399999999998E-4</v>
      </c>
      <c r="I124" s="61">
        <f>I122</f>
        <v>2.97</v>
      </c>
      <c r="J124" s="70">
        <v>0</v>
      </c>
      <c r="K124" s="71" t="s">
        <v>124</v>
      </c>
      <c r="L124" s="76">
        <v>0</v>
      </c>
      <c r="M124" s="31" t="str">
        <f t="shared" si="135"/>
        <v>C93</v>
      </c>
      <c r="N124" s="31" t="str">
        <f t="shared" si="135"/>
        <v>Трубопровод сырой нефти на УПН от задвижки №1 че-рез расширитель, сепаратор С-1, до буферных емкостей БЕ-2.1, БЕ-2.2, нефть</v>
      </c>
      <c r="O124" s="31" t="str">
        <f t="shared" si="136"/>
        <v>Полное-ликвидация</v>
      </c>
      <c r="P124" s="31" t="s">
        <v>46</v>
      </c>
      <c r="Q124" s="31" t="s">
        <v>46</v>
      </c>
      <c r="R124" s="31" t="s">
        <v>46</v>
      </c>
      <c r="S124" s="31" t="s">
        <v>46</v>
      </c>
      <c r="T124" s="31" t="s">
        <v>46</v>
      </c>
      <c r="U124" s="31" t="s">
        <v>46</v>
      </c>
      <c r="V124" s="31" t="s">
        <v>46</v>
      </c>
      <c r="W124" s="31" t="s">
        <v>46</v>
      </c>
      <c r="X124" s="31" t="s">
        <v>46</v>
      </c>
      <c r="Y124" s="31" t="s">
        <v>46</v>
      </c>
      <c r="Z124" s="31" t="s">
        <v>46</v>
      </c>
      <c r="AA124" s="31" t="s">
        <v>46</v>
      </c>
      <c r="AB124" s="31" t="s">
        <v>46</v>
      </c>
      <c r="AC124" s="31" t="s">
        <v>46</v>
      </c>
      <c r="AD124" s="31" t="s">
        <v>46</v>
      </c>
      <c r="AE124" s="31" t="s">
        <v>46</v>
      </c>
      <c r="AF124" s="31" t="s">
        <v>46</v>
      </c>
      <c r="AG124" s="31" t="s">
        <v>46</v>
      </c>
      <c r="AH124" s="31" t="s">
        <v>46</v>
      </c>
      <c r="AI124" s="31" t="s">
        <v>46</v>
      </c>
      <c r="AJ124" s="31">
        <v>0</v>
      </c>
      <c r="AK124" s="31">
        <v>0</v>
      </c>
      <c r="AL124" s="31">
        <f>AL122</f>
        <v>0.75</v>
      </c>
      <c r="AM124" s="31">
        <f>AM122</f>
        <v>2.7E-2</v>
      </c>
      <c r="AN124" s="31">
        <f>AN122</f>
        <v>3</v>
      </c>
      <c r="AO124" s="31"/>
      <c r="AP124" s="31"/>
      <c r="AQ124" s="32">
        <f>AM124*I124*0.1+AL124</f>
        <v>0.758019</v>
      </c>
      <c r="AR124" s="32">
        <f t="shared" si="137"/>
        <v>7.5801900000000005E-2</v>
      </c>
      <c r="AS124" s="33">
        <f t="shared" si="138"/>
        <v>0</v>
      </c>
      <c r="AT124" s="33">
        <f t="shared" si="139"/>
        <v>0.20845522499999999</v>
      </c>
      <c r="AU124" s="32">
        <f>1333*J123*POWER(10,-6)</f>
        <v>9.9767051999999991E-6</v>
      </c>
      <c r="AV124" s="33">
        <f t="shared" si="140"/>
        <v>1.0422861017052001</v>
      </c>
      <c r="AW124" s="34">
        <f t="shared" si="141"/>
        <v>0</v>
      </c>
      <c r="AX124" s="34">
        <f t="shared" si="142"/>
        <v>0</v>
      </c>
      <c r="AY124" s="34">
        <f t="shared" si="143"/>
        <v>1.3379201315928628E-4</v>
      </c>
      <c r="AZ124" s="289">
        <f>AW124/[1]DB!$B$23</f>
        <v>0</v>
      </c>
      <c r="BA124" s="289">
        <f>AX124/[1]DB!$B$23</f>
        <v>0</v>
      </c>
    </row>
    <row r="125" spans="1:53" x14ac:dyDescent="0.3">
      <c r="A125" s="8" t="s">
        <v>789</v>
      </c>
      <c r="B125" s="8" t="str">
        <f>B122</f>
        <v>Трубопровод сырой нефти на УПН от задвижки №1 че-рез расширитель, сепаратор С-1, до буферных емкостей БЕ-2.1, БЕ-2.2, нефть</v>
      </c>
      <c r="C125" s="78" t="s">
        <v>109</v>
      </c>
      <c r="D125" s="9" t="s">
        <v>47</v>
      </c>
      <c r="E125" s="65">
        <v>1.9999999999999999E-6</v>
      </c>
      <c r="F125" s="67">
        <f>F122</f>
        <v>563</v>
      </c>
      <c r="G125" s="8">
        <v>0.2</v>
      </c>
      <c r="H125" s="10">
        <f t="shared" si="134"/>
        <v>2.2520000000000003E-4</v>
      </c>
      <c r="I125" s="61">
        <f>0.15*I122</f>
        <v>0.44550000000000001</v>
      </c>
      <c r="J125" s="68">
        <f>I125</f>
        <v>0.44550000000000001</v>
      </c>
      <c r="K125" s="73" t="s">
        <v>126</v>
      </c>
      <c r="L125" s="77">
        <v>45390</v>
      </c>
      <c r="M125" s="31" t="str">
        <f t="shared" si="135"/>
        <v>C94</v>
      </c>
      <c r="N125" s="31" t="str">
        <f t="shared" si="135"/>
        <v>Трубопровод сырой нефти на УПН от задвижки №1 че-рез расширитель, сепаратор С-1, до буферных емкостей БЕ-2.1, БЕ-2.2, нефть</v>
      </c>
      <c r="O125" s="31" t="str">
        <f t="shared" si="136"/>
        <v>Частичное-пожар</v>
      </c>
      <c r="P125" s="31">
        <v>3.1</v>
      </c>
      <c r="Q125" s="31">
        <v>4.5999999999999996</v>
      </c>
      <c r="R125" s="31">
        <v>6.8</v>
      </c>
      <c r="S125" s="31">
        <v>12.2</v>
      </c>
      <c r="T125" s="31" t="s">
        <v>46</v>
      </c>
      <c r="U125" s="31" t="s">
        <v>46</v>
      </c>
      <c r="V125" s="31" t="s">
        <v>46</v>
      </c>
      <c r="W125" s="31" t="s">
        <v>46</v>
      </c>
      <c r="X125" s="31" t="s">
        <v>46</v>
      </c>
      <c r="Y125" s="31" t="s">
        <v>46</v>
      </c>
      <c r="Z125" s="31" t="s">
        <v>46</v>
      </c>
      <c r="AA125" s="31" t="s">
        <v>46</v>
      </c>
      <c r="AB125" s="31" t="s">
        <v>46</v>
      </c>
      <c r="AC125" s="31" t="s">
        <v>46</v>
      </c>
      <c r="AD125" s="31" t="s">
        <v>46</v>
      </c>
      <c r="AE125" s="31" t="s">
        <v>46</v>
      </c>
      <c r="AF125" s="31" t="s">
        <v>46</v>
      </c>
      <c r="AG125" s="31" t="s">
        <v>46</v>
      </c>
      <c r="AH125" s="31" t="s">
        <v>46</v>
      </c>
      <c r="AI125" s="31" t="s">
        <v>46</v>
      </c>
      <c r="AJ125" s="31">
        <v>0</v>
      </c>
      <c r="AK125" s="31">
        <v>1</v>
      </c>
      <c r="AL125" s="31">
        <f>0.1*$AL$2</f>
        <v>7.5000000000000011E-2</v>
      </c>
      <c r="AM125" s="31">
        <f>AM122</f>
        <v>2.7E-2</v>
      </c>
      <c r="AN125" s="31">
        <f>ROUNDUP(AN122/3,0)</f>
        <v>1</v>
      </c>
      <c r="AO125" s="31"/>
      <c r="AP125" s="31"/>
      <c r="AQ125" s="32">
        <f>AM125*I125+AL125</f>
        <v>8.7028500000000009E-2</v>
      </c>
      <c r="AR125" s="32">
        <f t="shared" si="137"/>
        <v>8.7028500000000016E-3</v>
      </c>
      <c r="AS125" s="33">
        <f t="shared" si="138"/>
        <v>0.25</v>
      </c>
      <c r="AT125" s="33">
        <f t="shared" si="139"/>
        <v>8.6432837499999998E-2</v>
      </c>
      <c r="AU125" s="32">
        <f>10068.2*J125*POWER(10,-6)</f>
        <v>4.4853830999999995E-3</v>
      </c>
      <c r="AV125" s="33">
        <f t="shared" si="140"/>
        <v>0.43664957059999998</v>
      </c>
      <c r="AW125" s="34">
        <f t="shared" si="141"/>
        <v>0</v>
      </c>
      <c r="AX125" s="34">
        <f t="shared" si="142"/>
        <v>2.2520000000000003E-4</v>
      </c>
      <c r="AY125" s="34">
        <f t="shared" si="143"/>
        <v>9.8333483299120012E-5</v>
      </c>
      <c r="AZ125" s="289">
        <f>AW125/[1]DB!$B$23</f>
        <v>0</v>
      </c>
      <c r="BA125" s="289">
        <f>AX125/[1]DB!$B$23</f>
        <v>2.7132530120481933E-7</v>
      </c>
    </row>
    <row r="126" spans="1:53" x14ac:dyDescent="0.3">
      <c r="A126" s="8" t="s">
        <v>790</v>
      </c>
      <c r="B126" s="8" t="str">
        <f>B122</f>
        <v>Трубопровод сырой нефти на УПН от задвижки №1 че-рез расширитель, сепаратор С-1, до буферных емкостей БЕ-2.1, БЕ-2.2, нефть</v>
      </c>
      <c r="C126" s="78" t="s">
        <v>110</v>
      </c>
      <c r="D126" s="9" t="s">
        <v>112</v>
      </c>
      <c r="E126" s="66">
        <f>E125</f>
        <v>1.9999999999999999E-6</v>
      </c>
      <c r="F126" s="67">
        <f>F122</f>
        <v>563</v>
      </c>
      <c r="G126" s="8">
        <v>0.04</v>
      </c>
      <c r="H126" s="10">
        <f t="shared" si="134"/>
        <v>4.5040000000000002E-5</v>
      </c>
      <c r="I126" s="61">
        <f>0.15*I122</f>
        <v>0.44550000000000001</v>
      </c>
      <c r="J126" s="68">
        <f>0.9*J123</f>
        <v>6.73596E-3</v>
      </c>
      <c r="K126" s="73" t="s">
        <v>127</v>
      </c>
      <c r="L126" s="77">
        <v>3</v>
      </c>
      <c r="M126" s="31" t="str">
        <f t="shared" si="135"/>
        <v>C95</v>
      </c>
      <c r="N126" s="31" t="str">
        <f t="shared" si="135"/>
        <v>Трубопровод сырой нефти на УПН от задвижки №1 че-рез расширитель, сепаратор С-1, до буферных емкостей БЕ-2.1, БЕ-2.2, нефть</v>
      </c>
      <c r="O126" s="31" t="str">
        <f t="shared" si="136"/>
        <v>Частичное-пожар-вспышка</v>
      </c>
      <c r="P126" s="31" t="s">
        <v>46</v>
      </c>
      <c r="Q126" s="31" t="s">
        <v>46</v>
      </c>
      <c r="R126" s="31" t="s">
        <v>46</v>
      </c>
      <c r="S126" s="31" t="s">
        <v>46</v>
      </c>
      <c r="T126" s="31" t="s">
        <v>46</v>
      </c>
      <c r="U126" s="31" t="s">
        <v>46</v>
      </c>
      <c r="V126" s="31" t="s">
        <v>46</v>
      </c>
      <c r="W126" s="31" t="s">
        <v>46</v>
      </c>
      <c r="X126" s="31" t="s">
        <v>46</v>
      </c>
      <c r="Y126" s="31" t="s">
        <v>46</v>
      </c>
      <c r="Z126" s="31" t="s">
        <v>46</v>
      </c>
      <c r="AA126" s="31">
        <v>6.44</v>
      </c>
      <c r="AB126" s="31">
        <v>7.73</v>
      </c>
      <c r="AC126" s="31" t="s">
        <v>46</v>
      </c>
      <c r="AD126" s="31" t="s">
        <v>46</v>
      </c>
      <c r="AE126" s="31" t="s">
        <v>46</v>
      </c>
      <c r="AF126" s="31" t="s">
        <v>46</v>
      </c>
      <c r="AG126" s="31" t="s">
        <v>46</v>
      </c>
      <c r="AH126" s="31" t="s">
        <v>46</v>
      </c>
      <c r="AI126" s="31" t="s">
        <v>46</v>
      </c>
      <c r="AJ126" s="31">
        <v>0</v>
      </c>
      <c r="AK126" s="31">
        <v>1</v>
      </c>
      <c r="AL126" s="31">
        <f>0.1*$AL$2</f>
        <v>7.5000000000000011E-2</v>
      </c>
      <c r="AM126" s="31">
        <f>AM122</f>
        <v>2.7E-2</v>
      </c>
      <c r="AN126" s="31">
        <f>ROUNDUP(AN122/3,0)</f>
        <v>1</v>
      </c>
      <c r="AO126" s="31"/>
      <c r="AP126" s="31"/>
      <c r="AQ126" s="32">
        <f>AM126*I126+AL126</f>
        <v>8.7028500000000009E-2</v>
      </c>
      <c r="AR126" s="32">
        <f t="shared" si="137"/>
        <v>8.7028500000000016E-3</v>
      </c>
      <c r="AS126" s="33">
        <f t="shared" si="138"/>
        <v>0.25</v>
      </c>
      <c r="AT126" s="33">
        <f t="shared" si="139"/>
        <v>8.6432837499999998E-2</v>
      </c>
      <c r="AU126" s="32">
        <f>10068.2*J126*POWER(10,-6)*10</f>
        <v>6.7818992472000006E-4</v>
      </c>
      <c r="AV126" s="33">
        <f t="shared" si="140"/>
        <v>0.43284237742471998</v>
      </c>
      <c r="AW126" s="34">
        <f t="shared" si="141"/>
        <v>0</v>
      </c>
      <c r="AX126" s="34">
        <f t="shared" si="142"/>
        <v>4.5040000000000002E-5</v>
      </c>
      <c r="AY126" s="34">
        <f t="shared" si="143"/>
        <v>1.9495220679209389E-5</v>
      </c>
      <c r="AZ126" s="289">
        <f>AW126/[1]DB!$B$23</f>
        <v>0</v>
      </c>
      <c r="BA126" s="289">
        <f>AX126/[1]DB!$B$23</f>
        <v>5.4265060240963856E-8</v>
      </c>
    </row>
    <row r="127" spans="1:53" x14ac:dyDescent="0.3">
      <c r="A127" s="169" t="s">
        <v>791</v>
      </c>
      <c r="B127" s="169" t="str">
        <f>B122</f>
        <v>Трубопровод сырой нефти на УПН от задвижки №1 че-рез расширитель, сепаратор С-1, до буферных емкостей БЕ-2.1, БЕ-2.2, нефть</v>
      </c>
      <c r="C127" s="170" t="s">
        <v>111</v>
      </c>
      <c r="D127" s="171" t="s">
        <v>27</v>
      </c>
      <c r="E127" s="172">
        <f>E125</f>
        <v>1.9999999999999999E-6</v>
      </c>
      <c r="F127" s="173">
        <f>F122</f>
        <v>563</v>
      </c>
      <c r="G127" s="169">
        <v>0.76</v>
      </c>
      <c r="H127" s="174">
        <f t="shared" si="134"/>
        <v>8.5576000000000001E-4</v>
      </c>
      <c r="I127" s="175">
        <f>0.15*I122</f>
        <v>0.44550000000000001</v>
      </c>
      <c r="J127" s="176">
        <v>0</v>
      </c>
      <c r="K127" s="177" t="s">
        <v>138</v>
      </c>
      <c r="L127" s="178">
        <v>1</v>
      </c>
      <c r="M127" s="31" t="str">
        <f t="shared" si="135"/>
        <v>C96</v>
      </c>
      <c r="N127" s="31" t="str">
        <f t="shared" si="135"/>
        <v>Трубопровод сырой нефти на УПН от задвижки №1 че-рез расширитель, сепаратор С-1, до буферных емкостей БЕ-2.1, БЕ-2.2, нефть</v>
      </c>
      <c r="O127" s="31" t="str">
        <f t="shared" si="136"/>
        <v>Частичное-ликвидация</v>
      </c>
      <c r="P127" s="31" t="s">
        <v>46</v>
      </c>
      <c r="Q127" s="31" t="s">
        <v>46</v>
      </c>
      <c r="R127" s="31" t="s">
        <v>46</v>
      </c>
      <c r="S127" s="31" t="s">
        <v>46</v>
      </c>
      <c r="T127" s="31" t="s">
        <v>46</v>
      </c>
      <c r="U127" s="31" t="s">
        <v>46</v>
      </c>
      <c r="V127" s="31" t="s">
        <v>46</v>
      </c>
      <c r="W127" s="31" t="s">
        <v>46</v>
      </c>
      <c r="X127" s="31" t="s">
        <v>46</v>
      </c>
      <c r="Y127" s="31" t="s">
        <v>46</v>
      </c>
      <c r="Z127" s="31" t="s">
        <v>46</v>
      </c>
      <c r="AA127" s="31" t="s">
        <v>46</v>
      </c>
      <c r="AB127" s="31" t="s">
        <v>46</v>
      </c>
      <c r="AC127" s="31" t="s">
        <v>46</v>
      </c>
      <c r="AD127" s="31" t="s">
        <v>46</v>
      </c>
      <c r="AE127" s="31" t="s">
        <v>46</v>
      </c>
      <c r="AF127" s="31" t="s">
        <v>46</v>
      </c>
      <c r="AG127" s="31" t="s">
        <v>46</v>
      </c>
      <c r="AH127" s="31" t="s">
        <v>46</v>
      </c>
      <c r="AI127" s="31" t="s">
        <v>46</v>
      </c>
      <c r="AJ127" s="31">
        <v>0</v>
      </c>
      <c r="AK127" s="31">
        <v>0</v>
      </c>
      <c r="AL127" s="31">
        <f>0.1*$AL$2</f>
        <v>7.5000000000000011E-2</v>
      </c>
      <c r="AM127" s="31">
        <f>AM122</f>
        <v>2.7E-2</v>
      </c>
      <c r="AN127" s="31">
        <f>ROUNDUP(AN122/3,0)</f>
        <v>1</v>
      </c>
      <c r="AO127" s="31"/>
      <c r="AP127" s="31"/>
      <c r="AQ127" s="32">
        <f>AM127*I127*0.1+AL127</f>
        <v>7.6202850000000016E-2</v>
      </c>
      <c r="AR127" s="32">
        <f t="shared" si="137"/>
        <v>7.6202850000000018E-3</v>
      </c>
      <c r="AS127" s="33">
        <f t="shared" si="138"/>
        <v>0</v>
      </c>
      <c r="AT127" s="33">
        <f t="shared" si="139"/>
        <v>2.0955783750000005E-2</v>
      </c>
      <c r="AU127" s="32">
        <f>1333*J126*POWER(10,-6)</f>
        <v>8.9790346799999995E-6</v>
      </c>
      <c r="AV127" s="33">
        <f t="shared" si="140"/>
        <v>0.10478789778468002</v>
      </c>
      <c r="AW127" s="34">
        <f t="shared" si="141"/>
        <v>0</v>
      </c>
      <c r="AX127" s="34">
        <f t="shared" si="142"/>
        <v>0</v>
      </c>
      <c r="AY127" s="34">
        <f t="shared" si="143"/>
        <v>8.9673291408217781E-5</v>
      </c>
      <c r="AZ127" s="289">
        <f>AW127/[1]DB!$B$23</f>
        <v>0</v>
      </c>
      <c r="BA127" s="289">
        <f>AX127/[1]DB!$B$23</f>
        <v>0</v>
      </c>
    </row>
    <row r="128" spans="1:53" s="179" customFormat="1" x14ac:dyDescent="0.3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288" t="s">
        <v>466</v>
      </c>
      <c r="L128" s="287" t="s">
        <v>642</v>
      </c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</row>
    <row r="129" spans="1:53" s="179" customFormat="1" x14ac:dyDescent="0.3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</row>
    <row r="130" spans="1:53" s="179" customFormat="1" x14ac:dyDescent="0.3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</row>
    <row r="131" spans="1:53" ht="15" thickBot="1" x14ac:dyDescent="0.35"/>
    <row r="132" spans="1:53" ht="15" thickBot="1" x14ac:dyDescent="0.35">
      <c r="A132" s="8" t="s">
        <v>792</v>
      </c>
      <c r="B132" s="62" t="s">
        <v>582</v>
      </c>
      <c r="C132" s="78" t="s">
        <v>106</v>
      </c>
      <c r="D132" s="9" t="s">
        <v>25</v>
      </c>
      <c r="E132" s="65">
        <v>2.9999999999999999E-7</v>
      </c>
      <c r="F132" s="62">
        <v>985</v>
      </c>
      <c r="G132" s="8">
        <v>0.2</v>
      </c>
      <c r="H132" s="10">
        <f t="shared" ref="H132:H137" si="144">E132*F132*G132</f>
        <v>5.91E-5</v>
      </c>
      <c r="I132" s="63">
        <v>10.81</v>
      </c>
      <c r="J132" s="68">
        <f>I132</f>
        <v>10.81</v>
      </c>
      <c r="K132" s="71" t="s">
        <v>122</v>
      </c>
      <c r="L132" s="76">
        <f>I132*20</f>
        <v>216.20000000000002</v>
      </c>
      <c r="M132" s="31" t="str">
        <f t="shared" ref="M132:M137" si="145">A132</f>
        <v>C97</v>
      </c>
      <c r="N132" s="31" t="str">
        <f t="shared" ref="N132:N137" si="146">B132</f>
        <v>Трубопровод сырой нефти от  БЕ-2.1, БЕ-2.2  через насосы внутренней перекачки на вход  теплообменников, до  С-2.3, 2.4, нефть</v>
      </c>
      <c r="O132" s="31" t="str">
        <f t="shared" ref="O132:O137" si="147">D132</f>
        <v>Полное-пожар</v>
      </c>
      <c r="P132" s="31">
        <v>11.9</v>
      </c>
      <c r="Q132" s="31">
        <v>16.7</v>
      </c>
      <c r="R132" s="31">
        <v>24.4</v>
      </c>
      <c r="S132" s="31">
        <v>46.9</v>
      </c>
      <c r="T132" s="31" t="s">
        <v>46</v>
      </c>
      <c r="U132" s="31" t="s">
        <v>46</v>
      </c>
      <c r="V132" s="31" t="s">
        <v>46</v>
      </c>
      <c r="W132" s="31" t="s">
        <v>46</v>
      </c>
      <c r="X132" s="31" t="s">
        <v>46</v>
      </c>
      <c r="Y132" s="31" t="s">
        <v>46</v>
      </c>
      <c r="Z132" s="31" t="s">
        <v>46</v>
      </c>
      <c r="AA132" s="31" t="s">
        <v>46</v>
      </c>
      <c r="AB132" s="31" t="s">
        <v>46</v>
      </c>
      <c r="AC132" s="31" t="s">
        <v>46</v>
      </c>
      <c r="AD132" s="31" t="s">
        <v>46</v>
      </c>
      <c r="AE132" s="31" t="s">
        <v>46</v>
      </c>
      <c r="AF132" s="31" t="s">
        <v>46</v>
      </c>
      <c r="AG132" s="31" t="s">
        <v>46</v>
      </c>
      <c r="AH132" s="31" t="s">
        <v>46</v>
      </c>
      <c r="AI132" s="31" t="s">
        <v>46</v>
      </c>
      <c r="AJ132" s="12">
        <v>0</v>
      </c>
      <c r="AK132" s="12">
        <v>1</v>
      </c>
      <c r="AL132" s="64">
        <v>0.75</v>
      </c>
      <c r="AM132" s="64">
        <v>2.7E-2</v>
      </c>
      <c r="AN132" s="64">
        <v>3</v>
      </c>
      <c r="AO132" s="31"/>
      <c r="AP132" s="31"/>
      <c r="AQ132" s="32">
        <f>AM132*I132+AL132</f>
        <v>1.0418700000000001</v>
      </c>
      <c r="AR132" s="32">
        <f t="shared" ref="AR132:AR137" si="148">0.1*AQ132</f>
        <v>0.10418700000000002</v>
      </c>
      <c r="AS132" s="33">
        <f t="shared" ref="AS132:AS137" si="149">AJ132*3+0.25*AK132</f>
        <v>0.25</v>
      </c>
      <c r="AT132" s="33">
        <f t="shared" ref="AT132:AT137" si="150">SUM(AQ132:AS132)/4</f>
        <v>0.34901425000000003</v>
      </c>
      <c r="AU132" s="32">
        <f>10068.2*J132*POWER(10,-6)</f>
        <v>0.10883724200000001</v>
      </c>
      <c r="AV132" s="33">
        <f t="shared" ref="AV132:AV137" si="151">AU132+AT132+AS132+AR132+AQ132</f>
        <v>1.8539084920000002</v>
      </c>
      <c r="AW132" s="34">
        <f t="shared" ref="AW132:AW137" si="152">AJ132*H132</f>
        <v>0</v>
      </c>
      <c r="AX132" s="34">
        <f t="shared" ref="AX132:AX137" si="153">H132*AK132</f>
        <v>5.91E-5</v>
      </c>
      <c r="AY132" s="34">
        <f t="shared" ref="AY132:AY137" si="154">H132*AV132</f>
        <v>1.0956599187720002E-4</v>
      </c>
      <c r="AZ132" s="289">
        <f>AW132/[1]DB!$B$23</f>
        <v>0</v>
      </c>
      <c r="BA132" s="289">
        <f>AX132/[1]DB!$B$23</f>
        <v>7.120481927710843E-8</v>
      </c>
    </row>
    <row r="133" spans="1:53" ht="15" thickBot="1" x14ac:dyDescent="0.35">
      <c r="A133" s="8" t="s">
        <v>793</v>
      </c>
      <c r="B133" s="8" t="str">
        <f>B132</f>
        <v>Трубопровод сырой нефти от  БЕ-2.1, БЕ-2.2  через насосы внутренней перекачки на вход  теплообменников, до  С-2.3, 2.4, нефть</v>
      </c>
      <c r="C133" s="78" t="s">
        <v>107</v>
      </c>
      <c r="D133" s="9" t="s">
        <v>28</v>
      </c>
      <c r="E133" s="66">
        <f>E132</f>
        <v>2.9999999999999999E-7</v>
      </c>
      <c r="F133" s="67">
        <f>F132</f>
        <v>985</v>
      </c>
      <c r="G133" s="8">
        <v>0.04</v>
      </c>
      <c r="H133" s="10">
        <f t="shared" si="144"/>
        <v>1.1819999999999999E-5</v>
      </c>
      <c r="I133" s="61">
        <f>I132</f>
        <v>10.81</v>
      </c>
      <c r="J133" s="274">
        <f>POWER(10,-6)*35*SQRT(100)*3600*L132/1000*0.1</f>
        <v>2.72412E-2</v>
      </c>
      <c r="K133" s="71" t="s">
        <v>123</v>
      </c>
      <c r="L133" s="76">
        <v>0</v>
      </c>
      <c r="M133" s="31" t="str">
        <f t="shared" si="145"/>
        <v>C98</v>
      </c>
      <c r="N133" s="31" t="str">
        <f t="shared" si="146"/>
        <v>Трубопровод сырой нефти от  БЕ-2.1, БЕ-2.2  через насосы внутренней перекачки на вход  теплообменников, до  С-2.3, 2.4, нефть</v>
      </c>
      <c r="O133" s="31" t="str">
        <f t="shared" si="147"/>
        <v>Полное-взрыв</v>
      </c>
      <c r="P133" s="31" t="s">
        <v>46</v>
      </c>
      <c r="Q133" s="31" t="s">
        <v>46</v>
      </c>
      <c r="R133" s="31" t="s">
        <v>46</v>
      </c>
      <c r="S133" s="31" t="s">
        <v>46</v>
      </c>
      <c r="T133" s="31">
        <v>0</v>
      </c>
      <c r="U133" s="31">
        <v>0</v>
      </c>
      <c r="V133" s="31">
        <v>22.6</v>
      </c>
      <c r="W133" s="31">
        <v>76.099999999999994</v>
      </c>
      <c r="X133" s="31">
        <v>111.1</v>
      </c>
      <c r="Y133" s="31" t="s">
        <v>46</v>
      </c>
      <c r="Z133" s="31" t="s">
        <v>46</v>
      </c>
      <c r="AA133" s="31" t="s">
        <v>46</v>
      </c>
      <c r="AB133" s="31" t="s">
        <v>46</v>
      </c>
      <c r="AC133" s="31" t="s">
        <v>46</v>
      </c>
      <c r="AD133" s="31" t="s">
        <v>46</v>
      </c>
      <c r="AE133" s="31" t="s">
        <v>46</v>
      </c>
      <c r="AF133" s="31" t="s">
        <v>46</v>
      </c>
      <c r="AG133" s="31" t="s">
        <v>46</v>
      </c>
      <c r="AH133" s="31" t="s">
        <v>46</v>
      </c>
      <c r="AI133" s="31" t="s">
        <v>46</v>
      </c>
      <c r="AJ133" s="12">
        <v>0</v>
      </c>
      <c r="AK133" s="12">
        <v>1</v>
      </c>
      <c r="AL133" s="31">
        <f>AL132</f>
        <v>0.75</v>
      </c>
      <c r="AM133" s="31">
        <f>AM132</f>
        <v>2.7E-2</v>
      </c>
      <c r="AN133" s="31">
        <f>AN132</f>
        <v>3</v>
      </c>
      <c r="AO133" s="31"/>
      <c r="AP133" s="31"/>
      <c r="AQ133" s="32">
        <f>AM133*I133+AL133</f>
        <v>1.0418700000000001</v>
      </c>
      <c r="AR133" s="32">
        <f t="shared" si="148"/>
        <v>0.10418700000000002</v>
      </c>
      <c r="AS133" s="33">
        <f t="shared" si="149"/>
        <v>0.25</v>
      </c>
      <c r="AT133" s="33">
        <f t="shared" si="150"/>
        <v>0.34901425000000003</v>
      </c>
      <c r="AU133" s="32">
        <f>10068.2*J133*POWER(10,-6)*10</f>
        <v>2.7426984983999997E-3</v>
      </c>
      <c r="AV133" s="33">
        <f t="shared" si="151"/>
        <v>1.7478139484984001</v>
      </c>
      <c r="AW133" s="34">
        <f t="shared" si="152"/>
        <v>0</v>
      </c>
      <c r="AX133" s="34">
        <f t="shared" si="153"/>
        <v>1.1819999999999999E-5</v>
      </c>
      <c r="AY133" s="34">
        <f t="shared" si="154"/>
        <v>2.0659160871251087E-5</v>
      </c>
      <c r="AZ133" s="289">
        <f>AW133/[1]DB!$B$23</f>
        <v>0</v>
      </c>
      <c r="BA133" s="289">
        <f>AX133/[1]DB!$B$23</f>
        <v>1.4240963855421685E-8</v>
      </c>
    </row>
    <row r="134" spans="1:53" x14ac:dyDescent="0.3">
      <c r="A134" s="8" t="s">
        <v>794</v>
      </c>
      <c r="B134" s="8" t="str">
        <f>B132</f>
        <v>Трубопровод сырой нефти от  БЕ-2.1, БЕ-2.2  через насосы внутренней перекачки на вход  теплообменников, до  С-2.3, 2.4, нефть</v>
      </c>
      <c r="C134" s="78" t="s">
        <v>108</v>
      </c>
      <c r="D134" s="9" t="s">
        <v>26</v>
      </c>
      <c r="E134" s="66">
        <f>E132</f>
        <v>2.9999999999999999E-7</v>
      </c>
      <c r="F134" s="67">
        <f>F132</f>
        <v>985</v>
      </c>
      <c r="G134" s="8">
        <v>0.76</v>
      </c>
      <c r="H134" s="10">
        <f t="shared" si="144"/>
        <v>2.2457999999999999E-4</v>
      </c>
      <c r="I134" s="61">
        <f>I132</f>
        <v>10.81</v>
      </c>
      <c r="J134" s="70">
        <v>0</v>
      </c>
      <c r="K134" s="71" t="s">
        <v>124</v>
      </c>
      <c r="L134" s="76">
        <v>0</v>
      </c>
      <c r="M134" s="31" t="str">
        <f t="shared" si="145"/>
        <v>C99</v>
      </c>
      <c r="N134" s="31" t="str">
        <f t="shared" si="146"/>
        <v>Трубопровод сырой нефти от  БЕ-2.1, БЕ-2.2  через насосы внутренней перекачки на вход  теплообменников, до  С-2.3, 2.4, нефть</v>
      </c>
      <c r="O134" s="31" t="str">
        <f t="shared" si="147"/>
        <v>Полное-ликвидация</v>
      </c>
      <c r="P134" s="31" t="s">
        <v>46</v>
      </c>
      <c r="Q134" s="31" t="s">
        <v>46</v>
      </c>
      <c r="R134" s="31" t="s">
        <v>46</v>
      </c>
      <c r="S134" s="31" t="s">
        <v>46</v>
      </c>
      <c r="T134" s="31" t="s">
        <v>46</v>
      </c>
      <c r="U134" s="31" t="s">
        <v>46</v>
      </c>
      <c r="V134" s="31" t="s">
        <v>46</v>
      </c>
      <c r="W134" s="31" t="s">
        <v>46</v>
      </c>
      <c r="X134" s="31" t="s">
        <v>46</v>
      </c>
      <c r="Y134" s="31" t="s">
        <v>46</v>
      </c>
      <c r="Z134" s="31" t="s">
        <v>46</v>
      </c>
      <c r="AA134" s="31" t="s">
        <v>46</v>
      </c>
      <c r="AB134" s="31" t="s">
        <v>46</v>
      </c>
      <c r="AC134" s="31" t="s">
        <v>46</v>
      </c>
      <c r="AD134" s="31" t="s">
        <v>46</v>
      </c>
      <c r="AE134" s="31" t="s">
        <v>46</v>
      </c>
      <c r="AF134" s="31" t="s">
        <v>46</v>
      </c>
      <c r="AG134" s="31" t="s">
        <v>46</v>
      </c>
      <c r="AH134" s="31" t="s">
        <v>46</v>
      </c>
      <c r="AI134" s="31" t="s">
        <v>46</v>
      </c>
      <c r="AJ134" s="31">
        <v>0</v>
      </c>
      <c r="AK134" s="31">
        <v>0</v>
      </c>
      <c r="AL134" s="31">
        <f>AL132</f>
        <v>0.75</v>
      </c>
      <c r="AM134" s="31">
        <f>AM132</f>
        <v>2.7E-2</v>
      </c>
      <c r="AN134" s="31">
        <f>AN132</f>
        <v>3</v>
      </c>
      <c r="AO134" s="31"/>
      <c r="AP134" s="31"/>
      <c r="AQ134" s="32">
        <f>AM134*I134*0.1+AL134</f>
        <v>0.77918699999999996</v>
      </c>
      <c r="AR134" s="32">
        <f t="shared" si="148"/>
        <v>7.7918700000000007E-2</v>
      </c>
      <c r="AS134" s="33">
        <f t="shared" si="149"/>
        <v>0</v>
      </c>
      <c r="AT134" s="33">
        <f t="shared" si="150"/>
        <v>0.21427642499999999</v>
      </c>
      <c r="AU134" s="32">
        <f>1333*J133*POWER(10,-6)</f>
        <v>3.6312519600000003E-5</v>
      </c>
      <c r="AV134" s="33">
        <f t="shared" si="151"/>
        <v>1.0714184375196001</v>
      </c>
      <c r="AW134" s="34">
        <f t="shared" si="152"/>
        <v>0</v>
      </c>
      <c r="AX134" s="34">
        <f t="shared" si="153"/>
        <v>0</v>
      </c>
      <c r="AY134" s="34">
        <f t="shared" si="154"/>
        <v>2.4061915269815178E-4</v>
      </c>
      <c r="AZ134" s="289">
        <f>AW134/[1]DB!$B$23</f>
        <v>0</v>
      </c>
      <c r="BA134" s="289">
        <f>AX134/[1]DB!$B$23</f>
        <v>0</v>
      </c>
    </row>
    <row r="135" spans="1:53" x14ac:dyDescent="0.3">
      <c r="A135" s="8" t="s">
        <v>795</v>
      </c>
      <c r="B135" s="8" t="str">
        <f>B132</f>
        <v>Трубопровод сырой нефти от  БЕ-2.1, БЕ-2.2  через насосы внутренней перекачки на вход  теплообменников, до  С-2.3, 2.4, нефть</v>
      </c>
      <c r="C135" s="78" t="s">
        <v>109</v>
      </c>
      <c r="D135" s="9" t="s">
        <v>47</v>
      </c>
      <c r="E135" s="65">
        <v>1.9999999999999999E-6</v>
      </c>
      <c r="F135" s="67">
        <f>F132</f>
        <v>985</v>
      </c>
      <c r="G135" s="8">
        <v>0.2</v>
      </c>
      <c r="H135" s="10">
        <f t="shared" si="144"/>
        <v>3.9400000000000004E-4</v>
      </c>
      <c r="I135" s="61">
        <f>0.15*I132</f>
        <v>1.6214999999999999</v>
      </c>
      <c r="J135" s="68">
        <f>I135</f>
        <v>1.6214999999999999</v>
      </c>
      <c r="K135" s="73" t="s">
        <v>126</v>
      </c>
      <c r="L135" s="77">
        <v>45390</v>
      </c>
      <c r="M135" s="31" t="str">
        <f t="shared" si="145"/>
        <v>C100</v>
      </c>
      <c r="N135" s="31" t="str">
        <f t="shared" si="146"/>
        <v>Трубопровод сырой нефти от  БЕ-2.1, БЕ-2.2  через насосы внутренней перекачки на вход  теплообменников, до  С-2.3, 2.4, нефть</v>
      </c>
      <c r="O135" s="31" t="str">
        <f t="shared" si="147"/>
        <v>Частичное-пожар</v>
      </c>
      <c r="P135" s="31">
        <v>4.8</v>
      </c>
      <c r="Q135" s="31">
        <v>6.9</v>
      </c>
      <c r="R135" s="31">
        <v>10.199999999999999</v>
      </c>
      <c r="S135" s="31">
        <v>19.2</v>
      </c>
      <c r="T135" s="31" t="s">
        <v>46</v>
      </c>
      <c r="U135" s="31" t="s">
        <v>46</v>
      </c>
      <c r="V135" s="31" t="s">
        <v>46</v>
      </c>
      <c r="W135" s="31" t="s">
        <v>46</v>
      </c>
      <c r="X135" s="31" t="s">
        <v>46</v>
      </c>
      <c r="Y135" s="31" t="s">
        <v>46</v>
      </c>
      <c r="Z135" s="31" t="s">
        <v>46</v>
      </c>
      <c r="AA135" s="31" t="s">
        <v>46</v>
      </c>
      <c r="AB135" s="31" t="s">
        <v>46</v>
      </c>
      <c r="AC135" s="31" t="s">
        <v>46</v>
      </c>
      <c r="AD135" s="31" t="s">
        <v>46</v>
      </c>
      <c r="AE135" s="31" t="s">
        <v>46</v>
      </c>
      <c r="AF135" s="31" t="s">
        <v>46</v>
      </c>
      <c r="AG135" s="31" t="s">
        <v>46</v>
      </c>
      <c r="AH135" s="31" t="s">
        <v>46</v>
      </c>
      <c r="AI135" s="31" t="s">
        <v>46</v>
      </c>
      <c r="AJ135" s="31">
        <v>0</v>
      </c>
      <c r="AK135" s="31">
        <v>1</v>
      </c>
      <c r="AL135" s="31">
        <f>0.1*$AL$2</f>
        <v>7.5000000000000011E-2</v>
      </c>
      <c r="AM135" s="31">
        <f>AM132</f>
        <v>2.7E-2</v>
      </c>
      <c r="AN135" s="31">
        <f>ROUNDUP(AN132/3,0)</f>
        <v>1</v>
      </c>
      <c r="AO135" s="31"/>
      <c r="AP135" s="31"/>
      <c r="AQ135" s="32">
        <f>AM135*I135+AL135</f>
        <v>0.11878050000000001</v>
      </c>
      <c r="AR135" s="32">
        <f t="shared" si="148"/>
        <v>1.1878050000000001E-2</v>
      </c>
      <c r="AS135" s="33">
        <f t="shared" si="149"/>
        <v>0.25</v>
      </c>
      <c r="AT135" s="33">
        <f t="shared" si="150"/>
        <v>9.516463750000001E-2</v>
      </c>
      <c r="AU135" s="32">
        <f>10068.2*J135*POWER(10,-6)</f>
        <v>1.63255863E-2</v>
      </c>
      <c r="AV135" s="33">
        <f t="shared" si="151"/>
        <v>0.49214877380000005</v>
      </c>
      <c r="AW135" s="34">
        <f t="shared" si="152"/>
        <v>0</v>
      </c>
      <c r="AX135" s="34">
        <f t="shared" si="153"/>
        <v>3.9400000000000004E-4</v>
      </c>
      <c r="AY135" s="34">
        <f t="shared" si="154"/>
        <v>1.9390661687720005E-4</v>
      </c>
      <c r="AZ135" s="289">
        <f>AW135/[1]DB!$B$23</f>
        <v>0</v>
      </c>
      <c r="BA135" s="289">
        <f>AX135/[1]DB!$B$23</f>
        <v>4.7469879518072295E-7</v>
      </c>
    </row>
    <row r="136" spans="1:53" x14ac:dyDescent="0.3">
      <c r="A136" s="8" t="s">
        <v>671</v>
      </c>
      <c r="B136" s="8" t="str">
        <f>B132</f>
        <v>Трубопровод сырой нефти от  БЕ-2.1, БЕ-2.2  через насосы внутренней перекачки на вход  теплообменников, до  С-2.3, 2.4, нефть</v>
      </c>
      <c r="C136" s="78" t="s">
        <v>110</v>
      </c>
      <c r="D136" s="9" t="s">
        <v>112</v>
      </c>
      <c r="E136" s="66">
        <f>E135</f>
        <v>1.9999999999999999E-6</v>
      </c>
      <c r="F136" s="67">
        <f>F132</f>
        <v>985</v>
      </c>
      <c r="G136" s="8">
        <v>0.04</v>
      </c>
      <c r="H136" s="10">
        <f t="shared" si="144"/>
        <v>7.8800000000000004E-5</v>
      </c>
      <c r="I136" s="61">
        <f>0.15*I132</f>
        <v>1.6214999999999999</v>
      </c>
      <c r="J136" s="68">
        <f>0.9*J133</f>
        <v>2.451708E-2</v>
      </c>
      <c r="K136" s="73" t="s">
        <v>127</v>
      </c>
      <c r="L136" s="77">
        <v>3</v>
      </c>
      <c r="M136" s="31" t="str">
        <f t="shared" si="145"/>
        <v>C101</v>
      </c>
      <c r="N136" s="31" t="str">
        <f t="shared" si="146"/>
        <v>Трубопровод сырой нефти от  БЕ-2.1, БЕ-2.2  через насосы внутренней перекачки на вход  теплообменников, до  С-2.3, 2.4, нефть</v>
      </c>
      <c r="O136" s="31" t="str">
        <f t="shared" si="147"/>
        <v>Частичное-пожар-вспышка</v>
      </c>
      <c r="P136" s="31" t="s">
        <v>46</v>
      </c>
      <c r="Q136" s="31" t="s">
        <v>46</v>
      </c>
      <c r="R136" s="31" t="s">
        <v>46</v>
      </c>
      <c r="S136" s="31" t="s">
        <v>46</v>
      </c>
      <c r="T136" s="31" t="s">
        <v>46</v>
      </c>
      <c r="U136" s="31" t="s">
        <v>46</v>
      </c>
      <c r="V136" s="31" t="s">
        <v>46</v>
      </c>
      <c r="W136" s="31" t="s">
        <v>46</v>
      </c>
      <c r="X136" s="31" t="s">
        <v>46</v>
      </c>
      <c r="Y136" s="31" t="s">
        <v>46</v>
      </c>
      <c r="Z136" s="31" t="s">
        <v>46</v>
      </c>
      <c r="AA136" s="31">
        <v>9.86</v>
      </c>
      <c r="AB136" s="31">
        <v>11.83</v>
      </c>
      <c r="AC136" s="31" t="s">
        <v>46</v>
      </c>
      <c r="AD136" s="31" t="s">
        <v>46</v>
      </c>
      <c r="AE136" s="31" t="s">
        <v>46</v>
      </c>
      <c r="AF136" s="31" t="s">
        <v>46</v>
      </c>
      <c r="AG136" s="31" t="s">
        <v>46</v>
      </c>
      <c r="AH136" s="31" t="s">
        <v>46</v>
      </c>
      <c r="AI136" s="31" t="s">
        <v>46</v>
      </c>
      <c r="AJ136" s="31">
        <v>0</v>
      </c>
      <c r="AK136" s="31">
        <v>1</v>
      </c>
      <c r="AL136" s="31">
        <f>0.1*$AL$2</f>
        <v>7.5000000000000011E-2</v>
      </c>
      <c r="AM136" s="31">
        <f>AM132</f>
        <v>2.7E-2</v>
      </c>
      <c r="AN136" s="31">
        <f>ROUNDUP(AN132/3,0)</f>
        <v>1</v>
      </c>
      <c r="AO136" s="31"/>
      <c r="AP136" s="31"/>
      <c r="AQ136" s="32">
        <f>AM136*I136+AL136</f>
        <v>0.11878050000000001</v>
      </c>
      <c r="AR136" s="32">
        <f t="shared" si="148"/>
        <v>1.1878050000000001E-2</v>
      </c>
      <c r="AS136" s="33">
        <f t="shared" si="149"/>
        <v>0.25</v>
      </c>
      <c r="AT136" s="33">
        <f t="shared" si="150"/>
        <v>9.516463750000001E-2</v>
      </c>
      <c r="AU136" s="32">
        <f>10068.2*J136*POWER(10,-6)*10</f>
        <v>2.4684286485599999E-3</v>
      </c>
      <c r="AV136" s="33">
        <f t="shared" si="151"/>
        <v>0.47829161614856003</v>
      </c>
      <c r="AW136" s="34">
        <f t="shared" si="152"/>
        <v>0</v>
      </c>
      <c r="AX136" s="34">
        <f t="shared" si="153"/>
        <v>7.8800000000000004E-5</v>
      </c>
      <c r="AY136" s="34">
        <f t="shared" si="154"/>
        <v>3.7689379352506532E-5</v>
      </c>
      <c r="AZ136" s="289">
        <f>AW136/[1]DB!$B$23</f>
        <v>0</v>
      </c>
      <c r="BA136" s="289">
        <f>AX136/[1]DB!$B$23</f>
        <v>9.4939759036144578E-8</v>
      </c>
    </row>
    <row r="137" spans="1:53" x14ac:dyDescent="0.3">
      <c r="A137" s="169" t="s">
        <v>672</v>
      </c>
      <c r="B137" s="169" t="str">
        <f>B132</f>
        <v>Трубопровод сырой нефти от  БЕ-2.1, БЕ-2.2  через насосы внутренней перекачки на вход  теплообменников, до  С-2.3, 2.4, нефть</v>
      </c>
      <c r="C137" s="170" t="s">
        <v>111</v>
      </c>
      <c r="D137" s="171" t="s">
        <v>27</v>
      </c>
      <c r="E137" s="172">
        <f>E135</f>
        <v>1.9999999999999999E-6</v>
      </c>
      <c r="F137" s="173">
        <f>F132</f>
        <v>985</v>
      </c>
      <c r="G137" s="169">
        <v>0.76</v>
      </c>
      <c r="H137" s="174">
        <f t="shared" si="144"/>
        <v>1.4972E-3</v>
      </c>
      <c r="I137" s="175">
        <f>0.15*I132</f>
        <v>1.6214999999999999</v>
      </c>
      <c r="J137" s="176">
        <v>0</v>
      </c>
      <c r="K137" s="177" t="s">
        <v>138</v>
      </c>
      <c r="L137" s="178">
        <v>1</v>
      </c>
      <c r="M137" s="31" t="str">
        <f t="shared" si="145"/>
        <v>C102</v>
      </c>
      <c r="N137" s="31" t="str">
        <f t="shared" si="146"/>
        <v>Трубопровод сырой нефти от  БЕ-2.1, БЕ-2.2  через насосы внутренней перекачки на вход  теплообменников, до  С-2.3, 2.4, нефть</v>
      </c>
      <c r="O137" s="31" t="str">
        <f t="shared" si="147"/>
        <v>Частичное-ликвидация</v>
      </c>
      <c r="P137" s="31" t="s">
        <v>46</v>
      </c>
      <c r="Q137" s="31" t="s">
        <v>46</v>
      </c>
      <c r="R137" s="31" t="s">
        <v>46</v>
      </c>
      <c r="S137" s="31" t="s">
        <v>46</v>
      </c>
      <c r="T137" s="31" t="s">
        <v>46</v>
      </c>
      <c r="U137" s="31" t="s">
        <v>46</v>
      </c>
      <c r="V137" s="31" t="s">
        <v>46</v>
      </c>
      <c r="W137" s="31" t="s">
        <v>46</v>
      </c>
      <c r="X137" s="31" t="s">
        <v>46</v>
      </c>
      <c r="Y137" s="31" t="s">
        <v>46</v>
      </c>
      <c r="Z137" s="31" t="s">
        <v>46</v>
      </c>
      <c r="AA137" s="31" t="s">
        <v>46</v>
      </c>
      <c r="AB137" s="31" t="s">
        <v>46</v>
      </c>
      <c r="AC137" s="31" t="s">
        <v>46</v>
      </c>
      <c r="AD137" s="31" t="s">
        <v>46</v>
      </c>
      <c r="AE137" s="31" t="s">
        <v>46</v>
      </c>
      <c r="AF137" s="31" t="s">
        <v>46</v>
      </c>
      <c r="AG137" s="31" t="s">
        <v>46</v>
      </c>
      <c r="AH137" s="31" t="s">
        <v>46</v>
      </c>
      <c r="AI137" s="31" t="s">
        <v>46</v>
      </c>
      <c r="AJ137" s="31">
        <v>0</v>
      </c>
      <c r="AK137" s="31">
        <v>0</v>
      </c>
      <c r="AL137" s="31">
        <f>0.1*$AL$2</f>
        <v>7.5000000000000011E-2</v>
      </c>
      <c r="AM137" s="31">
        <f>AM132</f>
        <v>2.7E-2</v>
      </c>
      <c r="AN137" s="31">
        <f>ROUNDUP(AN132/3,0)</f>
        <v>1</v>
      </c>
      <c r="AO137" s="31"/>
      <c r="AP137" s="31"/>
      <c r="AQ137" s="32">
        <f>AM137*I137*0.1+AL137</f>
        <v>7.9378050000000006E-2</v>
      </c>
      <c r="AR137" s="32">
        <f t="shared" si="148"/>
        <v>7.9378050000000009E-3</v>
      </c>
      <c r="AS137" s="33">
        <f t="shared" si="149"/>
        <v>0</v>
      </c>
      <c r="AT137" s="33">
        <f t="shared" si="150"/>
        <v>2.1828963750000003E-2</v>
      </c>
      <c r="AU137" s="32">
        <f>1333*J136*POWER(10,-6)</f>
        <v>3.268126764E-5</v>
      </c>
      <c r="AV137" s="33">
        <f t="shared" si="151"/>
        <v>0.10917750001764001</v>
      </c>
      <c r="AW137" s="34">
        <f t="shared" si="152"/>
        <v>0</v>
      </c>
      <c r="AX137" s="34">
        <f t="shared" si="153"/>
        <v>0</v>
      </c>
      <c r="AY137" s="34">
        <f t="shared" si="154"/>
        <v>1.6346055302641062E-4</v>
      </c>
      <c r="AZ137" s="289">
        <f>AW137/[1]DB!$B$23</f>
        <v>0</v>
      </c>
      <c r="BA137" s="289">
        <f>AX137/[1]DB!$B$23</f>
        <v>0</v>
      </c>
    </row>
    <row r="138" spans="1:53" s="179" customFormat="1" x14ac:dyDescent="0.3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288" t="s">
        <v>466</v>
      </c>
      <c r="L138" s="287" t="s">
        <v>642</v>
      </c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</row>
    <row r="139" spans="1:53" s="179" customFormat="1" x14ac:dyDescent="0.3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</row>
    <row r="140" spans="1:53" s="179" customFormat="1" x14ac:dyDescent="0.3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</row>
    <row r="141" spans="1:53" ht="15" thickBot="1" x14ac:dyDescent="0.35"/>
    <row r="142" spans="1:53" ht="15" thickBot="1" x14ac:dyDescent="0.35">
      <c r="A142" s="8" t="s">
        <v>673</v>
      </c>
      <c r="B142" s="62" t="s">
        <v>678</v>
      </c>
      <c r="C142" s="78" t="s">
        <v>106</v>
      </c>
      <c r="D142" s="9" t="s">
        <v>25</v>
      </c>
      <c r="E142" s="65">
        <v>2.9999999999999999E-7</v>
      </c>
      <c r="F142" s="62">
        <v>1024</v>
      </c>
      <c r="G142" s="8">
        <v>0.2</v>
      </c>
      <c r="H142" s="10">
        <f t="shared" ref="H142:H147" si="155">E142*F142*G142</f>
        <v>6.1439999999999995E-5</v>
      </c>
      <c r="I142" s="63">
        <v>12.36</v>
      </c>
      <c r="J142" s="68">
        <f>I142</f>
        <v>12.36</v>
      </c>
      <c r="K142" s="71" t="s">
        <v>122</v>
      </c>
      <c r="L142" s="76">
        <f>I142*20</f>
        <v>247.2</v>
      </c>
      <c r="M142" s="31" t="str">
        <f t="shared" ref="M142:M147" si="156">A142</f>
        <v>C103</v>
      </c>
      <c r="N142" s="31" t="str">
        <f t="shared" ref="N142:N147" si="157">B142</f>
        <v>Трубопровод сырой нефти из теплообменников в печи, выход из печей, нефть</v>
      </c>
      <c r="O142" s="31" t="str">
        <f t="shared" ref="O142:O147" si="158">D142</f>
        <v>Полное-пожар</v>
      </c>
      <c r="P142" s="31">
        <v>12.7</v>
      </c>
      <c r="Q142" s="31">
        <v>17.8</v>
      </c>
      <c r="R142" s="31">
        <v>26</v>
      </c>
      <c r="S142" s="31">
        <v>49.8</v>
      </c>
      <c r="T142" s="31" t="s">
        <v>46</v>
      </c>
      <c r="U142" s="31" t="s">
        <v>46</v>
      </c>
      <c r="V142" s="31" t="s">
        <v>46</v>
      </c>
      <c r="W142" s="31" t="s">
        <v>46</v>
      </c>
      <c r="X142" s="31" t="s">
        <v>46</v>
      </c>
      <c r="Y142" s="31" t="s">
        <v>46</v>
      </c>
      <c r="Z142" s="31" t="s">
        <v>46</v>
      </c>
      <c r="AA142" s="31" t="s">
        <v>46</v>
      </c>
      <c r="AB142" s="31" t="s">
        <v>46</v>
      </c>
      <c r="AC142" s="31" t="s">
        <v>46</v>
      </c>
      <c r="AD142" s="31" t="s">
        <v>46</v>
      </c>
      <c r="AE142" s="31" t="s">
        <v>46</v>
      </c>
      <c r="AF142" s="31" t="s">
        <v>46</v>
      </c>
      <c r="AG142" s="31" t="s">
        <v>46</v>
      </c>
      <c r="AH142" s="31" t="s">
        <v>46</v>
      </c>
      <c r="AI142" s="31" t="s">
        <v>46</v>
      </c>
      <c r="AJ142" s="12">
        <v>0</v>
      </c>
      <c r="AK142" s="12">
        <v>1</v>
      </c>
      <c r="AL142" s="64">
        <v>0.75</v>
      </c>
      <c r="AM142" s="64">
        <v>2.7E-2</v>
      </c>
      <c r="AN142" s="64">
        <v>3</v>
      </c>
      <c r="AO142" s="31"/>
      <c r="AP142" s="31"/>
      <c r="AQ142" s="32">
        <f>AM142*I142+AL142</f>
        <v>1.08372</v>
      </c>
      <c r="AR142" s="32">
        <f t="shared" ref="AR142:AR147" si="159">0.1*AQ142</f>
        <v>0.10837200000000001</v>
      </c>
      <c r="AS142" s="33">
        <f t="shared" ref="AS142:AS147" si="160">AJ142*3+0.25*AK142</f>
        <v>0.25</v>
      </c>
      <c r="AT142" s="33">
        <f t="shared" ref="AT142:AT147" si="161">SUM(AQ142:AS142)/4</f>
        <v>0.36052299999999998</v>
      </c>
      <c r="AU142" s="32">
        <f>10068.2*J142*POWER(10,-6)</f>
        <v>0.124442952</v>
      </c>
      <c r="AV142" s="33">
        <f t="shared" ref="AV142:AV147" si="162">AU142+AT142+AS142+AR142+AQ142</f>
        <v>1.9270579520000002</v>
      </c>
      <c r="AW142" s="34">
        <f t="shared" ref="AW142:AW147" si="163">AJ142*H142</f>
        <v>0</v>
      </c>
      <c r="AX142" s="34">
        <f t="shared" ref="AX142:AX147" si="164">H142*AK142</f>
        <v>6.1439999999999995E-5</v>
      </c>
      <c r="AY142" s="34">
        <f t="shared" ref="AY142:AY147" si="165">H142*AV142</f>
        <v>1.1839844057088E-4</v>
      </c>
      <c r="AZ142" s="289">
        <f>AW142/[1]DB!$B$23</f>
        <v>0</v>
      </c>
      <c r="BA142" s="289">
        <f>AX142/[1]DB!$B$23</f>
        <v>7.4024096385542166E-8</v>
      </c>
    </row>
    <row r="143" spans="1:53" ht="15" thickBot="1" x14ac:dyDescent="0.35">
      <c r="A143" s="8" t="s">
        <v>674</v>
      </c>
      <c r="B143" s="8" t="str">
        <f>B142</f>
        <v>Трубопровод сырой нефти из теплообменников в печи, выход из печей, нефть</v>
      </c>
      <c r="C143" s="78" t="s">
        <v>107</v>
      </c>
      <c r="D143" s="9" t="s">
        <v>28</v>
      </c>
      <c r="E143" s="66">
        <f>E142</f>
        <v>2.9999999999999999E-7</v>
      </c>
      <c r="F143" s="67">
        <f>F142</f>
        <v>1024</v>
      </c>
      <c r="G143" s="8">
        <v>0.04</v>
      </c>
      <c r="H143" s="10">
        <f t="shared" si="155"/>
        <v>1.2288E-5</v>
      </c>
      <c r="I143" s="61">
        <f>I142</f>
        <v>12.36</v>
      </c>
      <c r="J143" s="274">
        <f>POWER(10,-6)*35*SQRT(100)*3600*L142/1000*0.1</f>
        <v>3.1147199999999993E-2</v>
      </c>
      <c r="K143" s="71" t="s">
        <v>123</v>
      </c>
      <c r="L143" s="76">
        <v>0</v>
      </c>
      <c r="M143" s="31" t="str">
        <f t="shared" si="156"/>
        <v>C104</v>
      </c>
      <c r="N143" s="31" t="str">
        <f t="shared" si="157"/>
        <v>Трубопровод сырой нефти из теплообменников в печи, выход из печей, нефть</v>
      </c>
      <c r="O143" s="31" t="str">
        <f t="shared" si="158"/>
        <v>Полное-взрыв</v>
      </c>
      <c r="P143" s="31" t="s">
        <v>46</v>
      </c>
      <c r="Q143" s="31" t="s">
        <v>46</v>
      </c>
      <c r="R143" s="31" t="s">
        <v>46</v>
      </c>
      <c r="S143" s="31" t="s">
        <v>46</v>
      </c>
      <c r="T143" s="31">
        <v>0</v>
      </c>
      <c r="U143" s="31">
        <v>0</v>
      </c>
      <c r="V143" s="31">
        <v>24.1</v>
      </c>
      <c r="W143" s="31">
        <v>79.599999999999994</v>
      </c>
      <c r="X143" s="31">
        <v>116.1</v>
      </c>
      <c r="Y143" s="31" t="s">
        <v>46</v>
      </c>
      <c r="Z143" s="31" t="s">
        <v>46</v>
      </c>
      <c r="AA143" s="31" t="s">
        <v>46</v>
      </c>
      <c r="AB143" s="31" t="s">
        <v>46</v>
      </c>
      <c r="AC143" s="31" t="s">
        <v>46</v>
      </c>
      <c r="AD143" s="31" t="s">
        <v>46</v>
      </c>
      <c r="AE143" s="31" t="s">
        <v>46</v>
      </c>
      <c r="AF143" s="31" t="s">
        <v>46</v>
      </c>
      <c r="AG143" s="31" t="s">
        <v>46</v>
      </c>
      <c r="AH143" s="31" t="s">
        <v>46</v>
      </c>
      <c r="AI143" s="31" t="s">
        <v>46</v>
      </c>
      <c r="AJ143" s="12">
        <v>0</v>
      </c>
      <c r="AK143" s="12">
        <v>1</v>
      </c>
      <c r="AL143" s="31">
        <f>AL142</f>
        <v>0.75</v>
      </c>
      <c r="AM143" s="31">
        <f>AM142</f>
        <v>2.7E-2</v>
      </c>
      <c r="AN143" s="31">
        <f>AN142</f>
        <v>3</v>
      </c>
      <c r="AO143" s="31"/>
      <c r="AP143" s="31"/>
      <c r="AQ143" s="32">
        <f>AM143*I143+AL143</f>
        <v>1.08372</v>
      </c>
      <c r="AR143" s="32">
        <f t="shared" si="159"/>
        <v>0.10837200000000001</v>
      </c>
      <c r="AS143" s="33">
        <f t="shared" si="160"/>
        <v>0.25</v>
      </c>
      <c r="AT143" s="33">
        <f t="shared" si="161"/>
        <v>0.36052299999999998</v>
      </c>
      <c r="AU143" s="32">
        <f>10068.2*J143*POWER(10,-6)*10</f>
        <v>3.1359623903999996E-3</v>
      </c>
      <c r="AV143" s="33">
        <f t="shared" si="162"/>
        <v>1.8057509623904</v>
      </c>
      <c r="AW143" s="34">
        <f t="shared" si="163"/>
        <v>0</v>
      </c>
      <c r="AX143" s="34">
        <f t="shared" si="164"/>
        <v>1.2288E-5</v>
      </c>
      <c r="AY143" s="34">
        <f t="shared" si="165"/>
        <v>2.2189067825853234E-5</v>
      </c>
      <c r="AZ143" s="289">
        <f>AW143/[1]DB!$B$23</f>
        <v>0</v>
      </c>
      <c r="BA143" s="289">
        <f>AX143/[1]DB!$B$23</f>
        <v>1.4804819277108433E-8</v>
      </c>
    </row>
    <row r="144" spans="1:53" x14ac:dyDescent="0.3">
      <c r="A144" s="8" t="s">
        <v>675</v>
      </c>
      <c r="B144" s="8" t="str">
        <f>B142</f>
        <v>Трубопровод сырой нефти из теплообменников в печи, выход из печей, нефть</v>
      </c>
      <c r="C144" s="78" t="s">
        <v>108</v>
      </c>
      <c r="D144" s="9" t="s">
        <v>26</v>
      </c>
      <c r="E144" s="66">
        <f>E142</f>
        <v>2.9999999999999999E-7</v>
      </c>
      <c r="F144" s="67">
        <f>F142</f>
        <v>1024</v>
      </c>
      <c r="G144" s="8">
        <v>0.76</v>
      </c>
      <c r="H144" s="10">
        <f t="shared" si="155"/>
        <v>2.33472E-4</v>
      </c>
      <c r="I144" s="61">
        <f>I142</f>
        <v>12.36</v>
      </c>
      <c r="J144" s="70">
        <v>0</v>
      </c>
      <c r="K144" s="71" t="s">
        <v>124</v>
      </c>
      <c r="L144" s="76">
        <v>0</v>
      </c>
      <c r="M144" s="31" t="str">
        <f t="shared" si="156"/>
        <v>C105</v>
      </c>
      <c r="N144" s="31" t="str">
        <f t="shared" si="157"/>
        <v>Трубопровод сырой нефти из теплообменников в печи, выход из печей, нефть</v>
      </c>
      <c r="O144" s="31" t="str">
        <f t="shared" si="158"/>
        <v>Полное-ликвидация</v>
      </c>
      <c r="P144" s="31" t="s">
        <v>46</v>
      </c>
      <c r="Q144" s="31" t="s">
        <v>46</v>
      </c>
      <c r="R144" s="31" t="s">
        <v>46</v>
      </c>
      <c r="S144" s="31" t="s">
        <v>46</v>
      </c>
      <c r="T144" s="31" t="s">
        <v>46</v>
      </c>
      <c r="U144" s="31" t="s">
        <v>46</v>
      </c>
      <c r="V144" s="31" t="s">
        <v>46</v>
      </c>
      <c r="W144" s="31" t="s">
        <v>46</v>
      </c>
      <c r="X144" s="31" t="s">
        <v>46</v>
      </c>
      <c r="Y144" s="31" t="s">
        <v>46</v>
      </c>
      <c r="Z144" s="31" t="s">
        <v>46</v>
      </c>
      <c r="AA144" s="31" t="s">
        <v>46</v>
      </c>
      <c r="AB144" s="31" t="s">
        <v>46</v>
      </c>
      <c r="AC144" s="31" t="s">
        <v>46</v>
      </c>
      <c r="AD144" s="31" t="s">
        <v>46</v>
      </c>
      <c r="AE144" s="31" t="s">
        <v>46</v>
      </c>
      <c r="AF144" s="31" t="s">
        <v>46</v>
      </c>
      <c r="AG144" s="31" t="s">
        <v>46</v>
      </c>
      <c r="AH144" s="31" t="s">
        <v>46</v>
      </c>
      <c r="AI144" s="31" t="s">
        <v>46</v>
      </c>
      <c r="AJ144" s="31">
        <v>0</v>
      </c>
      <c r="AK144" s="31">
        <v>0</v>
      </c>
      <c r="AL144" s="31">
        <f>AL142</f>
        <v>0.75</v>
      </c>
      <c r="AM144" s="31">
        <f>AM142</f>
        <v>2.7E-2</v>
      </c>
      <c r="AN144" s="31">
        <f>AN142</f>
        <v>3</v>
      </c>
      <c r="AO144" s="31"/>
      <c r="AP144" s="31"/>
      <c r="AQ144" s="32">
        <f>AM144*I144*0.1+AL144</f>
        <v>0.78337199999999996</v>
      </c>
      <c r="AR144" s="32">
        <f t="shared" si="159"/>
        <v>7.8337199999999996E-2</v>
      </c>
      <c r="AS144" s="33">
        <f t="shared" si="160"/>
        <v>0</v>
      </c>
      <c r="AT144" s="33">
        <f t="shared" si="161"/>
        <v>0.21542729999999999</v>
      </c>
      <c r="AU144" s="32">
        <f>1333*J143*POWER(10,-6)</f>
        <v>4.151921759999999E-5</v>
      </c>
      <c r="AV144" s="33">
        <f t="shared" si="162"/>
        <v>1.0771780192175999</v>
      </c>
      <c r="AW144" s="34">
        <f t="shared" si="163"/>
        <v>0</v>
      </c>
      <c r="AX144" s="34">
        <f t="shared" si="164"/>
        <v>0</v>
      </c>
      <c r="AY144" s="34">
        <f t="shared" si="165"/>
        <v>2.5149090650277149E-4</v>
      </c>
      <c r="AZ144" s="289">
        <f>AW144/[1]DB!$B$23</f>
        <v>0</v>
      </c>
      <c r="BA144" s="289">
        <f>AX144/[1]DB!$B$23</f>
        <v>0</v>
      </c>
    </row>
    <row r="145" spans="1:53" x14ac:dyDescent="0.3">
      <c r="A145" s="8" t="s">
        <v>676</v>
      </c>
      <c r="B145" s="8" t="str">
        <f>B142</f>
        <v>Трубопровод сырой нефти из теплообменников в печи, выход из печей, нефть</v>
      </c>
      <c r="C145" s="78" t="s">
        <v>109</v>
      </c>
      <c r="D145" s="9" t="s">
        <v>47</v>
      </c>
      <c r="E145" s="65">
        <v>1.9999999999999999E-6</v>
      </c>
      <c r="F145" s="67">
        <f>F142</f>
        <v>1024</v>
      </c>
      <c r="G145" s="8">
        <v>0.2</v>
      </c>
      <c r="H145" s="10">
        <f t="shared" si="155"/>
        <v>4.0959999999999998E-4</v>
      </c>
      <c r="I145" s="61">
        <f>0.15*I142</f>
        <v>1.8539999999999999</v>
      </c>
      <c r="J145" s="68">
        <f>I145</f>
        <v>1.8539999999999999</v>
      </c>
      <c r="K145" s="73" t="s">
        <v>126</v>
      </c>
      <c r="L145" s="77">
        <v>45390</v>
      </c>
      <c r="M145" s="31" t="str">
        <f t="shared" si="156"/>
        <v>C106</v>
      </c>
      <c r="N145" s="31" t="str">
        <f t="shared" si="157"/>
        <v>Трубопровод сырой нефти из теплообменников в печи, выход из печей, нефть</v>
      </c>
      <c r="O145" s="31" t="str">
        <f t="shared" si="158"/>
        <v>Частичное-пожар</v>
      </c>
      <c r="P145" s="31">
        <v>5</v>
      </c>
      <c r="Q145" s="31">
        <v>7.2</v>
      </c>
      <c r="R145" s="31">
        <v>10.6</v>
      </c>
      <c r="S145" s="31">
        <v>20.100000000000001</v>
      </c>
      <c r="T145" s="31" t="s">
        <v>46</v>
      </c>
      <c r="U145" s="31" t="s">
        <v>46</v>
      </c>
      <c r="V145" s="31" t="s">
        <v>46</v>
      </c>
      <c r="W145" s="31" t="s">
        <v>46</v>
      </c>
      <c r="X145" s="31" t="s">
        <v>46</v>
      </c>
      <c r="Y145" s="31" t="s">
        <v>46</v>
      </c>
      <c r="Z145" s="31" t="s">
        <v>46</v>
      </c>
      <c r="AA145" s="31" t="s">
        <v>46</v>
      </c>
      <c r="AB145" s="31" t="s">
        <v>46</v>
      </c>
      <c r="AC145" s="31" t="s">
        <v>46</v>
      </c>
      <c r="AD145" s="31" t="s">
        <v>46</v>
      </c>
      <c r="AE145" s="31" t="s">
        <v>46</v>
      </c>
      <c r="AF145" s="31" t="s">
        <v>46</v>
      </c>
      <c r="AG145" s="31" t="s">
        <v>46</v>
      </c>
      <c r="AH145" s="31" t="s">
        <v>46</v>
      </c>
      <c r="AI145" s="31" t="s">
        <v>46</v>
      </c>
      <c r="AJ145" s="31">
        <v>0</v>
      </c>
      <c r="AK145" s="31">
        <v>1</v>
      </c>
      <c r="AL145" s="31">
        <f>0.1*$AL$2</f>
        <v>7.5000000000000011E-2</v>
      </c>
      <c r="AM145" s="31">
        <f>AM142</f>
        <v>2.7E-2</v>
      </c>
      <c r="AN145" s="31">
        <f>ROUNDUP(AN142/3,0)</f>
        <v>1</v>
      </c>
      <c r="AO145" s="31"/>
      <c r="AP145" s="31"/>
      <c r="AQ145" s="32">
        <f>AM145*I145+AL145</f>
        <v>0.125058</v>
      </c>
      <c r="AR145" s="32">
        <f t="shared" si="159"/>
        <v>1.2505800000000001E-2</v>
      </c>
      <c r="AS145" s="33">
        <f t="shared" si="160"/>
        <v>0.25</v>
      </c>
      <c r="AT145" s="33">
        <f t="shared" si="161"/>
        <v>9.6890950000000003E-2</v>
      </c>
      <c r="AU145" s="32">
        <f>10068.2*J145*POWER(10,-6)</f>
        <v>1.8666442799999999E-2</v>
      </c>
      <c r="AV145" s="33">
        <f t="shared" si="162"/>
        <v>0.50312119280000001</v>
      </c>
      <c r="AW145" s="34">
        <f t="shared" si="163"/>
        <v>0</v>
      </c>
      <c r="AX145" s="34">
        <f t="shared" si="164"/>
        <v>4.0959999999999998E-4</v>
      </c>
      <c r="AY145" s="34">
        <f t="shared" si="165"/>
        <v>2.0607844057087999E-4</v>
      </c>
      <c r="AZ145" s="289">
        <f>AW145/[1]DB!$B$23</f>
        <v>0</v>
      </c>
      <c r="BA145" s="289">
        <f>AX145/[1]DB!$B$23</f>
        <v>4.934939759036144E-7</v>
      </c>
    </row>
    <row r="146" spans="1:53" x14ac:dyDescent="0.3">
      <c r="A146" s="8" t="s">
        <v>796</v>
      </c>
      <c r="B146" s="8" t="str">
        <f>B142</f>
        <v>Трубопровод сырой нефти из теплообменников в печи, выход из печей, нефть</v>
      </c>
      <c r="C146" s="78" t="s">
        <v>110</v>
      </c>
      <c r="D146" s="9" t="s">
        <v>112</v>
      </c>
      <c r="E146" s="66">
        <f>E145</f>
        <v>1.9999999999999999E-6</v>
      </c>
      <c r="F146" s="67">
        <f>F142</f>
        <v>1024</v>
      </c>
      <c r="G146" s="8">
        <v>0.04</v>
      </c>
      <c r="H146" s="10">
        <f t="shared" si="155"/>
        <v>8.1920000000000002E-5</v>
      </c>
      <c r="I146" s="61">
        <f>0.15*I142</f>
        <v>1.8539999999999999</v>
      </c>
      <c r="J146" s="68">
        <f>0.9*J143</f>
        <v>2.8032479999999995E-2</v>
      </c>
      <c r="K146" s="73" t="s">
        <v>127</v>
      </c>
      <c r="L146" s="77">
        <v>3</v>
      </c>
      <c r="M146" s="31" t="str">
        <f t="shared" si="156"/>
        <v>C107</v>
      </c>
      <c r="N146" s="31" t="str">
        <f t="shared" si="157"/>
        <v>Трубопровод сырой нефти из теплообменников в печи, выход из печей, нефть</v>
      </c>
      <c r="O146" s="31" t="str">
        <f t="shared" si="158"/>
        <v>Частичное-пожар-вспышка</v>
      </c>
      <c r="P146" s="31" t="s">
        <v>46</v>
      </c>
      <c r="Q146" s="31" t="s">
        <v>46</v>
      </c>
      <c r="R146" s="31" t="s">
        <v>46</v>
      </c>
      <c r="S146" s="31" t="s">
        <v>46</v>
      </c>
      <c r="T146" s="31" t="s">
        <v>46</v>
      </c>
      <c r="U146" s="31" t="s">
        <v>46</v>
      </c>
      <c r="V146" s="31" t="s">
        <v>46</v>
      </c>
      <c r="W146" s="31" t="s">
        <v>46</v>
      </c>
      <c r="X146" s="31" t="s">
        <v>46</v>
      </c>
      <c r="Y146" s="31" t="s">
        <v>46</v>
      </c>
      <c r="Z146" s="31" t="s">
        <v>46</v>
      </c>
      <c r="AA146" s="31">
        <v>10.3</v>
      </c>
      <c r="AB146" s="31">
        <v>12.36</v>
      </c>
      <c r="AC146" s="31" t="s">
        <v>46</v>
      </c>
      <c r="AD146" s="31" t="s">
        <v>46</v>
      </c>
      <c r="AE146" s="31" t="s">
        <v>46</v>
      </c>
      <c r="AF146" s="31" t="s">
        <v>46</v>
      </c>
      <c r="AG146" s="31" t="s">
        <v>46</v>
      </c>
      <c r="AH146" s="31" t="s">
        <v>46</v>
      </c>
      <c r="AI146" s="31" t="s">
        <v>46</v>
      </c>
      <c r="AJ146" s="31">
        <v>0</v>
      </c>
      <c r="AK146" s="31">
        <v>1</v>
      </c>
      <c r="AL146" s="31">
        <f>0.1*$AL$2</f>
        <v>7.5000000000000011E-2</v>
      </c>
      <c r="AM146" s="31">
        <f>AM142</f>
        <v>2.7E-2</v>
      </c>
      <c r="AN146" s="31">
        <f>ROUNDUP(AN142/3,0)</f>
        <v>1</v>
      </c>
      <c r="AO146" s="31"/>
      <c r="AP146" s="31"/>
      <c r="AQ146" s="32">
        <f>AM146*I146+AL146</f>
        <v>0.125058</v>
      </c>
      <c r="AR146" s="32">
        <f t="shared" si="159"/>
        <v>1.2505800000000001E-2</v>
      </c>
      <c r="AS146" s="33">
        <f t="shared" si="160"/>
        <v>0.25</v>
      </c>
      <c r="AT146" s="33">
        <f t="shared" si="161"/>
        <v>9.6890950000000003E-2</v>
      </c>
      <c r="AU146" s="32">
        <f>10068.2*J146*POWER(10,-6)*10</f>
        <v>2.822366151359999E-3</v>
      </c>
      <c r="AV146" s="33">
        <f t="shared" si="162"/>
        <v>0.48727711615136005</v>
      </c>
      <c r="AW146" s="34">
        <f t="shared" si="163"/>
        <v>0</v>
      </c>
      <c r="AX146" s="34">
        <f t="shared" si="164"/>
        <v>8.1920000000000002E-5</v>
      </c>
      <c r="AY146" s="34">
        <f t="shared" si="165"/>
        <v>3.9917741355119415E-5</v>
      </c>
      <c r="AZ146" s="289">
        <f>AW146/[1]DB!$B$23</f>
        <v>0</v>
      </c>
      <c r="BA146" s="289">
        <f>AX146/[1]DB!$B$23</f>
        <v>9.8698795180722897E-8</v>
      </c>
    </row>
    <row r="147" spans="1:53" x14ac:dyDescent="0.3">
      <c r="A147" s="169" t="s">
        <v>797</v>
      </c>
      <c r="B147" s="169" t="str">
        <f>B142</f>
        <v>Трубопровод сырой нефти из теплообменников в печи, выход из печей, нефть</v>
      </c>
      <c r="C147" s="170" t="s">
        <v>111</v>
      </c>
      <c r="D147" s="171" t="s">
        <v>27</v>
      </c>
      <c r="E147" s="172">
        <f>E145</f>
        <v>1.9999999999999999E-6</v>
      </c>
      <c r="F147" s="173">
        <f>F142</f>
        <v>1024</v>
      </c>
      <c r="G147" s="169">
        <v>0.76</v>
      </c>
      <c r="H147" s="174">
        <f t="shared" si="155"/>
        <v>1.5564799999999998E-3</v>
      </c>
      <c r="I147" s="175">
        <f>0.15*I142</f>
        <v>1.8539999999999999</v>
      </c>
      <c r="J147" s="176">
        <v>0</v>
      </c>
      <c r="K147" s="177" t="s">
        <v>138</v>
      </c>
      <c r="L147" s="178">
        <v>1</v>
      </c>
      <c r="M147" s="31" t="str">
        <f t="shared" si="156"/>
        <v>C108</v>
      </c>
      <c r="N147" s="31" t="str">
        <f t="shared" si="157"/>
        <v>Трубопровод сырой нефти из теплообменников в печи, выход из печей, нефть</v>
      </c>
      <c r="O147" s="31" t="str">
        <f t="shared" si="158"/>
        <v>Частичное-ликвидация</v>
      </c>
      <c r="P147" s="31" t="s">
        <v>46</v>
      </c>
      <c r="Q147" s="31" t="s">
        <v>46</v>
      </c>
      <c r="R147" s="31" t="s">
        <v>46</v>
      </c>
      <c r="S147" s="31" t="s">
        <v>46</v>
      </c>
      <c r="T147" s="31" t="s">
        <v>46</v>
      </c>
      <c r="U147" s="31" t="s">
        <v>46</v>
      </c>
      <c r="V147" s="31" t="s">
        <v>46</v>
      </c>
      <c r="W147" s="31" t="s">
        <v>46</v>
      </c>
      <c r="X147" s="31" t="s">
        <v>46</v>
      </c>
      <c r="Y147" s="31" t="s">
        <v>46</v>
      </c>
      <c r="Z147" s="31" t="s">
        <v>46</v>
      </c>
      <c r="AA147" s="31" t="s">
        <v>46</v>
      </c>
      <c r="AB147" s="31" t="s">
        <v>46</v>
      </c>
      <c r="AC147" s="31" t="s">
        <v>46</v>
      </c>
      <c r="AD147" s="31" t="s">
        <v>46</v>
      </c>
      <c r="AE147" s="31" t="s">
        <v>46</v>
      </c>
      <c r="AF147" s="31" t="s">
        <v>46</v>
      </c>
      <c r="AG147" s="31" t="s">
        <v>46</v>
      </c>
      <c r="AH147" s="31" t="s">
        <v>46</v>
      </c>
      <c r="AI147" s="31" t="s">
        <v>46</v>
      </c>
      <c r="AJ147" s="31">
        <v>0</v>
      </c>
      <c r="AK147" s="31">
        <v>0</v>
      </c>
      <c r="AL147" s="31">
        <f>0.1*$AL$2</f>
        <v>7.5000000000000011E-2</v>
      </c>
      <c r="AM147" s="31">
        <f>AM142</f>
        <v>2.7E-2</v>
      </c>
      <c r="AN147" s="31">
        <f>ROUNDUP(AN142/3,0)</f>
        <v>1</v>
      </c>
      <c r="AO147" s="31"/>
      <c r="AP147" s="31"/>
      <c r="AQ147" s="32">
        <f>AM147*I147*0.1+AL147</f>
        <v>8.0005800000000016E-2</v>
      </c>
      <c r="AR147" s="32">
        <f t="shared" si="159"/>
        <v>8.0005800000000019E-3</v>
      </c>
      <c r="AS147" s="33">
        <f t="shared" si="160"/>
        <v>0</v>
      </c>
      <c r="AT147" s="33">
        <f t="shared" si="161"/>
        <v>2.2001595000000006E-2</v>
      </c>
      <c r="AU147" s="32">
        <f>1333*J146*POWER(10,-6)</f>
        <v>3.7367295839999989E-5</v>
      </c>
      <c r="AV147" s="33">
        <f t="shared" si="162"/>
        <v>0.11004534229584002</v>
      </c>
      <c r="AW147" s="34">
        <f t="shared" si="163"/>
        <v>0</v>
      </c>
      <c r="AX147" s="34">
        <f t="shared" si="164"/>
        <v>0</v>
      </c>
      <c r="AY147" s="34">
        <f t="shared" si="165"/>
        <v>1.7128337437662906E-4</v>
      </c>
      <c r="AZ147" s="289">
        <f>AW147/[1]DB!$B$23</f>
        <v>0</v>
      </c>
      <c r="BA147" s="289">
        <f>AX147/[1]DB!$B$23</f>
        <v>0</v>
      </c>
    </row>
    <row r="148" spans="1:53" s="179" customFormat="1" x14ac:dyDescent="0.3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288" t="s">
        <v>466</v>
      </c>
      <c r="L148" s="287" t="s">
        <v>642</v>
      </c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</row>
    <row r="149" spans="1:53" s="179" customFormat="1" x14ac:dyDescent="0.3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</row>
    <row r="150" spans="1:53" s="179" customFormat="1" x14ac:dyDescent="0.3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</row>
    <row r="151" spans="1:53" ht="15" thickBot="1" x14ac:dyDescent="0.35"/>
    <row r="152" spans="1:53" ht="15" thickBot="1" x14ac:dyDescent="0.35">
      <c r="A152" s="8" t="s">
        <v>798</v>
      </c>
      <c r="B152" s="62" t="s">
        <v>679</v>
      </c>
      <c r="C152" s="78" t="s">
        <v>106</v>
      </c>
      <c r="D152" s="9" t="s">
        <v>25</v>
      </c>
      <c r="E152" s="65">
        <v>2.9999999999999999E-7</v>
      </c>
      <c r="F152" s="62">
        <v>459</v>
      </c>
      <c r="G152" s="8">
        <v>0.2</v>
      </c>
      <c r="H152" s="10">
        <f t="shared" ref="H152:H157" si="166">E152*F152*G152</f>
        <v>2.7539999999999997E-5</v>
      </c>
      <c r="I152" s="63">
        <v>9.02</v>
      </c>
      <c r="J152" s="68">
        <f>I152</f>
        <v>9.02</v>
      </c>
      <c r="K152" s="71" t="s">
        <v>122</v>
      </c>
      <c r="L152" s="76">
        <f>I152*20</f>
        <v>180.39999999999998</v>
      </c>
      <c r="M152" s="31" t="str">
        <f t="shared" ref="M152:M157" si="167">A152</f>
        <v>C109</v>
      </c>
      <c r="N152" s="31" t="str">
        <f t="shared" ref="N152:N157" si="168">B152</f>
        <v>Трубопровод выхода нефти после печей, подача нефти в дегидраторы и теплообменники , нефть</v>
      </c>
      <c r="O152" s="31" t="str">
        <f t="shared" ref="O152:O157" si="169">D152</f>
        <v>Полное-пожар</v>
      </c>
      <c r="P152" s="31">
        <v>10.9</v>
      </c>
      <c r="Q152" s="31">
        <v>15.3</v>
      </c>
      <c r="R152" s="31">
        <v>22.5</v>
      </c>
      <c r="S152" s="31">
        <v>43.4</v>
      </c>
      <c r="T152" s="31" t="s">
        <v>46</v>
      </c>
      <c r="U152" s="31" t="s">
        <v>46</v>
      </c>
      <c r="V152" s="31" t="s">
        <v>46</v>
      </c>
      <c r="W152" s="31" t="s">
        <v>46</v>
      </c>
      <c r="X152" s="31" t="s">
        <v>46</v>
      </c>
      <c r="Y152" s="31" t="s">
        <v>46</v>
      </c>
      <c r="Z152" s="31" t="s">
        <v>46</v>
      </c>
      <c r="AA152" s="31" t="s">
        <v>46</v>
      </c>
      <c r="AB152" s="31" t="s">
        <v>46</v>
      </c>
      <c r="AC152" s="31" t="s">
        <v>46</v>
      </c>
      <c r="AD152" s="31" t="s">
        <v>46</v>
      </c>
      <c r="AE152" s="31" t="s">
        <v>46</v>
      </c>
      <c r="AF152" s="31" t="s">
        <v>46</v>
      </c>
      <c r="AG152" s="31" t="s">
        <v>46</v>
      </c>
      <c r="AH152" s="31" t="s">
        <v>46</v>
      </c>
      <c r="AI152" s="31" t="s">
        <v>46</v>
      </c>
      <c r="AJ152" s="12">
        <v>0</v>
      </c>
      <c r="AK152" s="12">
        <v>1</v>
      </c>
      <c r="AL152" s="64">
        <v>0.75</v>
      </c>
      <c r="AM152" s="64">
        <v>2.7E-2</v>
      </c>
      <c r="AN152" s="64">
        <v>3</v>
      </c>
      <c r="AO152" s="31"/>
      <c r="AP152" s="31"/>
      <c r="AQ152" s="32">
        <f>AM152*I152+AL152</f>
        <v>0.99353999999999998</v>
      </c>
      <c r="AR152" s="32">
        <f t="shared" ref="AR152:AR157" si="170">0.1*AQ152</f>
        <v>9.9353999999999998E-2</v>
      </c>
      <c r="AS152" s="33">
        <f t="shared" ref="AS152:AS157" si="171">AJ152*3+0.25*AK152</f>
        <v>0.25</v>
      </c>
      <c r="AT152" s="33">
        <f t="shared" ref="AT152:AT157" si="172">SUM(AQ152:AS152)/4</f>
        <v>0.33572350000000001</v>
      </c>
      <c r="AU152" s="32">
        <f>10068.2*J152*POWER(10,-6)</f>
        <v>9.0815164000000004E-2</v>
      </c>
      <c r="AV152" s="33">
        <f t="shared" ref="AV152:AV157" si="173">AU152+AT152+AS152+AR152+AQ152</f>
        <v>1.769432664</v>
      </c>
      <c r="AW152" s="34">
        <f t="shared" ref="AW152:AW157" si="174">AJ152*H152</f>
        <v>0</v>
      </c>
      <c r="AX152" s="34">
        <f t="shared" ref="AX152:AX157" si="175">H152*AK152</f>
        <v>2.7539999999999997E-5</v>
      </c>
      <c r="AY152" s="34">
        <f t="shared" ref="AY152:AY157" si="176">H152*AV152</f>
        <v>4.8730175566559997E-5</v>
      </c>
      <c r="AZ152" s="289">
        <f>AW152/[1]DB!$B$23</f>
        <v>0</v>
      </c>
      <c r="BA152" s="289">
        <f>AX152/[1]DB!$B$23</f>
        <v>3.3180722891566262E-8</v>
      </c>
    </row>
    <row r="153" spans="1:53" ht="15" thickBot="1" x14ac:dyDescent="0.35">
      <c r="A153" s="8" t="s">
        <v>799</v>
      </c>
      <c r="B153" s="8" t="str">
        <f>B152</f>
        <v>Трубопровод выхода нефти после печей, подача нефти в дегидраторы и теплообменники , нефть</v>
      </c>
      <c r="C153" s="78" t="s">
        <v>107</v>
      </c>
      <c r="D153" s="9" t="s">
        <v>28</v>
      </c>
      <c r="E153" s="66">
        <f>E152</f>
        <v>2.9999999999999999E-7</v>
      </c>
      <c r="F153" s="67">
        <f>F152</f>
        <v>459</v>
      </c>
      <c r="G153" s="8">
        <v>0.04</v>
      </c>
      <c r="H153" s="10">
        <f t="shared" si="166"/>
        <v>5.5079999999999996E-6</v>
      </c>
      <c r="I153" s="61">
        <f>I152</f>
        <v>9.02</v>
      </c>
      <c r="J153" s="274">
        <f>POWER(10,-6)*35*SQRT(100)*3600*L152/1000*0.1</f>
        <v>2.2730399999999998E-2</v>
      </c>
      <c r="K153" s="71" t="s">
        <v>123</v>
      </c>
      <c r="L153" s="76">
        <v>0</v>
      </c>
      <c r="M153" s="31" t="str">
        <f t="shared" si="167"/>
        <v>C110</v>
      </c>
      <c r="N153" s="31" t="str">
        <f t="shared" si="168"/>
        <v>Трубопровод выхода нефти после печей, подача нефти в дегидраторы и теплообменники , нефть</v>
      </c>
      <c r="O153" s="31" t="str">
        <f t="shared" si="169"/>
        <v>Полное-взрыв</v>
      </c>
      <c r="P153" s="31" t="s">
        <v>46</v>
      </c>
      <c r="Q153" s="31" t="s">
        <v>46</v>
      </c>
      <c r="R153" s="31" t="s">
        <v>46</v>
      </c>
      <c r="S153" s="31" t="s">
        <v>46</v>
      </c>
      <c r="T153" s="31">
        <v>0</v>
      </c>
      <c r="U153" s="31">
        <v>0</v>
      </c>
      <c r="V153" s="31">
        <v>21.6</v>
      </c>
      <c r="W153" s="31">
        <v>71.599999999999994</v>
      </c>
      <c r="X153" s="31">
        <v>104.6</v>
      </c>
      <c r="Y153" s="31" t="s">
        <v>46</v>
      </c>
      <c r="Z153" s="31" t="s">
        <v>46</v>
      </c>
      <c r="AA153" s="31" t="s">
        <v>46</v>
      </c>
      <c r="AB153" s="31" t="s">
        <v>46</v>
      </c>
      <c r="AC153" s="31" t="s">
        <v>46</v>
      </c>
      <c r="AD153" s="31" t="s">
        <v>46</v>
      </c>
      <c r="AE153" s="31" t="s">
        <v>46</v>
      </c>
      <c r="AF153" s="31" t="s">
        <v>46</v>
      </c>
      <c r="AG153" s="31" t="s">
        <v>46</v>
      </c>
      <c r="AH153" s="31" t="s">
        <v>46</v>
      </c>
      <c r="AI153" s="31" t="s">
        <v>46</v>
      </c>
      <c r="AJ153" s="12">
        <v>0</v>
      </c>
      <c r="AK153" s="12">
        <v>1</v>
      </c>
      <c r="AL153" s="31">
        <f>AL152</f>
        <v>0.75</v>
      </c>
      <c r="AM153" s="31">
        <f>AM152</f>
        <v>2.7E-2</v>
      </c>
      <c r="AN153" s="31">
        <f>AN152</f>
        <v>3</v>
      </c>
      <c r="AO153" s="31"/>
      <c r="AP153" s="31"/>
      <c r="AQ153" s="32">
        <f>AM153*I153+AL153</f>
        <v>0.99353999999999998</v>
      </c>
      <c r="AR153" s="32">
        <f t="shared" si="170"/>
        <v>9.9353999999999998E-2</v>
      </c>
      <c r="AS153" s="33">
        <f t="shared" si="171"/>
        <v>0.25</v>
      </c>
      <c r="AT153" s="33">
        <f t="shared" si="172"/>
        <v>0.33572350000000001</v>
      </c>
      <c r="AU153" s="32">
        <f>10068.2*J153*POWER(10,-6)*10</f>
        <v>2.2885421327999995E-3</v>
      </c>
      <c r="AV153" s="33">
        <f t="shared" si="173"/>
        <v>1.6809060421328001</v>
      </c>
      <c r="AW153" s="34">
        <f t="shared" si="174"/>
        <v>0</v>
      </c>
      <c r="AX153" s="34">
        <f t="shared" si="175"/>
        <v>5.5079999999999996E-6</v>
      </c>
      <c r="AY153" s="34">
        <f t="shared" si="176"/>
        <v>9.2584304800674626E-6</v>
      </c>
      <c r="AZ153" s="289">
        <f>AW153/[1]DB!$B$23</f>
        <v>0</v>
      </c>
      <c r="BA153" s="289">
        <f>AX153/[1]DB!$B$23</f>
        <v>6.6361445783132529E-9</v>
      </c>
    </row>
    <row r="154" spans="1:53" x14ac:dyDescent="0.3">
      <c r="A154" s="8" t="s">
        <v>800</v>
      </c>
      <c r="B154" s="8" t="str">
        <f>B152</f>
        <v>Трубопровод выхода нефти после печей, подача нефти в дегидраторы и теплообменники , нефть</v>
      </c>
      <c r="C154" s="78" t="s">
        <v>108</v>
      </c>
      <c r="D154" s="9" t="s">
        <v>26</v>
      </c>
      <c r="E154" s="66">
        <f>E152</f>
        <v>2.9999999999999999E-7</v>
      </c>
      <c r="F154" s="67">
        <f>F152</f>
        <v>459</v>
      </c>
      <c r="G154" s="8">
        <v>0.76</v>
      </c>
      <c r="H154" s="10">
        <f t="shared" si="166"/>
        <v>1.0465199999999999E-4</v>
      </c>
      <c r="I154" s="61">
        <f>I152</f>
        <v>9.02</v>
      </c>
      <c r="J154" s="70">
        <v>0</v>
      </c>
      <c r="K154" s="71" t="s">
        <v>124</v>
      </c>
      <c r="L154" s="76">
        <v>0</v>
      </c>
      <c r="M154" s="31" t="str">
        <f t="shared" si="167"/>
        <v>C111</v>
      </c>
      <c r="N154" s="31" t="str">
        <f t="shared" si="168"/>
        <v>Трубопровод выхода нефти после печей, подача нефти в дегидраторы и теплообменники , нефть</v>
      </c>
      <c r="O154" s="31" t="str">
        <f t="shared" si="169"/>
        <v>Полное-ликвидация</v>
      </c>
      <c r="P154" s="31" t="s">
        <v>46</v>
      </c>
      <c r="Q154" s="31" t="s">
        <v>46</v>
      </c>
      <c r="R154" s="31" t="s">
        <v>46</v>
      </c>
      <c r="S154" s="31" t="s">
        <v>46</v>
      </c>
      <c r="T154" s="31" t="s">
        <v>46</v>
      </c>
      <c r="U154" s="31" t="s">
        <v>46</v>
      </c>
      <c r="V154" s="31" t="s">
        <v>46</v>
      </c>
      <c r="W154" s="31" t="s">
        <v>46</v>
      </c>
      <c r="X154" s="31" t="s">
        <v>46</v>
      </c>
      <c r="Y154" s="31" t="s">
        <v>46</v>
      </c>
      <c r="Z154" s="31" t="s">
        <v>46</v>
      </c>
      <c r="AA154" s="31" t="s">
        <v>46</v>
      </c>
      <c r="AB154" s="31" t="s">
        <v>46</v>
      </c>
      <c r="AC154" s="31" t="s">
        <v>46</v>
      </c>
      <c r="AD154" s="31" t="s">
        <v>46</v>
      </c>
      <c r="AE154" s="31" t="s">
        <v>46</v>
      </c>
      <c r="AF154" s="31" t="s">
        <v>46</v>
      </c>
      <c r="AG154" s="31" t="s">
        <v>46</v>
      </c>
      <c r="AH154" s="31" t="s">
        <v>46</v>
      </c>
      <c r="AI154" s="31" t="s">
        <v>46</v>
      </c>
      <c r="AJ154" s="31">
        <v>0</v>
      </c>
      <c r="AK154" s="31">
        <v>0</v>
      </c>
      <c r="AL154" s="31">
        <f>AL152</f>
        <v>0.75</v>
      </c>
      <c r="AM154" s="31">
        <f>AM152</f>
        <v>2.7E-2</v>
      </c>
      <c r="AN154" s="31">
        <f>AN152</f>
        <v>3</v>
      </c>
      <c r="AO154" s="31"/>
      <c r="AP154" s="31"/>
      <c r="AQ154" s="32">
        <f>AM154*I154*0.1+AL154</f>
        <v>0.77435399999999999</v>
      </c>
      <c r="AR154" s="32">
        <f t="shared" si="170"/>
        <v>7.7435400000000001E-2</v>
      </c>
      <c r="AS154" s="33">
        <f t="shared" si="171"/>
        <v>0</v>
      </c>
      <c r="AT154" s="33">
        <f t="shared" si="172"/>
        <v>0.21294735000000001</v>
      </c>
      <c r="AU154" s="32">
        <f>1333*J153*POWER(10,-6)</f>
        <v>3.0299623199999993E-5</v>
      </c>
      <c r="AV154" s="33">
        <f t="shared" si="173"/>
        <v>1.0647670496232</v>
      </c>
      <c r="AW154" s="34">
        <f t="shared" si="174"/>
        <v>0</v>
      </c>
      <c r="AX154" s="34">
        <f t="shared" si="175"/>
        <v>0</v>
      </c>
      <c r="AY154" s="34">
        <f t="shared" si="176"/>
        <v>1.1143000127716712E-4</v>
      </c>
      <c r="AZ154" s="289">
        <f>AW154/[1]DB!$B$23</f>
        <v>0</v>
      </c>
      <c r="BA154" s="289">
        <f>AX154/[1]DB!$B$23</f>
        <v>0</v>
      </c>
    </row>
    <row r="155" spans="1:53" x14ac:dyDescent="0.3">
      <c r="A155" s="8" t="s">
        <v>801</v>
      </c>
      <c r="B155" s="8" t="str">
        <f>B152</f>
        <v>Трубопровод выхода нефти после печей, подача нефти в дегидраторы и теплообменники , нефть</v>
      </c>
      <c r="C155" s="78" t="s">
        <v>109</v>
      </c>
      <c r="D155" s="9" t="s">
        <v>47</v>
      </c>
      <c r="E155" s="65">
        <v>1.9999999999999999E-6</v>
      </c>
      <c r="F155" s="67">
        <f>F152</f>
        <v>459</v>
      </c>
      <c r="G155" s="8">
        <v>0.2</v>
      </c>
      <c r="H155" s="10">
        <f t="shared" si="166"/>
        <v>1.8360000000000002E-4</v>
      </c>
      <c r="I155" s="61">
        <f>0.15*I152</f>
        <v>1.353</v>
      </c>
      <c r="J155" s="68">
        <f>I155</f>
        <v>1.353</v>
      </c>
      <c r="K155" s="73" t="s">
        <v>126</v>
      </c>
      <c r="L155" s="77">
        <v>45390</v>
      </c>
      <c r="M155" s="31" t="str">
        <f t="shared" si="167"/>
        <v>C112</v>
      </c>
      <c r="N155" s="31" t="str">
        <f t="shared" si="168"/>
        <v>Трубопровод выхода нефти после печей, подача нефти в дегидраторы и теплообменники , нефть</v>
      </c>
      <c r="O155" s="31" t="str">
        <f t="shared" si="169"/>
        <v>Частичное-пожар</v>
      </c>
      <c r="P155" s="31">
        <v>4.5</v>
      </c>
      <c r="Q155" s="31">
        <v>6.6</v>
      </c>
      <c r="R155" s="31">
        <v>9.6999999999999993</v>
      </c>
      <c r="S155" s="31">
        <v>18.100000000000001</v>
      </c>
      <c r="T155" s="31" t="s">
        <v>46</v>
      </c>
      <c r="U155" s="31" t="s">
        <v>46</v>
      </c>
      <c r="V155" s="31" t="s">
        <v>46</v>
      </c>
      <c r="W155" s="31" t="s">
        <v>46</v>
      </c>
      <c r="X155" s="31" t="s">
        <v>46</v>
      </c>
      <c r="Y155" s="31" t="s">
        <v>46</v>
      </c>
      <c r="Z155" s="31" t="s">
        <v>46</v>
      </c>
      <c r="AA155" s="31" t="s">
        <v>46</v>
      </c>
      <c r="AB155" s="31" t="s">
        <v>46</v>
      </c>
      <c r="AC155" s="31" t="s">
        <v>46</v>
      </c>
      <c r="AD155" s="31" t="s">
        <v>46</v>
      </c>
      <c r="AE155" s="31" t="s">
        <v>46</v>
      </c>
      <c r="AF155" s="31" t="s">
        <v>46</v>
      </c>
      <c r="AG155" s="31" t="s">
        <v>46</v>
      </c>
      <c r="AH155" s="31" t="s">
        <v>46</v>
      </c>
      <c r="AI155" s="31" t="s">
        <v>46</v>
      </c>
      <c r="AJ155" s="31">
        <v>0</v>
      </c>
      <c r="AK155" s="31">
        <v>1</v>
      </c>
      <c r="AL155" s="31">
        <f>0.1*$AL$2</f>
        <v>7.5000000000000011E-2</v>
      </c>
      <c r="AM155" s="31">
        <f>AM152</f>
        <v>2.7E-2</v>
      </c>
      <c r="AN155" s="31">
        <f>ROUNDUP(AN152/3,0)</f>
        <v>1</v>
      </c>
      <c r="AO155" s="31"/>
      <c r="AP155" s="31"/>
      <c r="AQ155" s="32">
        <f>AM155*I155+AL155</f>
        <v>0.11153100000000002</v>
      </c>
      <c r="AR155" s="32">
        <f t="shared" si="170"/>
        <v>1.1153100000000003E-2</v>
      </c>
      <c r="AS155" s="33">
        <f t="shared" si="171"/>
        <v>0.25</v>
      </c>
      <c r="AT155" s="33">
        <f t="shared" si="172"/>
        <v>9.3171025000000005E-2</v>
      </c>
      <c r="AU155" s="32">
        <f>10068.2*J155*POWER(10,-6)</f>
        <v>1.36222746E-2</v>
      </c>
      <c r="AV155" s="33">
        <f t="shared" si="173"/>
        <v>0.47947739960000002</v>
      </c>
      <c r="AW155" s="34">
        <f t="shared" si="174"/>
        <v>0</v>
      </c>
      <c r="AX155" s="34">
        <f t="shared" si="175"/>
        <v>1.8360000000000002E-4</v>
      </c>
      <c r="AY155" s="34">
        <f t="shared" si="176"/>
        <v>8.8032050566560013E-5</v>
      </c>
      <c r="AZ155" s="289">
        <f>AW155/[1]DB!$B$23</f>
        <v>0</v>
      </c>
      <c r="BA155" s="289">
        <f>AX155/[1]DB!$B$23</f>
        <v>2.2120481927710845E-7</v>
      </c>
    </row>
    <row r="156" spans="1:53" x14ac:dyDescent="0.3">
      <c r="A156" s="8" t="s">
        <v>682</v>
      </c>
      <c r="B156" s="8" t="str">
        <f>B152</f>
        <v>Трубопровод выхода нефти после печей, подача нефти в дегидраторы и теплообменники , нефть</v>
      </c>
      <c r="C156" s="78" t="s">
        <v>110</v>
      </c>
      <c r="D156" s="9" t="s">
        <v>112</v>
      </c>
      <c r="E156" s="66">
        <f>E155</f>
        <v>1.9999999999999999E-6</v>
      </c>
      <c r="F156" s="67">
        <f>F152</f>
        <v>459</v>
      </c>
      <c r="G156" s="8">
        <v>0.04</v>
      </c>
      <c r="H156" s="10">
        <f t="shared" si="166"/>
        <v>3.6720000000000001E-5</v>
      </c>
      <c r="I156" s="61">
        <f>0.15*I152</f>
        <v>1.353</v>
      </c>
      <c r="J156" s="68">
        <f>0.9*J153</f>
        <v>2.0457359999999997E-2</v>
      </c>
      <c r="K156" s="73" t="s">
        <v>127</v>
      </c>
      <c r="L156" s="77">
        <v>3</v>
      </c>
      <c r="M156" s="31" t="str">
        <f t="shared" si="167"/>
        <v>C113</v>
      </c>
      <c r="N156" s="31" t="str">
        <f t="shared" si="168"/>
        <v>Трубопровод выхода нефти после печей, подача нефти в дегидраторы и теплообменники , нефть</v>
      </c>
      <c r="O156" s="31" t="str">
        <f t="shared" si="169"/>
        <v>Частичное-пожар-вспышка</v>
      </c>
      <c r="P156" s="31" t="s">
        <v>46</v>
      </c>
      <c r="Q156" s="31" t="s">
        <v>46</v>
      </c>
      <c r="R156" s="31" t="s">
        <v>46</v>
      </c>
      <c r="S156" s="31" t="s">
        <v>46</v>
      </c>
      <c r="T156" s="31" t="s">
        <v>46</v>
      </c>
      <c r="U156" s="31" t="s">
        <v>46</v>
      </c>
      <c r="V156" s="31" t="s">
        <v>46</v>
      </c>
      <c r="W156" s="31" t="s">
        <v>46</v>
      </c>
      <c r="X156" s="31" t="s">
        <v>46</v>
      </c>
      <c r="Y156" s="31" t="s">
        <v>46</v>
      </c>
      <c r="Z156" s="31" t="s">
        <v>46</v>
      </c>
      <c r="AA156" s="31">
        <v>9.2899999999999991</v>
      </c>
      <c r="AB156" s="31">
        <v>11.15</v>
      </c>
      <c r="AC156" s="31" t="s">
        <v>46</v>
      </c>
      <c r="AD156" s="31" t="s">
        <v>46</v>
      </c>
      <c r="AE156" s="31" t="s">
        <v>46</v>
      </c>
      <c r="AF156" s="31" t="s">
        <v>46</v>
      </c>
      <c r="AG156" s="31" t="s">
        <v>46</v>
      </c>
      <c r="AH156" s="31" t="s">
        <v>46</v>
      </c>
      <c r="AI156" s="31" t="s">
        <v>46</v>
      </c>
      <c r="AJ156" s="31">
        <v>0</v>
      </c>
      <c r="AK156" s="31">
        <v>1</v>
      </c>
      <c r="AL156" s="31">
        <f>0.1*$AL$2</f>
        <v>7.5000000000000011E-2</v>
      </c>
      <c r="AM156" s="31">
        <f>AM152</f>
        <v>2.7E-2</v>
      </c>
      <c r="AN156" s="31">
        <f>ROUNDUP(AN152/3,0)</f>
        <v>1</v>
      </c>
      <c r="AO156" s="31"/>
      <c r="AP156" s="31"/>
      <c r="AQ156" s="32">
        <f>AM156*I156+AL156</f>
        <v>0.11153100000000002</v>
      </c>
      <c r="AR156" s="32">
        <f t="shared" si="170"/>
        <v>1.1153100000000003E-2</v>
      </c>
      <c r="AS156" s="33">
        <f t="shared" si="171"/>
        <v>0.25</v>
      </c>
      <c r="AT156" s="33">
        <f t="shared" si="172"/>
        <v>9.3171025000000005E-2</v>
      </c>
      <c r="AU156" s="32">
        <f>10068.2*J156*POWER(10,-6)*10</f>
        <v>2.0596879195199998E-3</v>
      </c>
      <c r="AV156" s="33">
        <f t="shared" si="173"/>
        <v>0.46791481291952008</v>
      </c>
      <c r="AW156" s="34">
        <f t="shared" si="174"/>
        <v>0</v>
      </c>
      <c r="AX156" s="34">
        <f t="shared" si="175"/>
        <v>3.6720000000000001E-5</v>
      </c>
      <c r="AY156" s="34">
        <f t="shared" si="176"/>
        <v>1.7181831930404778E-5</v>
      </c>
      <c r="AZ156" s="289">
        <f>AW156/[1]DB!$B$23</f>
        <v>0</v>
      </c>
      <c r="BA156" s="289">
        <f>AX156/[1]DB!$B$23</f>
        <v>4.4240963855421687E-8</v>
      </c>
    </row>
    <row r="157" spans="1:53" x14ac:dyDescent="0.3">
      <c r="A157" s="169" t="s">
        <v>683</v>
      </c>
      <c r="B157" s="169" t="str">
        <f>B152</f>
        <v>Трубопровод выхода нефти после печей, подача нефти в дегидраторы и теплообменники , нефть</v>
      </c>
      <c r="C157" s="170" t="s">
        <v>111</v>
      </c>
      <c r="D157" s="171" t="s">
        <v>27</v>
      </c>
      <c r="E157" s="172">
        <f>E155</f>
        <v>1.9999999999999999E-6</v>
      </c>
      <c r="F157" s="173">
        <f>F152</f>
        <v>459</v>
      </c>
      <c r="G157" s="169">
        <v>0.76</v>
      </c>
      <c r="H157" s="174">
        <f t="shared" si="166"/>
        <v>6.9768E-4</v>
      </c>
      <c r="I157" s="175">
        <f>0.15*I152</f>
        <v>1.353</v>
      </c>
      <c r="J157" s="176">
        <v>0</v>
      </c>
      <c r="K157" s="177" t="s">
        <v>138</v>
      </c>
      <c r="L157" s="178">
        <v>1</v>
      </c>
      <c r="M157" s="31" t="str">
        <f t="shared" si="167"/>
        <v>C114</v>
      </c>
      <c r="N157" s="31" t="str">
        <f t="shared" si="168"/>
        <v>Трубопровод выхода нефти после печей, подача нефти в дегидраторы и теплообменники , нефть</v>
      </c>
      <c r="O157" s="31" t="str">
        <f t="shared" si="169"/>
        <v>Частичное-ликвидация</v>
      </c>
      <c r="P157" s="31" t="s">
        <v>46</v>
      </c>
      <c r="Q157" s="31" t="s">
        <v>46</v>
      </c>
      <c r="R157" s="31" t="s">
        <v>46</v>
      </c>
      <c r="S157" s="31" t="s">
        <v>46</v>
      </c>
      <c r="T157" s="31" t="s">
        <v>46</v>
      </c>
      <c r="U157" s="31" t="s">
        <v>46</v>
      </c>
      <c r="V157" s="31" t="s">
        <v>46</v>
      </c>
      <c r="W157" s="31" t="s">
        <v>46</v>
      </c>
      <c r="X157" s="31" t="s">
        <v>46</v>
      </c>
      <c r="Y157" s="31" t="s">
        <v>46</v>
      </c>
      <c r="Z157" s="31" t="s">
        <v>46</v>
      </c>
      <c r="AA157" s="31" t="s">
        <v>46</v>
      </c>
      <c r="AB157" s="31" t="s">
        <v>46</v>
      </c>
      <c r="AC157" s="31" t="s">
        <v>46</v>
      </c>
      <c r="AD157" s="31" t="s">
        <v>46</v>
      </c>
      <c r="AE157" s="31" t="s">
        <v>46</v>
      </c>
      <c r="AF157" s="31" t="s">
        <v>46</v>
      </c>
      <c r="AG157" s="31" t="s">
        <v>46</v>
      </c>
      <c r="AH157" s="31" t="s">
        <v>46</v>
      </c>
      <c r="AI157" s="31" t="s">
        <v>46</v>
      </c>
      <c r="AJ157" s="31">
        <v>0</v>
      </c>
      <c r="AK157" s="31">
        <v>0</v>
      </c>
      <c r="AL157" s="31">
        <f>0.1*$AL$2</f>
        <v>7.5000000000000011E-2</v>
      </c>
      <c r="AM157" s="31">
        <f>AM152</f>
        <v>2.7E-2</v>
      </c>
      <c r="AN157" s="31">
        <f>ROUNDUP(AN152/3,0)</f>
        <v>1</v>
      </c>
      <c r="AO157" s="31"/>
      <c r="AP157" s="31"/>
      <c r="AQ157" s="32">
        <f>AM157*I157*0.1+AL157</f>
        <v>7.8653100000000017E-2</v>
      </c>
      <c r="AR157" s="32">
        <f t="shared" si="170"/>
        <v>7.8653100000000021E-3</v>
      </c>
      <c r="AS157" s="33">
        <f t="shared" si="171"/>
        <v>0</v>
      </c>
      <c r="AT157" s="33">
        <f t="shared" si="172"/>
        <v>2.1629602500000004E-2</v>
      </c>
      <c r="AU157" s="32">
        <f>1333*J156*POWER(10,-6)</f>
        <v>2.7269660879999996E-5</v>
      </c>
      <c r="AV157" s="33">
        <f t="shared" si="173"/>
        <v>0.10817528216088002</v>
      </c>
      <c r="AW157" s="34">
        <f t="shared" si="174"/>
        <v>0</v>
      </c>
      <c r="AX157" s="34">
        <f t="shared" si="175"/>
        <v>0</v>
      </c>
      <c r="AY157" s="34">
        <f t="shared" si="176"/>
        <v>7.5471730858002776E-5</v>
      </c>
      <c r="AZ157" s="289">
        <f>AW157/[1]DB!$B$23</f>
        <v>0</v>
      </c>
      <c r="BA157" s="289">
        <f>AX157/[1]DB!$B$23</f>
        <v>0</v>
      </c>
    </row>
    <row r="158" spans="1:53" s="179" customFormat="1" x14ac:dyDescent="0.3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288" t="s">
        <v>466</v>
      </c>
      <c r="L158" s="287" t="s">
        <v>642</v>
      </c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</row>
    <row r="159" spans="1:53" s="179" customFormat="1" x14ac:dyDescent="0.3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</row>
    <row r="160" spans="1:53" s="179" customFormat="1" x14ac:dyDescent="0.3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</row>
    <row r="161" spans="1:53" ht="15" thickBot="1" x14ac:dyDescent="0.35"/>
    <row r="162" spans="1:53" ht="15" thickBot="1" x14ac:dyDescent="0.35">
      <c r="A162" s="8" t="s">
        <v>684</v>
      </c>
      <c r="B162" s="62" t="s">
        <v>680</v>
      </c>
      <c r="C162" s="78" t="s">
        <v>106</v>
      </c>
      <c r="D162" s="9" t="s">
        <v>25</v>
      </c>
      <c r="E162" s="65">
        <v>2.9999999999999999E-7</v>
      </c>
      <c r="F162" s="62">
        <v>631</v>
      </c>
      <c r="G162" s="8">
        <v>0.2</v>
      </c>
      <c r="H162" s="10">
        <f t="shared" ref="H162:H167" si="177">E162*F162*G162</f>
        <v>3.786E-5</v>
      </c>
      <c r="I162" s="63">
        <v>8.0299999999999994</v>
      </c>
      <c r="J162" s="68">
        <f>I162</f>
        <v>8.0299999999999994</v>
      </c>
      <c r="K162" s="71" t="s">
        <v>122</v>
      </c>
      <c r="L162" s="76">
        <f>I162*20</f>
        <v>160.6</v>
      </c>
      <c r="M162" s="31" t="str">
        <f t="shared" ref="M162:M167" si="178">A162</f>
        <v>C115</v>
      </c>
      <c r="N162" s="31" t="str">
        <f t="shared" ref="N162:N167" si="179">B162</f>
        <v>Трубопровод подготовленной  нефти от теплообменников через сепараторы  С-2, 1;2,2 до  РВС № 1н,2н,3н, нефть</v>
      </c>
      <c r="O162" s="31" t="str">
        <f t="shared" ref="O162:O167" si="180">D162</f>
        <v>Полное-пожар</v>
      </c>
      <c r="P162" s="31">
        <v>10.3</v>
      </c>
      <c r="Q162" s="31">
        <v>14.5</v>
      </c>
      <c r="R162" s="31">
        <v>21.3</v>
      </c>
      <c r="S162" s="31">
        <v>41.3</v>
      </c>
      <c r="T162" s="31" t="s">
        <v>46</v>
      </c>
      <c r="U162" s="31" t="s">
        <v>46</v>
      </c>
      <c r="V162" s="31" t="s">
        <v>46</v>
      </c>
      <c r="W162" s="31" t="s">
        <v>46</v>
      </c>
      <c r="X162" s="31" t="s">
        <v>46</v>
      </c>
      <c r="Y162" s="31" t="s">
        <v>46</v>
      </c>
      <c r="Z162" s="31" t="s">
        <v>46</v>
      </c>
      <c r="AA162" s="31" t="s">
        <v>46</v>
      </c>
      <c r="AB162" s="31" t="s">
        <v>46</v>
      </c>
      <c r="AC162" s="31" t="s">
        <v>46</v>
      </c>
      <c r="AD162" s="31" t="s">
        <v>46</v>
      </c>
      <c r="AE162" s="31" t="s">
        <v>46</v>
      </c>
      <c r="AF162" s="31" t="s">
        <v>46</v>
      </c>
      <c r="AG162" s="31" t="s">
        <v>46</v>
      </c>
      <c r="AH162" s="31" t="s">
        <v>46</v>
      </c>
      <c r="AI162" s="31" t="s">
        <v>46</v>
      </c>
      <c r="AJ162" s="12">
        <v>0</v>
      </c>
      <c r="AK162" s="12">
        <v>1</v>
      </c>
      <c r="AL162" s="64">
        <v>0.75</v>
      </c>
      <c r="AM162" s="64">
        <v>2.7E-2</v>
      </c>
      <c r="AN162" s="64">
        <v>3</v>
      </c>
      <c r="AO162" s="31"/>
      <c r="AP162" s="31"/>
      <c r="AQ162" s="32">
        <f>AM162*I162+AL162</f>
        <v>0.96680999999999995</v>
      </c>
      <c r="AR162" s="32">
        <f t="shared" ref="AR162:AR167" si="181">0.1*AQ162</f>
        <v>9.6681000000000003E-2</v>
      </c>
      <c r="AS162" s="33">
        <f t="shared" ref="AS162:AS167" si="182">AJ162*3+0.25*AK162</f>
        <v>0.25</v>
      </c>
      <c r="AT162" s="33">
        <f t="shared" ref="AT162:AT167" si="183">SUM(AQ162:AS162)/4</f>
        <v>0.32837274999999999</v>
      </c>
      <c r="AU162" s="32">
        <f>10068.2*J162*POWER(10,-6)</f>
        <v>8.0847645999999995E-2</v>
      </c>
      <c r="AV162" s="33">
        <f t="shared" ref="AV162:AV167" si="184">AU162+AT162+AS162+AR162+AQ162</f>
        <v>1.722711396</v>
      </c>
      <c r="AW162" s="34">
        <f t="shared" ref="AW162:AW167" si="185">AJ162*H162</f>
        <v>0</v>
      </c>
      <c r="AX162" s="34">
        <f t="shared" ref="AX162:AX167" si="186">H162*AK162</f>
        <v>3.786E-5</v>
      </c>
      <c r="AY162" s="34">
        <f t="shared" ref="AY162:AY167" si="187">H162*AV162</f>
        <v>6.5221853452559998E-5</v>
      </c>
      <c r="AZ162" s="289">
        <f>AW162/[1]DB!$B$23</f>
        <v>0</v>
      </c>
      <c r="BA162" s="289">
        <f>AX162/[1]DB!$B$23</f>
        <v>4.5614457831325301E-8</v>
      </c>
    </row>
    <row r="163" spans="1:53" ht="15" thickBot="1" x14ac:dyDescent="0.35">
      <c r="A163" s="8" t="s">
        <v>685</v>
      </c>
      <c r="B163" s="8" t="str">
        <f>B162</f>
        <v>Трубопровод подготовленной  нефти от теплообменников через сепараторы  С-2, 1;2,2 до  РВС № 1н,2н,3н, нефть</v>
      </c>
      <c r="C163" s="78" t="s">
        <v>107</v>
      </c>
      <c r="D163" s="9" t="s">
        <v>28</v>
      </c>
      <c r="E163" s="66">
        <f>E162</f>
        <v>2.9999999999999999E-7</v>
      </c>
      <c r="F163" s="67">
        <f>F162</f>
        <v>631</v>
      </c>
      <c r="G163" s="8">
        <v>0.04</v>
      </c>
      <c r="H163" s="10">
        <f t="shared" si="177"/>
        <v>7.5719999999999997E-6</v>
      </c>
      <c r="I163" s="61">
        <f>I162</f>
        <v>8.0299999999999994</v>
      </c>
      <c r="J163" s="274">
        <f>POWER(10,-6)*35*SQRT(100)*3600*L162/1000*0.1</f>
        <v>2.0235599999999996E-2</v>
      </c>
      <c r="K163" s="71" t="s">
        <v>123</v>
      </c>
      <c r="L163" s="76">
        <v>0</v>
      </c>
      <c r="M163" s="31" t="str">
        <f t="shared" si="178"/>
        <v>C116</v>
      </c>
      <c r="N163" s="31" t="str">
        <f t="shared" si="179"/>
        <v>Трубопровод подготовленной  нефти от теплообменников через сепараторы  С-2, 1;2,2 до  РВС № 1н,2н,3н, нефть</v>
      </c>
      <c r="O163" s="31" t="str">
        <f t="shared" si="180"/>
        <v>Полное-взрыв</v>
      </c>
      <c r="P163" s="31" t="s">
        <v>46</v>
      </c>
      <c r="Q163" s="31" t="s">
        <v>46</v>
      </c>
      <c r="R163" s="31" t="s">
        <v>46</v>
      </c>
      <c r="S163" s="31" t="s">
        <v>46</v>
      </c>
      <c r="T163" s="31">
        <v>0</v>
      </c>
      <c r="U163" s="31">
        <v>0</v>
      </c>
      <c r="V163" s="31">
        <v>20.6</v>
      </c>
      <c r="W163" s="31">
        <v>69.099999999999994</v>
      </c>
      <c r="X163" s="31">
        <v>100.6</v>
      </c>
      <c r="Y163" s="31" t="s">
        <v>46</v>
      </c>
      <c r="Z163" s="31" t="s">
        <v>46</v>
      </c>
      <c r="AA163" s="31" t="s">
        <v>46</v>
      </c>
      <c r="AB163" s="31" t="s">
        <v>46</v>
      </c>
      <c r="AC163" s="31" t="s">
        <v>46</v>
      </c>
      <c r="AD163" s="31" t="s">
        <v>46</v>
      </c>
      <c r="AE163" s="31" t="s">
        <v>46</v>
      </c>
      <c r="AF163" s="31" t="s">
        <v>46</v>
      </c>
      <c r="AG163" s="31" t="s">
        <v>46</v>
      </c>
      <c r="AH163" s="31" t="s">
        <v>46</v>
      </c>
      <c r="AI163" s="31" t="s">
        <v>46</v>
      </c>
      <c r="AJ163" s="12">
        <v>0</v>
      </c>
      <c r="AK163" s="12">
        <v>1</v>
      </c>
      <c r="AL163" s="31">
        <f>AL162</f>
        <v>0.75</v>
      </c>
      <c r="AM163" s="31">
        <f>AM162</f>
        <v>2.7E-2</v>
      </c>
      <c r="AN163" s="31">
        <f>AN162</f>
        <v>3</v>
      </c>
      <c r="AO163" s="31"/>
      <c r="AP163" s="31"/>
      <c r="AQ163" s="32">
        <f>AM163*I163+AL163</f>
        <v>0.96680999999999995</v>
      </c>
      <c r="AR163" s="32">
        <f t="shared" si="181"/>
        <v>9.6681000000000003E-2</v>
      </c>
      <c r="AS163" s="33">
        <f t="shared" si="182"/>
        <v>0.25</v>
      </c>
      <c r="AT163" s="33">
        <f t="shared" si="183"/>
        <v>0.32837274999999999</v>
      </c>
      <c r="AU163" s="32">
        <f>10068.2*J163*POWER(10,-6)*10</f>
        <v>2.0373606791999994E-3</v>
      </c>
      <c r="AV163" s="33">
        <f t="shared" si="184"/>
        <v>1.6439011106792001</v>
      </c>
      <c r="AW163" s="34">
        <f t="shared" si="185"/>
        <v>0</v>
      </c>
      <c r="AX163" s="34">
        <f t="shared" si="186"/>
        <v>7.5719999999999997E-6</v>
      </c>
      <c r="AY163" s="34">
        <f t="shared" si="187"/>
        <v>1.2447619210062903E-5</v>
      </c>
      <c r="AZ163" s="289">
        <f>AW163/[1]DB!$B$23</f>
        <v>0</v>
      </c>
      <c r="BA163" s="289">
        <f>AX163/[1]DB!$B$23</f>
        <v>9.1228915662650602E-9</v>
      </c>
    </row>
    <row r="164" spans="1:53" x14ac:dyDescent="0.3">
      <c r="A164" s="8" t="s">
        <v>686</v>
      </c>
      <c r="B164" s="8" t="str">
        <f>B162</f>
        <v>Трубопровод подготовленной  нефти от теплообменников через сепараторы  С-2, 1;2,2 до  РВС № 1н,2н,3н, нефть</v>
      </c>
      <c r="C164" s="78" t="s">
        <v>108</v>
      </c>
      <c r="D164" s="9" t="s">
        <v>26</v>
      </c>
      <c r="E164" s="66">
        <f>E162</f>
        <v>2.9999999999999999E-7</v>
      </c>
      <c r="F164" s="67">
        <f>F162</f>
        <v>631</v>
      </c>
      <c r="G164" s="8">
        <v>0.76</v>
      </c>
      <c r="H164" s="10">
        <f t="shared" si="177"/>
        <v>1.4386799999999999E-4</v>
      </c>
      <c r="I164" s="61">
        <f>I162</f>
        <v>8.0299999999999994</v>
      </c>
      <c r="J164" s="70">
        <v>0</v>
      </c>
      <c r="K164" s="71" t="s">
        <v>124</v>
      </c>
      <c r="L164" s="76">
        <v>0</v>
      </c>
      <c r="M164" s="31" t="str">
        <f t="shared" si="178"/>
        <v>C117</v>
      </c>
      <c r="N164" s="31" t="str">
        <f t="shared" si="179"/>
        <v>Трубопровод подготовленной  нефти от теплообменников через сепараторы  С-2, 1;2,2 до  РВС № 1н,2н,3н, нефть</v>
      </c>
      <c r="O164" s="31" t="str">
        <f t="shared" si="180"/>
        <v>Полное-ликвидация</v>
      </c>
      <c r="P164" s="31" t="s">
        <v>46</v>
      </c>
      <c r="Q164" s="31" t="s">
        <v>46</v>
      </c>
      <c r="R164" s="31" t="s">
        <v>46</v>
      </c>
      <c r="S164" s="31" t="s">
        <v>46</v>
      </c>
      <c r="T164" s="31" t="s">
        <v>46</v>
      </c>
      <c r="U164" s="31" t="s">
        <v>46</v>
      </c>
      <c r="V164" s="31" t="s">
        <v>46</v>
      </c>
      <c r="W164" s="31" t="s">
        <v>46</v>
      </c>
      <c r="X164" s="31" t="s">
        <v>46</v>
      </c>
      <c r="Y164" s="31" t="s">
        <v>46</v>
      </c>
      <c r="Z164" s="31" t="s">
        <v>46</v>
      </c>
      <c r="AA164" s="31" t="s">
        <v>46</v>
      </c>
      <c r="AB164" s="31" t="s">
        <v>46</v>
      </c>
      <c r="AC164" s="31" t="s">
        <v>46</v>
      </c>
      <c r="AD164" s="31" t="s">
        <v>46</v>
      </c>
      <c r="AE164" s="31" t="s">
        <v>46</v>
      </c>
      <c r="AF164" s="31" t="s">
        <v>46</v>
      </c>
      <c r="AG164" s="31" t="s">
        <v>46</v>
      </c>
      <c r="AH164" s="31" t="s">
        <v>46</v>
      </c>
      <c r="AI164" s="31" t="s">
        <v>46</v>
      </c>
      <c r="AJ164" s="31">
        <v>0</v>
      </c>
      <c r="AK164" s="31">
        <v>0</v>
      </c>
      <c r="AL164" s="31">
        <f>AL162</f>
        <v>0.75</v>
      </c>
      <c r="AM164" s="31">
        <f>AM162</f>
        <v>2.7E-2</v>
      </c>
      <c r="AN164" s="31">
        <f>AN162</f>
        <v>3</v>
      </c>
      <c r="AO164" s="31"/>
      <c r="AP164" s="31"/>
      <c r="AQ164" s="32">
        <f>AM164*I164*0.1+AL164</f>
        <v>0.77168099999999995</v>
      </c>
      <c r="AR164" s="32">
        <f t="shared" si="181"/>
        <v>7.7168100000000003E-2</v>
      </c>
      <c r="AS164" s="33">
        <f t="shared" si="182"/>
        <v>0</v>
      </c>
      <c r="AT164" s="33">
        <f t="shared" si="183"/>
        <v>0.21221227499999998</v>
      </c>
      <c r="AU164" s="32">
        <f>1333*J163*POWER(10,-6)</f>
        <v>2.6974054799999993E-5</v>
      </c>
      <c r="AV164" s="33">
        <f t="shared" si="184"/>
        <v>1.0610883490548</v>
      </c>
      <c r="AW164" s="34">
        <f t="shared" si="185"/>
        <v>0</v>
      </c>
      <c r="AX164" s="34">
        <f t="shared" si="186"/>
        <v>0</v>
      </c>
      <c r="AY164" s="34">
        <f t="shared" si="187"/>
        <v>1.5265665860181594E-4</v>
      </c>
      <c r="AZ164" s="289">
        <f>AW164/[1]DB!$B$23</f>
        <v>0</v>
      </c>
      <c r="BA164" s="289">
        <f>AX164/[1]DB!$B$23</f>
        <v>0</v>
      </c>
    </row>
    <row r="165" spans="1:53" x14ac:dyDescent="0.3">
      <c r="A165" s="8" t="s">
        <v>687</v>
      </c>
      <c r="B165" s="8" t="str">
        <f>B162</f>
        <v>Трубопровод подготовленной  нефти от теплообменников через сепараторы  С-2, 1;2,2 до  РВС № 1н,2н,3н, нефть</v>
      </c>
      <c r="C165" s="78" t="s">
        <v>109</v>
      </c>
      <c r="D165" s="9" t="s">
        <v>47</v>
      </c>
      <c r="E165" s="65">
        <v>1.9999999999999999E-6</v>
      </c>
      <c r="F165" s="67">
        <f>F162</f>
        <v>631</v>
      </c>
      <c r="G165" s="8">
        <v>0.2</v>
      </c>
      <c r="H165" s="10">
        <f t="shared" si="177"/>
        <v>2.5240000000000001E-4</v>
      </c>
      <c r="I165" s="61">
        <f>0.15*I162</f>
        <v>1.2044999999999999</v>
      </c>
      <c r="J165" s="68">
        <f>I165</f>
        <v>1.2044999999999999</v>
      </c>
      <c r="K165" s="73" t="s">
        <v>126</v>
      </c>
      <c r="L165" s="77">
        <v>45390</v>
      </c>
      <c r="M165" s="31" t="str">
        <f t="shared" si="178"/>
        <v>C118</v>
      </c>
      <c r="N165" s="31" t="str">
        <f t="shared" si="179"/>
        <v>Трубопровод подготовленной  нефти от теплообменников через сепараторы  С-2, 1;2,2 до  РВС № 1н,2н,3н, нефть</v>
      </c>
      <c r="O165" s="31" t="str">
        <f t="shared" si="180"/>
        <v>Частичное-пожар</v>
      </c>
      <c r="P165" s="31">
        <v>4.4000000000000004</v>
      </c>
      <c r="Q165" s="31">
        <v>6.3</v>
      </c>
      <c r="R165" s="31">
        <v>9.4</v>
      </c>
      <c r="S165" s="31">
        <v>17.399999999999999</v>
      </c>
      <c r="T165" s="31" t="s">
        <v>46</v>
      </c>
      <c r="U165" s="31" t="s">
        <v>46</v>
      </c>
      <c r="V165" s="31" t="s">
        <v>46</v>
      </c>
      <c r="W165" s="31" t="s">
        <v>46</v>
      </c>
      <c r="X165" s="31" t="s">
        <v>46</v>
      </c>
      <c r="Y165" s="31" t="s">
        <v>46</v>
      </c>
      <c r="Z165" s="31" t="s">
        <v>46</v>
      </c>
      <c r="AA165" s="31" t="s">
        <v>46</v>
      </c>
      <c r="AB165" s="31" t="s">
        <v>46</v>
      </c>
      <c r="AC165" s="31" t="s">
        <v>46</v>
      </c>
      <c r="AD165" s="31" t="s">
        <v>46</v>
      </c>
      <c r="AE165" s="31" t="s">
        <v>46</v>
      </c>
      <c r="AF165" s="31" t="s">
        <v>46</v>
      </c>
      <c r="AG165" s="31" t="s">
        <v>46</v>
      </c>
      <c r="AH165" s="31" t="s">
        <v>46</v>
      </c>
      <c r="AI165" s="31" t="s">
        <v>46</v>
      </c>
      <c r="AJ165" s="31">
        <v>0</v>
      </c>
      <c r="AK165" s="31">
        <v>1</v>
      </c>
      <c r="AL165" s="31">
        <f>0.1*$AL$2</f>
        <v>7.5000000000000011E-2</v>
      </c>
      <c r="AM165" s="31">
        <f>AM162</f>
        <v>2.7E-2</v>
      </c>
      <c r="AN165" s="31">
        <f>ROUNDUP(AN162/3,0)</f>
        <v>1</v>
      </c>
      <c r="AO165" s="31"/>
      <c r="AP165" s="31"/>
      <c r="AQ165" s="32">
        <f>AM165*I165+AL165</f>
        <v>0.10752150000000001</v>
      </c>
      <c r="AR165" s="32">
        <f t="shared" si="181"/>
        <v>1.0752150000000002E-2</v>
      </c>
      <c r="AS165" s="33">
        <f t="shared" si="182"/>
        <v>0.25</v>
      </c>
      <c r="AT165" s="33">
        <f t="shared" si="183"/>
        <v>9.2068412500000002E-2</v>
      </c>
      <c r="AU165" s="32">
        <f>10068.2*J165*POWER(10,-6)</f>
        <v>1.21271469E-2</v>
      </c>
      <c r="AV165" s="33">
        <f t="shared" si="184"/>
        <v>0.47246920940000003</v>
      </c>
      <c r="AW165" s="34">
        <f t="shared" si="185"/>
        <v>0</v>
      </c>
      <c r="AX165" s="34">
        <f t="shared" si="186"/>
        <v>2.5240000000000001E-4</v>
      </c>
      <c r="AY165" s="34">
        <f t="shared" si="187"/>
        <v>1.1925122845256001E-4</v>
      </c>
      <c r="AZ165" s="289">
        <f>AW165/[1]DB!$B$23</f>
        <v>0</v>
      </c>
      <c r="BA165" s="289">
        <f>AX165/[1]DB!$B$23</f>
        <v>3.0409638554216868E-7</v>
      </c>
    </row>
    <row r="166" spans="1:53" x14ac:dyDescent="0.3">
      <c r="A166" s="8" t="s">
        <v>688</v>
      </c>
      <c r="B166" s="8" t="str">
        <f>B162</f>
        <v>Трубопровод подготовленной  нефти от теплообменников через сепараторы  С-2, 1;2,2 до  РВС № 1н,2н,3н, нефть</v>
      </c>
      <c r="C166" s="78" t="s">
        <v>110</v>
      </c>
      <c r="D166" s="9" t="s">
        <v>112</v>
      </c>
      <c r="E166" s="66">
        <f>E165</f>
        <v>1.9999999999999999E-6</v>
      </c>
      <c r="F166" s="67">
        <f>F162</f>
        <v>631</v>
      </c>
      <c r="G166" s="8">
        <v>0.04</v>
      </c>
      <c r="H166" s="10">
        <f t="shared" si="177"/>
        <v>5.0479999999999998E-5</v>
      </c>
      <c r="I166" s="61">
        <f>0.15*I162</f>
        <v>1.2044999999999999</v>
      </c>
      <c r="J166" s="68">
        <f>0.9*J163</f>
        <v>1.8212039999999995E-2</v>
      </c>
      <c r="K166" s="73" t="s">
        <v>127</v>
      </c>
      <c r="L166" s="77">
        <v>3</v>
      </c>
      <c r="M166" s="31" t="str">
        <f t="shared" si="178"/>
        <v>C119</v>
      </c>
      <c r="N166" s="31" t="str">
        <f t="shared" si="179"/>
        <v>Трубопровод подготовленной  нефти от теплообменников через сепараторы  С-2, 1;2,2 до  РВС № 1н,2н,3н, нефть</v>
      </c>
      <c r="O166" s="31" t="str">
        <f t="shared" si="180"/>
        <v>Частичное-пожар-вспышка</v>
      </c>
      <c r="P166" s="31" t="s">
        <v>46</v>
      </c>
      <c r="Q166" s="31" t="s">
        <v>46</v>
      </c>
      <c r="R166" s="31" t="s">
        <v>46</v>
      </c>
      <c r="S166" s="31" t="s">
        <v>46</v>
      </c>
      <c r="T166" s="31" t="s">
        <v>46</v>
      </c>
      <c r="U166" s="31" t="s">
        <v>46</v>
      </c>
      <c r="V166" s="31" t="s">
        <v>46</v>
      </c>
      <c r="W166" s="31" t="s">
        <v>46</v>
      </c>
      <c r="X166" s="31" t="s">
        <v>46</v>
      </c>
      <c r="Y166" s="31" t="s">
        <v>46</v>
      </c>
      <c r="Z166" s="31" t="s">
        <v>46</v>
      </c>
      <c r="AA166" s="31">
        <v>8.94</v>
      </c>
      <c r="AB166" s="31">
        <v>10.73</v>
      </c>
      <c r="AC166" s="31" t="s">
        <v>46</v>
      </c>
      <c r="AD166" s="31" t="s">
        <v>46</v>
      </c>
      <c r="AE166" s="31" t="s">
        <v>46</v>
      </c>
      <c r="AF166" s="31" t="s">
        <v>46</v>
      </c>
      <c r="AG166" s="31" t="s">
        <v>46</v>
      </c>
      <c r="AH166" s="31" t="s">
        <v>46</v>
      </c>
      <c r="AI166" s="31" t="s">
        <v>46</v>
      </c>
      <c r="AJ166" s="31">
        <v>0</v>
      </c>
      <c r="AK166" s="31">
        <v>1</v>
      </c>
      <c r="AL166" s="31">
        <f>0.1*$AL$2</f>
        <v>7.5000000000000011E-2</v>
      </c>
      <c r="AM166" s="31">
        <f>AM162</f>
        <v>2.7E-2</v>
      </c>
      <c r="AN166" s="31">
        <f>ROUNDUP(AN162/3,0)</f>
        <v>1</v>
      </c>
      <c r="AO166" s="31"/>
      <c r="AP166" s="31"/>
      <c r="AQ166" s="32">
        <f>AM166*I166+AL166</f>
        <v>0.10752150000000001</v>
      </c>
      <c r="AR166" s="32">
        <f t="shared" si="181"/>
        <v>1.0752150000000002E-2</v>
      </c>
      <c r="AS166" s="33">
        <f t="shared" si="182"/>
        <v>0.25</v>
      </c>
      <c r="AT166" s="33">
        <f t="shared" si="183"/>
        <v>9.2068412500000002E-2</v>
      </c>
      <c r="AU166" s="32">
        <f>10068.2*J166*POWER(10,-6)*10</f>
        <v>1.8336246112799998E-3</v>
      </c>
      <c r="AV166" s="33">
        <f t="shared" si="184"/>
        <v>0.46217568711127999</v>
      </c>
      <c r="AW166" s="34">
        <f t="shared" si="185"/>
        <v>0</v>
      </c>
      <c r="AX166" s="34">
        <f t="shared" si="186"/>
        <v>5.0479999999999998E-5</v>
      </c>
      <c r="AY166" s="34">
        <f t="shared" si="187"/>
        <v>2.3330628685377414E-5</v>
      </c>
      <c r="AZ166" s="289">
        <f>AW166/[1]DB!$B$23</f>
        <v>0</v>
      </c>
      <c r="BA166" s="289">
        <f>AX166/[1]DB!$B$23</f>
        <v>6.0819277108433726E-8</v>
      </c>
    </row>
    <row r="167" spans="1:53" x14ac:dyDescent="0.3">
      <c r="A167" s="169" t="s">
        <v>689</v>
      </c>
      <c r="B167" s="169" t="str">
        <f>B162</f>
        <v>Трубопровод подготовленной  нефти от теплообменников через сепараторы  С-2, 1;2,2 до  РВС № 1н,2н,3н, нефть</v>
      </c>
      <c r="C167" s="170" t="s">
        <v>111</v>
      </c>
      <c r="D167" s="171" t="s">
        <v>27</v>
      </c>
      <c r="E167" s="172">
        <f>E165</f>
        <v>1.9999999999999999E-6</v>
      </c>
      <c r="F167" s="173">
        <f>F162</f>
        <v>631</v>
      </c>
      <c r="G167" s="169">
        <v>0.76</v>
      </c>
      <c r="H167" s="174">
        <f t="shared" si="177"/>
        <v>9.5911999999999994E-4</v>
      </c>
      <c r="I167" s="175">
        <f>0.15*I162</f>
        <v>1.2044999999999999</v>
      </c>
      <c r="J167" s="176">
        <v>0</v>
      </c>
      <c r="K167" s="177" t="s">
        <v>138</v>
      </c>
      <c r="L167" s="178">
        <v>1</v>
      </c>
      <c r="M167" s="31" t="str">
        <f t="shared" si="178"/>
        <v>C120</v>
      </c>
      <c r="N167" s="31" t="str">
        <f t="shared" si="179"/>
        <v>Трубопровод подготовленной  нефти от теплообменников через сепараторы  С-2, 1;2,2 до  РВС № 1н,2н,3н, нефть</v>
      </c>
      <c r="O167" s="31" t="str">
        <f t="shared" si="180"/>
        <v>Частичное-ликвидация</v>
      </c>
      <c r="P167" s="31" t="s">
        <v>46</v>
      </c>
      <c r="Q167" s="31" t="s">
        <v>46</v>
      </c>
      <c r="R167" s="31" t="s">
        <v>46</v>
      </c>
      <c r="S167" s="31" t="s">
        <v>46</v>
      </c>
      <c r="T167" s="31" t="s">
        <v>46</v>
      </c>
      <c r="U167" s="31" t="s">
        <v>46</v>
      </c>
      <c r="V167" s="31" t="s">
        <v>46</v>
      </c>
      <c r="W167" s="31" t="s">
        <v>46</v>
      </c>
      <c r="X167" s="31" t="s">
        <v>46</v>
      </c>
      <c r="Y167" s="31" t="s">
        <v>46</v>
      </c>
      <c r="Z167" s="31" t="s">
        <v>46</v>
      </c>
      <c r="AA167" s="31" t="s">
        <v>46</v>
      </c>
      <c r="AB167" s="31" t="s">
        <v>46</v>
      </c>
      <c r="AC167" s="31" t="s">
        <v>46</v>
      </c>
      <c r="AD167" s="31" t="s">
        <v>46</v>
      </c>
      <c r="AE167" s="31" t="s">
        <v>46</v>
      </c>
      <c r="AF167" s="31" t="s">
        <v>46</v>
      </c>
      <c r="AG167" s="31" t="s">
        <v>46</v>
      </c>
      <c r="AH167" s="31" t="s">
        <v>46</v>
      </c>
      <c r="AI167" s="31" t="s">
        <v>46</v>
      </c>
      <c r="AJ167" s="31">
        <v>0</v>
      </c>
      <c r="AK167" s="31">
        <v>0</v>
      </c>
      <c r="AL167" s="31">
        <f>0.1*$AL$2</f>
        <v>7.5000000000000011E-2</v>
      </c>
      <c r="AM167" s="31">
        <f>AM162</f>
        <v>2.7E-2</v>
      </c>
      <c r="AN167" s="31">
        <f>ROUNDUP(AN162/3,0)</f>
        <v>1</v>
      </c>
      <c r="AO167" s="31"/>
      <c r="AP167" s="31"/>
      <c r="AQ167" s="32">
        <f>AM167*I167*0.1+AL167</f>
        <v>7.8252150000000006E-2</v>
      </c>
      <c r="AR167" s="32">
        <f t="shared" si="181"/>
        <v>7.8252150000000017E-3</v>
      </c>
      <c r="AS167" s="33">
        <f t="shared" si="182"/>
        <v>0</v>
      </c>
      <c r="AT167" s="33">
        <f t="shared" si="183"/>
        <v>2.1519341250000001E-2</v>
      </c>
      <c r="AU167" s="32">
        <f>1333*J166*POWER(10,-6)</f>
        <v>2.4276649319999992E-5</v>
      </c>
      <c r="AV167" s="33">
        <f t="shared" si="184"/>
        <v>0.10762098289932001</v>
      </c>
      <c r="AW167" s="34">
        <f t="shared" si="185"/>
        <v>0</v>
      </c>
      <c r="AX167" s="34">
        <f t="shared" si="186"/>
        <v>0</v>
      </c>
      <c r="AY167" s="34">
        <f t="shared" si="187"/>
        <v>1.0322143711839581E-4</v>
      </c>
      <c r="AZ167" s="289">
        <f>AW167/[1]DB!$B$23</f>
        <v>0</v>
      </c>
      <c r="BA167" s="289">
        <f>AX167/[1]DB!$B$23</f>
        <v>0</v>
      </c>
    </row>
    <row r="168" spans="1:53" s="179" customFormat="1" x14ac:dyDescent="0.3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288" t="s">
        <v>466</v>
      </c>
      <c r="L168" s="287" t="s">
        <v>642</v>
      </c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</row>
    <row r="169" spans="1:53" s="179" customFormat="1" x14ac:dyDescent="0.3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</row>
    <row r="170" spans="1:53" s="179" customFormat="1" x14ac:dyDescent="0.3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</row>
    <row r="171" spans="1:53" ht="15" thickBot="1" x14ac:dyDescent="0.35"/>
    <row r="172" spans="1:53" ht="15" thickBot="1" x14ac:dyDescent="0.35">
      <c r="A172" s="8" t="s">
        <v>712</v>
      </c>
      <c r="B172" s="62" t="s">
        <v>590</v>
      </c>
      <c r="C172" s="78" t="s">
        <v>106</v>
      </c>
      <c r="D172" s="9" t="s">
        <v>25</v>
      </c>
      <c r="E172" s="65">
        <v>2.9999999999999999E-7</v>
      </c>
      <c r="F172" s="62">
        <v>231</v>
      </c>
      <c r="G172" s="8">
        <v>0.2</v>
      </c>
      <c r="H172" s="10">
        <f t="shared" ref="H172:H177" si="188">E172*F172*G172</f>
        <v>1.3859999999999999E-5</v>
      </c>
      <c r="I172" s="63">
        <v>5.88</v>
      </c>
      <c r="J172" s="68">
        <f>I172</f>
        <v>5.88</v>
      </c>
      <c r="K172" s="71" t="s">
        <v>122</v>
      </c>
      <c r="L172" s="76">
        <f>I172*20</f>
        <v>117.6</v>
      </c>
      <c r="M172" s="31" t="str">
        <f t="shared" ref="M172:M177" si="189">A172</f>
        <v>C121</v>
      </c>
      <c r="N172" s="31" t="str">
        <f t="shared" ref="N172:N177" si="190">B172</f>
        <v>Трубопровод сырой нефти от  С-2,3; 2.4  до  РВС № 3н, 4н, 2в, 1в, нефть</v>
      </c>
      <c r="O172" s="31" t="str">
        <f t="shared" ref="O172:O177" si="191">D172</f>
        <v>Полное-пожар</v>
      </c>
      <c r="P172" s="31">
        <v>8.8000000000000007</v>
      </c>
      <c r="Q172" s="31">
        <v>12.4</v>
      </c>
      <c r="R172" s="31">
        <v>18.399999999999999</v>
      </c>
      <c r="S172" s="31">
        <v>36</v>
      </c>
      <c r="T172" s="31" t="s">
        <v>46</v>
      </c>
      <c r="U172" s="31" t="s">
        <v>46</v>
      </c>
      <c r="V172" s="31" t="s">
        <v>46</v>
      </c>
      <c r="W172" s="31" t="s">
        <v>46</v>
      </c>
      <c r="X172" s="31" t="s">
        <v>46</v>
      </c>
      <c r="Y172" s="31" t="s">
        <v>46</v>
      </c>
      <c r="Z172" s="31" t="s">
        <v>46</v>
      </c>
      <c r="AA172" s="31" t="s">
        <v>46</v>
      </c>
      <c r="AB172" s="31" t="s">
        <v>46</v>
      </c>
      <c r="AC172" s="31" t="s">
        <v>46</v>
      </c>
      <c r="AD172" s="31" t="s">
        <v>46</v>
      </c>
      <c r="AE172" s="31" t="s">
        <v>46</v>
      </c>
      <c r="AF172" s="31" t="s">
        <v>46</v>
      </c>
      <c r="AG172" s="31" t="s">
        <v>46</v>
      </c>
      <c r="AH172" s="31" t="s">
        <v>46</v>
      </c>
      <c r="AI172" s="31" t="s">
        <v>46</v>
      </c>
      <c r="AJ172" s="12">
        <v>0</v>
      </c>
      <c r="AK172" s="12">
        <v>1</v>
      </c>
      <c r="AL172" s="64">
        <v>0.75</v>
      </c>
      <c r="AM172" s="64">
        <v>2.7E-2</v>
      </c>
      <c r="AN172" s="64">
        <v>3</v>
      </c>
      <c r="AO172" s="31"/>
      <c r="AP172" s="31"/>
      <c r="AQ172" s="32">
        <f>AM172*I172+AL172</f>
        <v>0.90876000000000001</v>
      </c>
      <c r="AR172" s="32">
        <f t="shared" ref="AR172:AR177" si="192">0.1*AQ172</f>
        <v>9.0876000000000012E-2</v>
      </c>
      <c r="AS172" s="33">
        <f t="shared" ref="AS172:AS177" si="193">AJ172*3+0.25*AK172</f>
        <v>0.25</v>
      </c>
      <c r="AT172" s="33">
        <f t="shared" ref="AT172:AT177" si="194">SUM(AQ172:AS172)/4</f>
        <v>0.31240899999999999</v>
      </c>
      <c r="AU172" s="32">
        <f>10068.2*J172*POWER(10,-6)</f>
        <v>5.9201016000000002E-2</v>
      </c>
      <c r="AV172" s="33">
        <f t="shared" ref="AV172:AV177" si="195">AU172+AT172+AS172+AR172+AQ172</f>
        <v>1.621246016</v>
      </c>
      <c r="AW172" s="34">
        <f t="shared" ref="AW172:AW177" si="196">AJ172*H172</f>
        <v>0</v>
      </c>
      <c r="AX172" s="34">
        <f t="shared" ref="AX172:AX177" si="197">H172*AK172</f>
        <v>1.3859999999999999E-5</v>
      </c>
      <c r="AY172" s="34">
        <f t="shared" ref="AY172:AY177" si="198">H172*AV172</f>
        <v>2.2470469781759998E-5</v>
      </c>
      <c r="AZ172" s="289">
        <f>AW172/[1]DB!$B$23</f>
        <v>0</v>
      </c>
      <c r="BA172" s="289">
        <f>AX172/[1]DB!$B$23</f>
        <v>1.669879518072289E-8</v>
      </c>
    </row>
    <row r="173" spans="1:53" ht="15" thickBot="1" x14ac:dyDescent="0.35">
      <c r="A173" s="8" t="s">
        <v>713</v>
      </c>
      <c r="B173" s="8" t="str">
        <f>B172</f>
        <v>Трубопровод сырой нефти от  С-2,3; 2.4  до  РВС № 3н, 4н, 2в, 1в, нефть</v>
      </c>
      <c r="C173" s="78" t="s">
        <v>107</v>
      </c>
      <c r="D173" s="9" t="s">
        <v>28</v>
      </c>
      <c r="E173" s="66">
        <f>E172</f>
        <v>2.9999999999999999E-7</v>
      </c>
      <c r="F173" s="67">
        <f>F172</f>
        <v>231</v>
      </c>
      <c r="G173" s="8">
        <v>0.04</v>
      </c>
      <c r="H173" s="10">
        <f t="shared" si="188"/>
        <v>2.7719999999999995E-6</v>
      </c>
      <c r="I173" s="61">
        <f>I172</f>
        <v>5.88</v>
      </c>
      <c r="J173" s="274">
        <f>POWER(10,-6)*35*SQRT(100)*3600*L172/1000*0.1</f>
        <v>1.4817599999999995E-2</v>
      </c>
      <c r="K173" s="71" t="s">
        <v>123</v>
      </c>
      <c r="L173" s="76">
        <v>0</v>
      </c>
      <c r="M173" s="31" t="str">
        <f t="shared" si="189"/>
        <v>C122</v>
      </c>
      <c r="N173" s="31" t="str">
        <f t="shared" si="190"/>
        <v>Трубопровод сырой нефти от  С-2,3; 2.4  до  РВС № 3н, 4н, 2в, 1в, нефть</v>
      </c>
      <c r="O173" s="31" t="str">
        <f t="shared" si="191"/>
        <v>Полное-взрыв</v>
      </c>
      <c r="P173" s="31" t="s">
        <v>46</v>
      </c>
      <c r="Q173" s="31" t="s">
        <v>46</v>
      </c>
      <c r="R173" s="31" t="s">
        <v>46</v>
      </c>
      <c r="S173" s="31" t="s">
        <v>46</v>
      </c>
      <c r="T173" s="31">
        <v>0</v>
      </c>
      <c r="U173" s="31">
        <v>0</v>
      </c>
      <c r="V173" s="31">
        <v>18.600000000000001</v>
      </c>
      <c r="W173" s="31">
        <v>62.1</v>
      </c>
      <c r="X173" s="31">
        <v>90.6</v>
      </c>
      <c r="Y173" s="31" t="s">
        <v>46</v>
      </c>
      <c r="Z173" s="31" t="s">
        <v>46</v>
      </c>
      <c r="AA173" s="31" t="s">
        <v>46</v>
      </c>
      <c r="AB173" s="31" t="s">
        <v>46</v>
      </c>
      <c r="AC173" s="31" t="s">
        <v>46</v>
      </c>
      <c r="AD173" s="31" t="s">
        <v>46</v>
      </c>
      <c r="AE173" s="31" t="s">
        <v>46</v>
      </c>
      <c r="AF173" s="31" t="s">
        <v>46</v>
      </c>
      <c r="AG173" s="31" t="s">
        <v>46</v>
      </c>
      <c r="AH173" s="31" t="s">
        <v>46</v>
      </c>
      <c r="AI173" s="31" t="s">
        <v>46</v>
      </c>
      <c r="AJ173" s="12">
        <v>0</v>
      </c>
      <c r="AK173" s="12">
        <v>1</v>
      </c>
      <c r="AL173" s="31">
        <f>AL172</f>
        <v>0.75</v>
      </c>
      <c r="AM173" s="31">
        <f>AM172</f>
        <v>2.7E-2</v>
      </c>
      <c r="AN173" s="31">
        <f>AN172</f>
        <v>3</v>
      </c>
      <c r="AO173" s="31"/>
      <c r="AP173" s="31"/>
      <c r="AQ173" s="32">
        <f>AM173*I173+AL173</f>
        <v>0.90876000000000001</v>
      </c>
      <c r="AR173" s="32">
        <f t="shared" si="192"/>
        <v>9.0876000000000012E-2</v>
      </c>
      <c r="AS173" s="33">
        <f t="shared" si="193"/>
        <v>0.25</v>
      </c>
      <c r="AT173" s="33">
        <f t="shared" si="194"/>
        <v>0.31240899999999999</v>
      </c>
      <c r="AU173" s="32">
        <f>10068.2*J173*POWER(10,-6)*10</f>
        <v>1.4918656031999995E-3</v>
      </c>
      <c r="AV173" s="33">
        <f t="shared" si="195"/>
        <v>1.5635368656032</v>
      </c>
      <c r="AW173" s="34">
        <f t="shared" si="196"/>
        <v>0</v>
      </c>
      <c r="AX173" s="34">
        <f t="shared" si="197"/>
        <v>2.7719999999999995E-6</v>
      </c>
      <c r="AY173" s="34">
        <f t="shared" si="198"/>
        <v>4.3341241914520699E-6</v>
      </c>
      <c r="AZ173" s="289">
        <f>AW173/[1]DB!$B$23</f>
        <v>0</v>
      </c>
      <c r="BA173" s="289">
        <f>AX173/[1]DB!$B$23</f>
        <v>3.3397590361445777E-9</v>
      </c>
    </row>
    <row r="174" spans="1:53" x14ac:dyDescent="0.3">
      <c r="A174" s="8" t="s">
        <v>714</v>
      </c>
      <c r="B174" s="8" t="str">
        <f>B172</f>
        <v>Трубопровод сырой нефти от  С-2,3; 2.4  до  РВС № 3н, 4н, 2в, 1в, нефть</v>
      </c>
      <c r="C174" s="78" t="s">
        <v>108</v>
      </c>
      <c r="D174" s="9" t="s">
        <v>26</v>
      </c>
      <c r="E174" s="66">
        <f>E172</f>
        <v>2.9999999999999999E-7</v>
      </c>
      <c r="F174" s="67">
        <f>F172</f>
        <v>231</v>
      </c>
      <c r="G174" s="8">
        <v>0.76</v>
      </c>
      <c r="H174" s="10">
        <f t="shared" si="188"/>
        <v>5.2667999999999991E-5</v>
      </c>
      <c r="I174" s="61">
        <f>I172</f>
        <v>5.88</v>
      </c>
      <c r="J174" s="70">
        <v>0</v>
      </c>
      <c r="K174" s="71" t="s">
        <v>124</v>
      </c>
      <c r="L174" s="76">
        <v>0</v>
      </c>
      <c r="M174" s="31" t="str">
        <f t="shared" si="189"/>
        <v>C123</v>
      </c>
      <c r="N174" s="31" t="str">
        <f t="shared" si="190"/>
        <v>Трубопровод сырой нефти от  С-2,3; 2.4  до  РВС № 3н, 4н, 2в, 1в, нефть</v>
      </c>
      <c r="O174" s="31" t="str">
        <f t="shared" si="191"/>
        <v>Полное-ликвидация</v>
      </c>
      <c r="P174" s="31" t="s">
        <v>46</v>
      </c>
      <c r="Q174" s="31" t="s">
        <v>46</v>
      </c>
      <c r="R174" s="31" t="s">
        <v>46</v>
      </c>
      <c r="S174" s="31" t="s">
        <v>46</v>
      </c>
      <c r="T174" s="31" t="s">
        <v>46</v>
      </c>
      <c r="U174" s="31" t="s">
        <v>46</v>
      </c>
      <c r="V174" s="31" t="s">
        <v>46</v>
      </c>
      <c r="W174" s="31" t="s">
        <v>46</v>
      </c>
      <c r="X174" s="31" t="s">
        <v>46</v>
      </c>
      <c r="Y174" s="31" t="s">
        <v>46</v>
      </c>
      <c r="Z174" s="31" t="s">
        <v>46</v>
      </c>
      <c r="AA174" s="31" t="s">
        <v>46</v>
      </c>
      <c r="AB174" s="31" t="s">
        <v>46</v>
      </c>
      <c r="AC174" s="31" t="s">
        <v>46</v>
      </c>
      <c r="AD174" s="31" t="s">
        <v>46</v>
      </c>
      <c r="AE174" s="31" t="s">
        <v>46</v>
      </c>
      <c r="AF174" s="31" t="s">
        <v>46</v>
      </c>
      <c r="AG174" s="31" t="s">
        <v>46</v>
      </c>
      <c r="AH174" s="31" t="s">
        <v>46</v>
      </c>
      <c r="AI174" s="31" t="s">
        <v>46</v>
      </c>
      <c r="AJ174" s="31">
        <v>0</v>
      </c>
      <c r="AK174" s="31">
        <v>0</v>
      </c>
      <c r="AL174" s="31">
        <f>AL172</f>
        <v>0.75</v>
      </c>
      <c r="AM174" s="31">
        <f>AM172</f>
        <v>2.7E-2</v>
      </c>
      <c r="AN174" s="31">
        <f>AN172</f>
        <v>3</v>
      </c>
      <c r="AO174" s="31"/>
      <c r="AP174" s="31"/>
      <c r="AQ174" s="32">
        <f>AM174*I174*0.1+AL174</f>
        <v>0.765876</v>
      </c>
      <c r="AR174" s="32">
        <f t="shared" si="192"/>
        <v>7.6587600000000006E-2</v>
      </c>
      <c r="AS174" s="33">
        <f t="shared" si="193"/>
        <v>0</v>
      </c>
      <c r="AT174" s="33">
        <f t="shared" si="194"/>
        <v>0.21061589999999999</v>
      </c>
      <c r="AU174" s="32">
        <f>1333*J173*POWER(10,-6)</f>
        <v>1.975186079999999E-5</v>
      </c>
      <c r="AV174" s="33">
        <f t="shared" si="195"/>
        <v>1.0530992518608</v>
      </c>
      <c r="AW174" s="34">
        <f t="shared" si="196"/>
        <v>0</v>
      </c>
      <c r="AX174" s="34">
        <f t="shared" si="197"/>
        <v>0</v>
      </c>
      <c r="AY174" s="34">
        <f t="shared" si="198"/>
        <v>5.5464631397004602E-5</v>
      </c>
      <c r="AZ174" s="289">
        <f>AW174/[1]DB!$B$23</f>
        <v>0</v>
      </c>
      <c r="BA174" s="289">
        <f>AX174/[1]DB!$B$23</f>
        <v>0</v>
      </c>
    </row>
    <row r="175" spans="1:53" x14ac:dyDescent="0.3">
      <c r="A175" s="8" t="s">
        <v>715</v>
      </c>
      <c r="B175" s="8" t="str">
        <f>B172</f>
        <v>Трубопровод сырой нефти от  С-2,3; 2.4  до  РВС № 3н, 4н, 2в, 1в, нефть</v>
      </c>
      <c r="C175" s="78" t="s">
        <v>109</v>
      </c>
      <c r="D175" s="9" t="s">
        <v>47</v>
      </c>
      <c r="E175" s="65">
        <v>1.9999999999999999E-6</v>
      </c>
      <c r="F175" s="67">
        <f>F172</f>
        <v>231</v>
      </c>
      <c r="G175" s="8">
        <v>0.2</v>
      </c>
      <c r="H175" s="10">
        <f t="shared" si="188"/>
        <v>9.2399999999999996E-5</v>
      </c>
      <c r="I175" s="61">
        <f>0.15*I172</f>
        <v>0.88200000000000001</v>
      </c>
      <c r="J175" s="68">
        <f>I175</f>
        <v>0.88200000000000001</v>
      </c>
      <c r="K175" s="73" t="s">
        <v>126</v>
      </c>
      <c r="L175" s="77">
        <v>45390</v>
      </c>
      <c r="M175" s="31" t="str">
        <f t="shared" si="189"/>
        <v>C124</v>
      </c>
      <c r="N175" s="31" t="str">
        <f t="shared" si="190"/>
        <v>Трубопровод сырой нефти от  С-2,3; 2.4  до  РВС № 3н, 4н, 2в, 1в, нефть</v>
      </c>
      <c r="O175" s="31" t="str">
        <f t="shared" si="191"/>
        <v>Частичное-пожар</v>
      </c>
      <c r="P175" s="31">
        <v>3.9</v>
      </c>
      <c r="Q175" s="31">
        <v>5.7</v>
      </c>
      <c r="R175" s="31">
        <v>8.5</v>
      </c>
      <c r="S175" s="31">
        <v>15.6</v>
      </c>
      <c r="T175" s="31" t="s">
        <v>46</v>
      </c>
      <c r="U175" s="31" t="s">
        <v>46</v>
      </c>
      <c r="V175" s="31" t="s">
        <v>46</v>
      </c>
      <c r="W175" s="31" t="s">
        <v>46</v>
      </c>
      <c r="X175" s="31" t="s">
        <v>46</v>
      </c>
      <c r="Y175" s="31" t="s">
        <v>46</v>
      </c>
      <c r="Z175" s="31" t="s">
        <v>46</v>
      </c>
      <c r="AA175" s="31" t="s">
        <v>46</v>
      </c>
      <c r="AB175" s="31" t="s">
        <v>46</v>
      </c>
      <c r="AC175" s="31" t="s">
        <v>46</v>
      </c>
      <c r="AD175" s="31" t="s">
        <v>46</v>
      </c>
      <c r="AE175" s="31" t="s">
        <v>46</v>
      </c>
      <c r="AF175" s="31" t="s">
        <v>46</v>
      </c>
      <c r="AG175" s="31" t="s">
        <v>46</v>
      </c>
      <c r="AH175" s="31" t="s">
        <v>46</v>
      </c>
      <c r="AI175" s="31" t="s">
        <v>46</v>
      </c>
      <c r="AJ175" s="31">
        <v>0</v>
      </c>
      <c r="AK175" s="31">
        <v>1</v>
      </c>
      <c r="AL175" s="31">
        <f>0.1*$AL$2</f>
        <v>7.5000000000000011E-2</v>
      </c>
      <c r="AM175" s="31">
        <f>AM172</f>
        <v>2.7E-2</v>
      </c>
      <c r="AN175" s="31">
        <f>ROUNDUP(AN172/3,0)</f>
        <v>1</v>
      </c>
      <c r="AO175" s="31"/>
      <c r="AP175" s="31"/>
      <c r="AQ175" s="32">
        <f>AM175*I175+AL175</f>
        <v>9.8814000000000013E-2</v>
      </c>
      <c r="AR175" s="32">
        <f t="shared" si="192"/>
        <v>9.881400000000002E-3</v>
      </c>
      <c r="AS175" s="33">
        <f t="shared" si="193"/>
        <v>0.25</v>
      </c>
      <c r="AT175" s="33">
        <f t="shared" si="194"/>
        <v>8.9673849999999999E-2</v>
      </c>
      <c r="AU175" s="32">
        <f>10068.2*J175*POWER(10,-6)</f>
        <v>8.8801524000000007E-3</v>
      </c>
      <c r="AV175" s="33">
        <f t="shared" si="195"/>
        <v>0.4572494024</v>
      </c>
      <c r="AW175" s="34">
        <f t="shared" si="196"/>
        <v>0</v>
      </c>
      <c r="AX175" s="34">
        <f t="shared" si="197"/>
        <v>9.2399999999999996E-5</v>
      </c>
      <c r="AY175" s="34">
        <f t="shared" si="198"/>
        <v>4.2249844781759996E-5</v>
      </c>
      <c r="AZ175" s="289">
        <f>AW175/[1]DB!$B$23</f>
        <v>0</v>
      </c>
      <c r="BA175" s="289">
        <f>AX175/[1]DB!$B$23</f>
        <v>1.1132530120481927E-7</v>
      </c>
    </row>
    <row r="176" spans="1:53" x14ac:dyDescent="0.3">
      <c r="A176" s="8" t="s">
        <v>716</v>
      </c>
      <c r="B176" s="8" t="str">
        <f>B172</f>
        <v>Трубопровод сырой нефти от  С-2,3; 2.4  до  РВС № 3н, 4н, 2в, 1в, нефть</v>
      </c>
      <c r="C176" s="78" t="s">
        <v>110</v>
      </c>
      <c r="D176" s="9" t="s">
        <v>112</v>
      </c>
      <c r="E176" s="66">
        <f>E175</f>
        <v>1.9999999999999999E-6</v>
      </c>
      <c r="F176" s="67">
        <f>F172</f>
        <v>231</v>
      </c>
      <c r="G176" s="8">
        <v>0.04</v>
      </c>
      <c r="H176" s="10">
        <f t="shared" si="188"/>
        <v>1.8479999999999999E-5</v>
      </c>
      <c r="I176" s="61">
        <f>0.15*I172</f>
        <v>0.88200000000000001</v>
      </c>
      <c r="J176" s="68">
        <f>0.9*J173</f>
        <v>1.3335839999999996E-2</v>
      </c>
      <c r="K176" s="73" t="s">
        <v>127</v>
      </c>
      <c r="L176" s="77">
        <v>3</v>
      </c>
      <c r="M176" s="31" t="str">
        <f t="shared" si="189"/>
        <v>C125</v>
      </c>
      <c r="N176" s="31" t="str">
        <f t="shared" si="190"/>
        <v>Трубопровод сырой нефти от  С-2,3; 2.4  до  РВС № 3н, 4н, 2в, 1в, нефть</v>
      </c>
      <c r="O176" s="31" t="str">
        <f t="shared" si="191"/>
        <v>Частичное-пожар-вспышка</v>
      </c>
      <c r="P176" s="31" t="s">
        <v>46</v>
      </c>
      <c r="Q176" s="31" t="s">
        <v>46</v>
      </c>
      <c r="R176" s="31" t="s">
        <v>46</v>
      </c>
      <c r="S176" s="31" t="s">
        <v>46</v>
      </c>
      <c r="T176" s="31" t="s">
        <v>46</v>
      </c>
      <c r="U176" s="31" t="s">
        <v>46</v>
      </c>
      <c r="V176" s="31" t="s">
        <v>46</v>
      </c>
      <c r="W176" s="31" t="s">
        <v>46</v>
      </c>
      <c r="X176" s="31" t="s">
        <v>46</v>
      </c>
      <c r="Y176" s="31" t="s">
        <v>46</v>
      </c>
      <c r="Z176" s="31" t="s">
        <v>46</v>
      </c>
      <c r="AA176" s="31">
        <v>8.06</v>
      </c>
      <c r="AB176" s="31">
        <v>9.67</v>
      </c>
      <c r="AC176" s="31" t="s">
        <v>46</v>
      </c>
      <c r="AD176" s="31" t="s">
        <v>46</v>
      </c>
      <c r="AE176" s="31" t="s">
        <v>46</v>
      </c>
      <c r="AF176" s="31" t="s">
        <v>46</v>
      </c>
      <c r="AG176" s="31" t="s">
        <v>46</v>
      </c>
      <c r="AH176" s="31" t="s">
        <v>46</v>
      </c>
      <c r="AI176" s="31" t="s">
        <v>46</v>
      </c>
      <c r="AJ176" s="31">
        <v>0</v>
      </c>
      <c r="AK176" s="31">
        <v>1</v>
      </c>
      <c r="AL176" s="31">
        <f>0.1*$AL$2</f>
        <v>7.5000000000000011E-2</v>
      </c>
      <c r="AM176" s="31">
        <f>AM172</f>
        <v>2.7E-2</v>
      </c>
      <c r="AN176" s="31">
        <f>ROUNDUP(AN172/3,0)</f>
        <v>1</v>
      </c>
      <c r="AO176" s="31"/>
      <c r="AP176" s="31"/>
      <c r="AQ176" s="32">
        <f>AM176*I176+AL176</f>
        <v>9.8814000000000013E-2</v>
      </c>
      <c r="AR176" s="32">
        <f t="shared" si="192"/>
        <v>9.881400000000002E-3</v>
      </c>
      <c r="AS176" s="33">
        <f t="shared" si="193"/>
        <v>0.25</v>
      </c>
      <c r="AT176" s="33">
        <f t="shared" si="194"/>
        <v>8.9673849999999999E-2</v>
      </c>
      <c r="AU176" s="32">
        <f>10068.2*J176*POWER(10,-6)*10</f>
        <v>1.3426790428799997E-3</v>
      </c>
      <c r="AV176" s="33">
        <f t="shared" si="195"/>
        <v>0.44971192904287999</v>
      </c>
      <c r="AW176" s="34">
        <f t="shared" si="196"/>
        <v>0</v>
      </c>
      <c r="AX176" s="34">
        <f t="shared" si="197"/>
        <v>1.8479999999999999E-5</v>
      </c>
      <c r="AY176" s="34">
        <f t="shared" si="198"/>
        <v>8.3106764487124216E-6</v>
      </c>
      <c r="AZ176" s="289">
        <f>AW176/[1]DB!$B$23</f>
        <v>0</v>
      </c>
      <c r="BA176" s="289">
        <f>AX176/[1]DB!$B$23</f>
        <v>2.2265060240963854E-8</v>
      </c>
    </row>
    <row r="177" spans="1:53" x14ac:dyDescent="0.3">
      <c r="A177" s="169" t="s">
        <v>717</v>
      </c>
      <c r="B177" s="169" t="str">
        <f>B172</f>
        <v>Трубопровод сырой нефти от  С-2,3; 2.4  до  РВС № 3н, 4н, 2в, 1в, нефть</v>
      </c>
      <c r="C177" s="170" t="s">
        <v>111</v>
      </c>
      <c r="D177" s="171" t="s">
        <v>27</v>
      </c>
      <c r="E177" s="172">
        <f>E175</f>
        <v>1.9999999999999999E-6</v>
      </c>
      <c r="F177" s="173">
        <f>F172</f>
        <v>231</v>
      </c>
      <c r="G177" s="169">
        <v>0.76</v>
      </c>
      <c r="H177" s="174">
        <f t="shared" si="188"/>
        <v>3.5111999999999996E-4</v>
      </c>
      <c r="I177" s="175">
        <f>0.15*I172</f>
        <v>0.88200000000000001</v>
      </c>
      <c r="J177" s="176">
        <v>0</v>
      </c>
      <c r="K177" s="177" t="s">
        <v>138</v>
      </c>
      <c r="L177" s="178">
        <v>1</v>
      </c>
      <c r="M177" s="31" t="str">
        <f t="shared" si="189"/>
        <v>C126</v>
      </c>
      <c r="N177" s="31" t="str">
        <f t="shared" si="190"/>
        <v>Трубопровод сырой нефти от  С-2,3; 2.4  до  РВС № 3н, 4н, 2в, 1в, нефть</v>
      </c>
      <c r="O177" s="31" t="str">
        <f t="shared" si="191"/>
        <v>Частичное-ликвидация</v>
      </c>
      <c r="P177" s="31" t="s">
        <v>46</v>
      </c>
      <c r="Q177" s="31" t="s">
        <v>46</v>
      </c>
      <c r="R177" s="31" t="s">
        <v>46</v>
      </c>
      <c r="S177" s="31" t="s">
        <v>46</v>
      </c>
      <c r="T177" s="31" t="s">
        <v>46</v>
      </c>
      <c r="U177" s="31" t="s">
        <v>46</v>
      </c>
      <c r="V177" s="31" t="s">
        <v>46</v>
      </c>
      <c r="W177" s="31" t="s">
        <v>46</v>
      </c>
      <c r="X177" s="31" t="s">
        <v>46</v>
      </c>
      <c r="Y177" s="31" t="s">
        <v>46</v>
      </c>
      <c r="Z177" s="31" t="s">
        <v>46</v>
      </c>
      <c r="AA177" s="31" t="s">
        <v>46</v>
      </c>
      <c r="AB177" s="31" t="s">
        <v>46</v>
      </c>
      <c r="AC177" s="31" t="s">
        <v>46</v>
      </c>
      <c r="AD177" s="31" t="s">
        <v>46</v>
      </c>
      <c r="AE177" s="31" t="s">
        <v>46</v>
      </c>
      <c r="AF177" s="31" t="s">
        <v>46</v>
      </c>
      <c r="AG177" s="31" t="s">
        <v>46</v>
      </c>
      <c r="AH177" s="31" t="s">
        <v>46</v>
      </c>
      <c r="AI177" s="31" t="s">
        <v>46</v>
      </c>
      <c r="AJ177" s="31">
        <v>0</v>
      </c>
      <c r="AK177" s="31">
        <v>0</v>
      </c>
      <c r="AL177" s="31">
        <f>0.1*$AL$2</f>
        <v>7.5000000000000011E-2</v>
      </c>
      <c r="AM177" s="31">
        <f>AM172</f>
        <v>2.7E-2</v>
      </c>
      <c r="AN177" s="31">
        <f>ROUNDUP(AN172/3,0)</f>
        <v>1</v>
      </c>
      <c r="AO177" s="31"/>
      <c r="AP177" s="31"/>
      <c r="AQ177" s="32">
        <f>AM177*I177*0.1+AL177</f>
        <v>7.7381400000000017E-2</v>
      </c>
      <c r="AR177" s="32">
        <f t="shared" si="192"/>
        <v>7.7381400000000019E-3</v>
      </c>
      <c r="AS177" s="33">
        <f t="shared" si="193"/>
        <v>0</v>
      </c>
      <c r="AT177" s="33">
        <f t="shared" si="194"/>
        <v>2.1279885000000005E-2</v>
      </c>
      <c r="AU177" s="32">
        <f>1333*J176*POWER(10,-6)</f>
        <v>1.7776674719999995E-5</v>
      </c>
      <c r="AV177" s="33">
        <f t="shared" si="195"/>
        <v>0.10641720167472002</v>
      </c>
      <c r="AW177" s="34">
        <f t="shared" si="196"/>
        <v>0</v>
      </c>
      <c r="AX177" s="34">
        <f t="shared" si="197"/>
        <v>0</v>
      </c>
      <c r="AY177" s="34">
        <f t="shared" si="198"/>
        <v>3.7365207852027689E-5</v>
      </c>
      <c r="AZ177" s="289">
        <f>AW177/[1]DB!$B$23</f>
        <v>0</v>
      </c>
      <c r="BA177" s="289">
        <f>AX177/[1]DB!$B$23</f>
        <v>0</v>
      </c>
    </row>
    <row r="178" spans="1:53" s="179" customFormat="1" x14ac:dyDescent="0.3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288" t="s">
        <v>466</v>
      </c>
      <c r="L178" s="287" t="s">
        <v>642</v>
      </c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</row>
    <row r="179" spans="1:53" s="179" customFormat="1" x14ac:dyDescent="0.3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</row>
    <row r="180" spans="1:53" s="179" customFormat="1" x14ac:dyDescent="0.3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</row>
    <row r="181" spans="1:53" ht="15" thickBot="1" x14ac:dyDescent="0.35"/>
    <row r="182" spans="1:53" ht="15" thickBot="1" x14ac:dyDescent="0.35">
      <c r="A182" s="8" t="s">
        <v>718</v>
      </c>
      <c r="B182" s="62" t="s">
        <v>681</v>
      </c>
      <c r="C182" s="78" t="s">
        <v>106</v>
      </c>
      <c r="D182" s="9" t="s">
        <v>25</v>
      </c>
      <c r="E182" s="65">
        <v>2.9999999999999999E-7</v>
      </c>
      <c r="F182" s="62">
        <v>231</v>
      </c>
      <c r="G182" s="8">
        <v>0.2</v>
      </c>
      <c r="H182" s="10">
        <f t="shared" ref="H182:H187" si="199">E182*F182*G182</f>
        <v>1.3859999999999999E-5</v>
      </c>
      <c r="I182" s="63">
        <v>10.99</v>
      </c>
      <c r="J182" s="68">
        <f>I182</f>
        <v>10.99</v>
      </c>
      <c r="K182" s="71" t="s">
        <v>122</v>
      </c>
      <c r="L182" s="76">
        <f>I182*20</f>
        <v>219.8</v>
      </c>
      <c r="M182" s="31" t="str">
        <f t="shared" ref="M182:M187" si="200">A182</f>
        <v>C127</v>
      </c>
      <c r="N182" s="31" t="str">
        <f t="shared" ref="N182:N187" si="201">B182</f>
        <v>Трубопровод сырой нефти от РВС № 4н, 3н до фильтра  насосов внутренней перекачки, нефть</v>
      </c>
      <c r="O182" s="31" t="str">
        <f t="shared" ref="O182:O187" si="202">D182</f>
        <v>Полное-пожар</v>
      </c>
      <c r="P182" s="31">
        <v>12</v>
      </c>
      <c r="Q182" s="31">
        <v>16.899999999999999</v>
      </c>
      <c r="R182" s="31">
        <v>24.6</v>
      </c>
      <c r="S182" s="31">
        <v>47.3</v>
      </c>
      <c r="T182" s="31" t="s">
        <v>46</v>
      </c>
      <c r="U182" s="31" t="s">
        <v>46</v>
      </c>
      <c r="V182" s="31" t="s">
        <v>46</v>
      </c>
      <c r="W182" s="31" t="s">
        <v>46</v>
      </c>
      <c r="X182" s="31" t="s">
        <v>46</v>
      </c>
      <c r="Y182" s="31" t="s">
        <v>46</v>
      </c>
      <c r="Z182" s="31" t="s">
        <v>46</v>
      </c>
      <c r="AA182" s="31" t="s">
        <v>46</v>
      </c>
      <c r="AB182" s="31" t="s">
        <v>46</v>
      </c>
      <c r="AC182" s="31" t="s">
        <v>46</v>
      </c>
      <c r="AD182" s="31" t="s">
        <v>46</v>
      </c>
      <c r="AE182" s="31" t="s">
        <v>46</v>
      </c>
      <c r="AF182" s="31" t="s">
        <v>46</v>
      </c>
      <c r="AG182" s="31" t="s">
        <v>46</v>
      </c>
      <c r="AH182" s="31" t="s">
        <v>46</v>
      </c>
      <c r="AI182" s="31" t="s">
        <v>46</v>
      </c>
      <c r="AJ182" s="12">
        <v>0</v>
      </c>
      <c r="AK182" s="12">
        <v>1</v>
      </c>
      <c r="AL182" s="64">
        <v>0.75</v>
      </c>
      <c r="AM182" s="64">
        <v>2.7E-2</v>
      </c>
      <c r="AN182" s="64">
        <v>3</v>
      </c>
      <c r="AO182" s="31"/>
      <c r="AP182" s="31"/>
      <c r="AQ182" s="32">
        <f>AM182*I182+AL182</f>
        <v>1.0467299999999999</v>
      </c>
      <c r="AR182" s="32">
        <f t="shared" ref="AR182:AR187" si="203">0.1*AQ182</f>
        <v>0.104673</v>
      </c>
      <c r="AS182" s="33">
        <f t="shared" ref="AS182:AS187" si="204">AJ182*3+0.25*AK182</f>
        <v>0.25</v>
      </c>
      <c r="AT182" s="33">
        <f t="shared" ref="AT182:AT187" si="205">SUM(AQ182:AS182)/4</f>
        <v>0.35035074999999999</v>
      </c>
      <c r="AU182" s="32">
        <f>10068.2*J182*POWER(10,-6)</f>
        <v>0.110649518</v>
      </c>
      <c r="AV182" s="33">
        <f t="shared" ref="AV182:AV187" si="206">AU182+AT182+AS182+AR182+AQ182</f>
        <v>1.862403268</v>
      </c>
      <c r="AW182" s="34">
        <f t="shared" ref="AW182:AW187" si="207">AJ182*H182</f>
        <v>0</v>
      </c>
      <c r="AX182" s="34">
        <f t="shared" ref="AX182:AX187" si="208">H182*AK182</f>
        <v>1.3859999999999999E-5</v>
      </c>
      <c r="AY182" s="34">
        <f t="shared" ref="AY182:AY187" si="209">H182*AV182</f>
        <v>2.5812909294479999E-5</v>
      </c>
      <c r="AZ182" s="289">
        <f>AW182/[1]DB!$B$23</f>
        <v>0</v>
      </c>
      <c r="BA182" s="289">
        <f>AX182/[1]DB!$B$23</f>
        <v>1.669879518072289E-8</v>
      </c>
    </row>
    <row r="183" spans="1:53" ht="15" thickBot="1" x14ac:dyDescent="0.35">
      <c r="A183" s="8" t="s">
        <v>719</v>
      </c>
      <c r="B183" s="8" t="str">
        <f>B182</f>
        <v>Трубопровод сырой нефти от РВС № 4н, 3н до фильтра  насосов внутренней перекачки, нефть</v>
      </c>
      <c r="C183" s="78" t="s">
        <v>107</v>
      </c>
      <c r="D183" s="9" t="s">
        <v>28</v>
      </c>
      <c r="E183" s="66">
        <f>E182</f>
        <v>2.9999999999999999E-7</v>
      </c>
      <c r="F183" s="67">
        <f>F182</f>
        <v>231</v>
      </c>
      <c r="G183" s="8">
        <v>0.04</v>
      </c>
      <c r="H183" s="10">
        <f t="shared" si="199"/>
        <v>2.7719999999999995E-6</v>
      </c>
      <c r="I183" s="61">
        <f>I182</f>
        <v>10.99</v>
      </c>
      <c r="J183" s="274">
        <f>POWER(10,-6)*35*SQRT(100)*3600*L182/1000*0.1</f>
        <v>2.7694799999999999E-2</v>
      </c>
      <c r="K183" s="71" t="s">
        <v>123</v>
      </c>
      <c r="L183" s="76">
        <v>0</v>
      </c>
      <c r="M183" s="31" t="str">
        <f t="shared" si="200"/>
        <v>C128</v>
      </c>
      <c r="N183" s="31" t="str">
        <f t="shared" si="201"/>
        <v>Трубопровод сырой нефти от РВС № 4н, 3н до фильтра  насосов внутренней перекачки, нефть</v>
      </c>
      <c r="O183" s="31" t="str">
        <f t="shared" si="202"/>
        <v>Полное-взрыв</v>
      </c>
      <c r="P183" s="31" t="s">
        <v>46</v>
      </c>
      <c r="Q183" s="31" t="s">
        <v>46</v>
      </c>
      <c r="R183" s="31" t="s">
        <v>46</v>
      </c>
      <c r="S183" s="31" t="s">
        <v>46</v>
      </c>
      <c r="T183" s="31">
        <v>0</v>
      </c>
      <c r="U183" s="31">
        <v>0</v>
      </c>
      <c r="V183" s="31">
        <v>23.1</v>
      </c>
      <c r="W183" s="31">
        <v>76.599999999999994</v>
      </c>
      <c r="X183" s="31">
        <v>111.6</v>
      </c>
      <c r="Y183" s="31" t="s">
        <v>46</v>
      </c>
      <c r="Z183" s="31" t="s">
        <v>46</v>
      </c>
      <c r="AA183" s="31" t="s">
        <v>46</v>
      </c>
      <c r="AB183" s="31" t="s">
        <v>46</v>
      </c>
      <c r="AC183" s="31" t="s">
        <v>46</v>
      </c>
      <c r="AD183" s="31" t="s">
        <v>46</v>
      </c>
      <c r="AE183" s="31" t="s">
        <v>46</v>
      </c>
      <c r="AF183" s="31" t="s">
        <v>46</v>
      </c>
      <c r="AG183" s="31" t="s">
        <v>46</v>
      </c>
      <c r="AH183" s="31" t="s">
        <v>46</v>
      </c>
      <c r="AI183" s="31" t="s">
        <v>46</v>
      </c>
      <c r="AJ183" s="12">
        <v>0</v>
      </c>
      <c r="AK183" s="12">
        <v>1</v>
      </c>
      <c r="AL183" s="31">
        <f>AL182</f>
        <v>0.75</v>
      </c>
      <c r="AM183" s="31">
        <f>AM182</f>
        <v>2.7E-2</v>
      </c>
      <c r="AN183" s="31">
        <f>AN182</f>
        <v>3</v>
      </c>
      <c r="AO183" s="31"/>
      <c r="AP183" s="31"/>
      <c r="AQ183" s="32">
        <f>AM183*I183+AL183</f>
        <v>1.0467299999999999</v>
      </c>
      <c r="AR183" s="32">
        <f t="shared" si="203"/>
        <v>0.104673</v>
      </c>
      <c r="AS183" s="33">
        <f t="shared" si="204"/>
        <v>0.25</v>
      </c>
      <c r="AT183" s="33">
        <f t="shared" si="205"/>
        <v>0.35035074999999999</v>
      </c>
      <c r="AU183" s="32">
        <f>10068.2*J183*POWER(10,-6)*10</f>
        <v>2.7883678535999996E-3</v>
      </c>
      <c r="AV183" s="33">
        <f t="shared" si="206"/>
        <v>1.7545421178536</v>
      </c>
      <c r="AW183" s="34">
        <f t="shared" si="207"/>
        <v>0</v>
      </c>
      <c r="AX183" s="34">
        <f t="shared" si="208"/>
        <v>2.7719999999999995E-6</v>
      </c>
      <c r="AY183" s="34">
        <f t="shared" si="209"/>
        <v>4.8635907506901786E-6</v>
      </c>
      <c r="AZ183" s="289">
        <f>AW183/[1]DB!$B$23</f>
        <v>0</v>
      </c>
      <c r="BA183" s="289">
        <f>AX183/[1]DB!$B$23</f>
        <v>3.3397590361445777E-9</v>
      </c>
    </row>
    <row r="184" spans="1:53" x14ac:dyDescent="0.3">
      <c r="A184" s="8" t="s">
        <v>802</v>
      </c>
      <c r="B184" s="8" t="str">
        <f>B182</f>
        <v>Трубопровод сырой нефти от РВС № 4н, 3н до фильтра  насосов внутренней перекачки, нефть</v>
      </c>
      <c r="C184" s="78" t="s">
        <v>108</v>
      </c>
      <c r="D184" s="9" t="s">
        <v>26</v>
      </c>
      <c r="E184" s="66">
        <f>E182</f>
        <v>2.9999999999999999E-7</v>
      </c>
      <c r="F184" s="67">
        <f>F182</f>
        <v>231</v>
      </c>
      <c r="G184" s="8">
        <v>0.76</v>
      </c>
      <c r="H184" s="10">
        <f t="shared" si="199"/>
        <v>5.2667999999999991E-5</v>
      </c>
      <c r="I184" s="61">
        <f>I182</f>
        <v>10.99</v>
      </c>
      <c r="J184" s="70">
        <v>0</v>
      </c>
      <c r="K184" s="71" t="s">
        <v>124</v>
      </c>
      <c r="L184" s="76">
        <v>0</v>
      </c>
      <c r="M184" s="31" t="str">
        <f t="shared" si="200"/>
        <v>C129</v>
      </c>
      <c r="N184" s="31" t="str">
        <f t="shared" si="201"/>
        <v>Трубопровод сырой нефти от РВС № 4н, 3н до фильтра  насосов внутренней перекачки, нефть</v>
      </c>
      <c r="O184" s="31" t="str">
        <f t="shared" si="202"/>
        <v>Полное-ликвидация</v>
      </c>
      <c r="P184" s="31" t="s">
        <v>46</v>
      </c>
      <c r="Q184" s="31" t="s">
        <v>46</v>
      </c>
      <c r="R184" s="31" t="s">
        <v>46</v>
      </c>
      <c r="S184" s="31" t="s">
        <v>46</v>
      </c>
      <c r="T184" s="31" t="s">
        <v>46</v>
      </c>
      <c r="U184" s="31" t="s">
        <v>46</v>
      </c>
      <c r="V184" s="31" t="s">
        <v>46</v>
      </c>
      <c r="W184" s="31" t="s">
        <v>46</v>
      </c>
      <c r="X184" s="31" t="s">
        <v>46</v>
      </c>
      <c r="Y184" s="31" t="s">
        <v>46</v>
      </c>
      <c r="Z184" s="31" t="s">
        <v>46</v>
      </c>
      <c r="AA184" s="31" t="s">
        <v>46</v>
      </c>
      <c r="AB184" s="31" t="s">
        <v>46</v>
      </c>
      <c r="AC184" s="31" t="s">
        <v>46</v>
      </c>
      <c r="AD184" s="31" t="s">
        <v>46</v>
      </c>
      <c r="AE184" s="31" t="s">
        <v>46</v>
      </c>
      <c r="AF184" s="31" t="s">
        <v>46</v>
      </c>
      <c r="AG184" s="31" t="s">
        <v>46</v>
      </c>
      <c r="AH184" s="31" t="s">
        <v>46</v>
      </c>
      <c r="AI184" s="31" t="s">
        <v>46</v>
      </c>
      <c r="AJ184" s="31">
        <v>0</v>
      </c>
      <c r="AK184" s="31">
        <v>0</v>
      </c>
      <c r="AL184" s="31">
        <f>AL182</f>
        <v>0.75</v>
      </c>
      <c r="AM184" s="31">
        <f>AM182</f>
        <v>2.7E-2</v>
      </c>
      <c r="AN184" s="31">
        <f>AN182</f>
        <v>3</v>
      </c>
      <c r="AO184" s="31"/>
      <c r="AP184" s="31"/>
      <c r="AQ184" s="32">
        <f>AM184*I184*0.1+AL184</f>
        <v>0.77967299999999995</v>
      </c>
      <c r="AR184" s="32">
        <f t="shared" si="203"/>
        <v>7.7967300000000003E-2</v>
      </c>
      <c r="AS184" s="33">
        <f t="shared" si="204"/>
        <v>0</v>
      </c>
      <c r="AT184" s="33">
        <f t="shared" si="205"/>
        <v>0.21441007499999998</v>
      </c>
      <c r="AU184" s="32">
        <f>1333*J183*POWER(10,-6)</f>
        <v>3.6917168399999998E-5</v>
      </c>
      <c r="AV184" s="33">
        <f t="shared" si="206"/>
        <v>1.0720872921683999</v>
      </c>
      <c r="AW184" s="34">
        <f t="shared" si="207"/>
        <v>0</v>
      </c>
      <c r="AX184" s="34">
        <f t="shared" si="208"/>
        <v>0</v>
      </c>
      <c r="AY184" s="34">
        <f t="shared" si="209"/>
        <v>5.646469350392528E-5</v>
      </c>
      <c r="AZ184" s="289">
        <f>AW184/[1]DB!$B$23</f>
        <v>0</v>
      </c>
      <c r="BA184" s="289">
        <f>AX184/[1]DB!$B$23</f>
        <v>0</v>
      </c>
    </row>
    <row r="185" spans="1:53" x14ac:dyDescent="0.3">
      <c r="A185" s="8" t="s">
        <v>803</v>
      </c>
      <c r="B185" s="8" t="str">
        <f>B182</f>
        <v>Трубопровод сырой нефти от РВС № 4н, 3н до фильтра  насосов внутренней перекачки, нефть</v>
      </c>
      <c r="C185" s="78" t="s">
        <v>109</v>
      </c>
      <c r="D185" s="9" t="s">
        <v>47</v>
      </c>
      <c r="E185" s="65">
        <v>1.9999999999999999E-6</v>
      </c>
      <c r="F185" s="67">
        <f>F182</f>
        <v>231</v>
      </c>
      <c r="G185" s="8">
        <v>0.2</v>
      </c>
      <c r="H185" s="10">
        <f t="shared" si="199"/>
        <v>9.2399999999999996E-5</v>
      </c>
      <c r="I185" s="61">
        <f>0.15*I182</f>
        <v>1.6485000000000001</v>
      </c>
      <c r="J185" s="68">
        <f>I185</f>
        <v>1.6485000000000001</v>
      </c>
      <c r="K185" s="73" t="s">
        <v>126</v>
      </c>
      <c r="L185" s="77">
        <v>45390</v>
      </c>
      <c r="M185" s="31" t="str">
        <f t="shared" si="200"/>
        <v>C130</v>
      </c>
      <c r="N185" s="31" t="str">
        <f t="shared" si="201"/>
        <v>Трубопровод сырой нефти от РВС № 4н, 3н до фильтра  насосов внутренней перекачки, нефть</v>
      </c>
      <c r="O185" s="31" t="str">
        <f t="shared" si="202"/>
        <v>Частичное-пожар</v>
      </c>
      <c r="P185" s="31">
        <v>4.8</v>
      </c>
      <c r="Q185" s="31">
        <v>7</v>
      </c>
      <c r="R185" s="31">
        <v>10.3</v>
      </c>
      <c r="S185" s="31">
        <v>19.3</v>
      </c>
      <c r="T185" s="31" t="s">
        <v>46</v>
      </c>
      <c r="U185" s="31" t="s">
        <v>46</v>
      </c>
      <c r="V185" s="31" t="s">
        <v>46</v>
      </c>
      <c r="W185" s="31" t="s">
        <v>46</v>
      </c>
      <c r="X185" s="31" t="s">
        <v>46</v>
      </c>
      <c r="Y185" s="31" t="s">
        <v>46</v>
      </c>
      <c r="Z185" s="31" t="s">
        <v>46</v>
      </c>
      <c r="AA185" s="31" t="s">
        <v>46</v>
      </c>
      <c r="AB185" s="31" t="s">
        <v>46</v>
      </c>
      <c r="AC185" s="31" t="s">
        <v>46</v>
      </c>
      <c r="AD185" s="31" t="s">
        <v>46</v>
      </c>
      <c r="AE185" s="31" t="s">
        <v>46</v>
      </c>
      <c r="AF185" s="31" t="s">
        <v>46</v>
      </c>
      <c r="AG185" s="31" t="s">
        <v>46</v>
      </c>
      <c r="AH185" s="31" t="s">
        <v>46</v>
      </c>
      <c r="AI185" s="31" t="s">
        <v>46</v>
      </c>
      <c r="AJ185" s="31">
        <v>0</v>
      </c>
      <c r="AK185" s="31">
        <v>1</v>
      </c>
      <c r="AL185" s="31">
        <f>0.1*$AL$2</f>
        <v>7.5000000000000011E-2</v>
      </c>
      <c r="AM185" s="31">
        <f>AM182</f>
        <v>2.7E-2</v>
      </c>
      <c r="AN185" s="31">
        <f>ROUNDUP(AN182/3,0)</f>
        <v>1</v>
      </c>
      <c r="AO185" s="31"/>
      <c r="AP185" s="31"/>
      <c r="AQ185" s="32">
        <f>AM185*I185+AL185</f>
        <v>0.11950950000000002</v>
      </c>
      <c r="AR185" s="32">
        <f t="shared" si="203"/>
        <v>1.1950950000000002E-2</v>
      </c>
      <c r="AS185" s="33">
        <f t="shared" si="204"/>
        <v>0.25</v>
      </c>
      <c r="AT185" s="33">
        <f t="shared" si="205"/>
        <v>9.5365112500000002E-2</v>
      </c>
      <c r="AU185" s="32">
        <f>10068.2*J185*POWER(10,-6)</f>
        <v>1.65974277E-2</v>
      </c>
      <c r="AV185" s="33">
        <f t="shared" si="206"/>
        <v>0.49342299020000002</v>
      </c>
      <c r="AW185" s="34">
        <f t="shared" si="207"/>
        <v>0</v>
      </c>
      <c r="AX185" s="34">
        <f t="shared" si="208"/>
        <v>9.2399999999999996E-5</v>
      </c>
      <c r="AY185" s="34">
        <f t="shared" si="209"/>
        <v>4.559228429448E-5</v>
      </c>
      <c r="AZ185" s="289">
        <f>AW185/[1]DB!$B$23</f>
        <v>0</v>
      </c>
      <c r="BA185" s="289">
        <f>AX185/[1]DB!$B$23</f>
        <v>1.1132530120481927E-7</v>
      </c>
    </row>
    <row r="186" spans="1:53" x14ac:dyDescent="0.3">
      <c r="A186" s="8" t="s">
        <v>804</v>
      </c>
      <c r="B186" s="8" t="str">
        <f>B182</f>
        <v>Трубопровод сырой нефти от РВС № 4н, 3н до фильтра  насосов внутренней перекачки, нефть</v>
      </c>
      <c r="C186" s="78" t="s">
        <v>110</v>
      </c>
      <c r="D186" s="9" t="s">
        <v>112</v>
      </c>
      <c r="E186" s="66">
        <f>E185</f>
        <v>1.9999999999999999E-6</v>
      </c>
      <c r="F186" s="67">
        <f>F182</f>
        <v>231</v>
      </c>
      <c r="G186" s="8">
        <v>0.04</v>
      </c>
      <c r="H186" s="10">
        <f t="shared" si="199"/>
        <v>1.8479999999999999E-5</v>
      </c>
      <c r="I186" s="61">
        <f>0.15*I182</f>
        <v>1.6485000000000001</v>
      </c>
      <c r="J186" s="68">
        <f>0.9*J183</f>
        <v>2.4925320000000001E-2</v>
      </c>
      <c r="K186" s="73" t="s">
        <v>127</v>
      </c>
      <c r="L186" s="77">
        <v>3</v>
      </c>
      <c r="M186" s="31" t="str">
        <f t="shared" si="200"/>
        <v>C131</v>
      </c>
      <c r="N186" s="31" t="str">
        <f t="shared" si="201"/>
        <v>Трубопровод сырой нефти от РВС № 4н, 3н до фильтра  насосов внутренней перекачки, нефть</v>
      </c>
      <c r="O186" s="31" t="str">
        <f t="shared" si="202"/>
        <v>Частичное-пожар-вспышка</v>
      </c>
      <c r="P186" s="31" t="s">
        <v>46</v>
      </c>
      <c r="Q186" s="31" t="s">
        <v>46</v>
      </c>
      <c r="R186" s="31" t="s">
        <v>46</v>
      </c>
      <c r="S186" s="31" t="s">
        <v>46</v>
      </c>
      <c r="T186" s="31" t="s">
        <v>46</v>
      </c>
      <c r="U186" s="31" t="s">
        <v>46</v>
      </c>
      <c r="V186" s="31" t="s">
        <v>46</v>
      </c>
      <c r="W186" s="31" t="s">
        <v>46</v>
      </c>
      <c r="X186" s="31" t="s">
        <v>46</v>
      </c>
      <c r="Y186" s="31" t="s">
        <v>46</v>
      </c>
      <c r="Z186" s="31" t="s">
        <v>46</v>
      </c>
      <c r="AA186" s="31">
        <v>9.91</v>
      </c>
      <c r="AB186" s="31">
        <v>11.89</v>
      </c>
      <c r="AC186" s="31" t="s">
        <v>46</v>
      </c>
      <c r="AD186" s="31" t="s">
        <v>46</v>
      </c>
      <c r="AE186" s="31" t="s">
        <v>46</v>
      </c>
      <c r="AF186" s="31" t="s">
        <v>46</v>
      </c>
      <c r="AG186" s="31" t="s">
        <v>46</v>
      </c>
      <c r="AH186" s="31" t="s">
        <v>46</v>
      </c>
      <c r="AI186" s="31" t="s">
        <v>46</v>
      </c>
      <c r="AJ186" s="31">
        <v>0</v>
      </c>
      <c r="AK186" s="31">
        <v>1</v>
      </c>
      <c r="AL186" s="31">
        <f>0.1*$AL$2</f>
        <v>7.5000000000000011E-2</v>
      </c>
      <c r="AM186" s="31">
        <f>AM182</f>
        <v>2.7E-2</v>
      </c>
      <c r="AN186" s="31">
        <f>ROUNDUP(AN182/3,0)</f>
        <v>1</v>
      </c>
      <c r="AO186" s="31"/>
      <c r="AP186" s="31"/>
      <c r="AQ186" s="32">
        <f>AM186*I186+AL186</f>
        <v>0.11950950000000002</v>
      </c>
      <c r="AR186" s="32">
        <f t="shared" si="203"/>
        <v>1.1950950000000002E-2</v>
      </c>
      <c r="AS186" s="33">
        <f t="shared" si="204"/>
        <v>0.25</v>
      </c>
      <c r="AT186" s="33">
        <f t="shared" si="205"/>
        <v>9.5365112500000002E-2</v>
      </c>
      <c r="AU186" s="32">
        <f>10068.2*J186*POWER(10,-6)*10</f>
        <v>2.5095310682400002E-3</v>
      </c>
      <c r="AV186" s="33">
        <f t="shared" si="206"/>
        <v>0.47933509356824</v>
      </c>
      <c r="AW186" s="34">
        <f t="shared" si="207"/>
        <v>0</v>
      </c>
      <c r="AX186" s="34">
        <f t="shared" si="208"/>
        <v>1.8479999999999999E-5</v>
      </c>
      <c r="AY186" s="34">
        <f t="shared" si="209"/>
        <v>8.8581125291410742E-6</v>
      </c>
      <c r="AZ186" s="289">
        <f>AW186/[1]DB!$B$23</f>
        <v>0</v>
      </c>
      <c r="BA186" s="289">
        <f>AX186/[1]DB!$B$23</f>
        <v>2.2265060240963854E-8</v>
      </c>
    </row>
    <row r="187" spans="1:53" x14ac:dyDescent="0.3">
      <c r="A187" s="169" t="s">
        <v>805</v>
      </c>
      <c r="B187" s="169" t="str">
        <f>B182</f>
        <v>Трубопровод сырой нефти от РВС № 4н, 3н до фильтра  насосов внутренней перекачки, нефть</v>
      </c>
      <c r="C187" s="170" t="s">
        <v>111</v>
      </c>
      <c r="D187" s="171" t="s">
        <v>27</v>
      </c>
      <c r="E187" s="172">
        <f>E185</f>
        <v>1.9999999999999999E-6</v>
      </c>
      <c r="F187" s="173">
        <f>F182</f>
        <v>231</v>
      </c>
      <c r="G187" s="169">
        <v>0.76</v>
      </c>
      <c r="H187" s="174">
        <f t="shared" si="199"/>
        <v>3.5111999999999996E-4</v>
      </c>
      <c r="I187" s="175">
        <f>0.15*I182</f>
        <v>1.6485000000000001</v>
      </c>
      <c r="J187" s="176">
        <v>0</v>
      </c>
      <c r="K187" s="177" t="s">
        <v>138</v>
      </c>
      <c r="L187" s="178">
        <v>1</v>
      </c>
      <c r="M187" s="31" t="str">
        <f t="shared" si="200"/>
        <v>C132</v>
      </c>
      <c r="N187" s="31" t="str">
        <f t="shared" si="201"/>
        <v>Трубопровод сырой нефти от РВС № 4н, 3н до фильтра  насосов внутренней перекачки, нефть</v>
      </c>
      <c r="O187" s="31" t="str">
        <f t="shared" si="202"/>
        <v>Частичное-ликвидация</v>
      </c>
      <c r="P187" s="31" t="s">
        <v>46</v>
      </c>
      <c r="Q187" s="31" t="s">
        <v>46</v>
      </c>
      <c r="R187" s="31" t="s">
        <v>46</v>
      </c>
      <c r="S187" s="31" t="s">
        <v>46</v>
      </c>
      <c r="T187" s="31" t="s">
        <v>46</v>
      </c>
      <c r="U187" s="31" t="s">
        <v>46</v>
      </c>
      <c r="V187" s="31" t="s">
        <v>46</v>
      </c>
      <c r="W187" s="31" t="s">
        <v>46</v>
      </c>
      <c r="X187" s="31" t="s">
        <v>46</v>
      </c>
      <c r="Y187" s="31" t="s">
        <v>46</v>
      </c>
      <c r="Z187" s="31" t="s">
        <v>46</v>
      </c>
      <c r="AA187" s="31" t="s">
        <v>46</v>
      </c>
      <c r="AB187" s="31" t="s">
        <v>46</v>
      </c>
      <c r="AC187" s="31" t="s">
        <v>46</v>
      </c>
      <c r="AD187" s="31" t="s">
        <v>46</v>
      </c>
      <c r="AE187" s="31" t="s">
        <v>46</v>
      </c>
      <c r="AF187" s="31" t="s">
        <v>46</v>
      </c>
      <c r="AG187" s="31" t="s">
        <v>46</v>
      </c>
      <c r="AH187" s="31" t="s">
        <v>46</v>
      </c>
      <c r="AI187" s="31" t="s">
        <v>46</v>
      </c>
      <c r="AJ187" s="31">
        <v>0</v>
      </c>
      <c r="AK187" s="31">
        <v>0</v>
      </c>
      <c r="AL187" s="31">
        <f>0.1*$AL$2</f>
        <v>7.5000000000000011E-2</v>
      </c>
      <c r="AM187" s="31">
        <f>AM182</f>
        <v>2.7E-2</v>
      </c>
      <c r="AN187" s="31">
        <f>ROUNDUP(AN182/3,0)</f>
        <v>1</v>
      </c>
      <c r="AO187" s="31"/>
      <c r="AP187" s="31"/>
      <c r="AQ187" s="32">
        <f>AM187*I187*0.1+AL187</f>
        <v>7.9450950000000006E-2</v>
      </c>
      <c r="AR187" s="32">
        <f t="shared" si="203"/>
        <v>7.945095000000001E-3</v>
      </c>
      <c r="AS187" s="33">
        <f t="shared" si="204"/>
        <v>0</v>
      </c>
      <c r="AT187" s="33">
        <f t="shared" si="205"/>
        <v>2.1849011250000001E-2</v>
      </c>
      <c r="AU187" s="32">
        <f>1333*J186*POWER(10,-6)</f>
        <v>3.3225451559999999E-5</v>
      </c>
      <c r="AV187" s="33">
        <f t="shared" si="206"/>
        <v>0.10927828170156001</v>
      </c>
      <c r="AW187" s="34">
        <f t="shared" si="207"/>
        <v>0</v>
      </c>
      <c r="AX187" s="34">
        <f t="shared" si="208"/>
        <v>0</v>
      </c>
      <c r="AY187" s="34">
        <f t="shared" si="209"/>
        <v>3.8369790271051748E-5</v>
      </c>
      <c r="AZ187" s="289">
        <f>AW187/[1]DB!$B$23</f>
        <v>0</v>
      </c>
      <c r="BA187" s="289">
        <f>AX187/[1]DB!$B$23</f>
        <v>0</v>
      </c>
    </row>
    <row r="188" spans="1:53" s="179" customFormat="1" x14ac:dyDescent="0.3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288" t="s">
        <v>466</v>
      </c>
      <c r="L188" s="287" t="s">
        <v>642</v>
      </c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</row>
    <row r="189" spans="1:53" s="179" customFormat="1" x14ac:dyDescent="0.3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</row>
    <row r="190" spans="1:53" s="179" customFormat="1" x14ac:dyDescent="0.3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</row>
    <row r="191" spans="1:53" ht="15" thickBot="1" x14ac:dyDescent="0.35"/>
    <row r="192" spans="1:53" s="139" customFormat="1" ht="18" customHeight="1" x14ac:dyDescent="0.3">
      <c r="A192" s="130" t="s">
        <v>806</v>
      </c>
      <c r="B192" s="131" t="s">
        <v>690</v>
      </c>
      <c r="C192" s="13" t="s">
        <v>129</v>
      </c>
      <c r="D192" s="132" t="s">
        <v>243</v>
      </c>
      <c r="E192" s="133">
        <v>9.9999999999999995E-7</v>
      </c>
      <c r="F192" s="131">
        <v>2</v>
      </c>
      <c r="G192" s="130">
        <v>0.2</v>
      </c>
      <c r="H192" s="134">
        <f>E192*F192*G192</f>
        <v>3.9999999999999998E-7</v>
      </c>
      <c r="I192" s="135">
        <v>0.1</v>
      </c>
      <c r="J192" s="136">
        <f>I192</f>
        <v>0.1</v>
      </c>
      <c r="K192" s="137" t="s">
        <v>122</v>
      </c>
      <c r="L192" s="138">
        <v>0</v>
      </c>
      <c r="M192" s="139" t="str">
        <f t="shared" ref="M192:N199" si="210">A192</f>
        <v>C133</v>
      </c>
      <c r="N192" s="139" t="str">
        <f t="shared" si="210"/>
        <v>Сепаратор С-1,2, попутный нефтяной газ</v>
      </c>
      <c r="O192" s="139" t="str">
        <f t="shared" ref="O192:O199" si="211">D192</f>
        <v>Полное-факельное горение</v>
      </c>
      <c r="P192" s="139" t="s">
        <v>46</v>
      </c>
      <c r="Q192" s="139" t="s">
        <v>46</v>
      </c>
      <c r="R192" s="139" t="s">
        <v>46</v>
      </c>
      <c r="S192" s="139" t="s">
        <v>46</v>
      </c>
      <c r="T192" s="139" t="s">
        <v>46</v>
      </c>
      <c r="U192" s="139" t="s">
        <v>46</v>
      </c>
      <c r="V192" s="139" t="s">
        <v>46</v>
      </c>
      <c r="W192" s="139" t="s">
        <v>46</v>
      </c>
      <c r="X192" s="139" t="s">
        <v>46</v>
      </c>
      <c r="Y192" s="139">
        <v>44</v>
      </c>
      <c r="Z192" s="139">
        <v>7</v>
      </c>
      <c r="AA192" s="139" t="s">
        <v>46</v>
      </c>
      <c r="AB192" s="139" t="s">
        <v>46</v>
      </c>
      <c r="AC192" s="139" t="s">
        <v>46</v>
      </c>
      <c r="AD192" s="139" t="s">
        <v>46</v>
      </c>
      <c r="AE192" s="139" t="s">
        <v>46</v>
      </c>
      <c r="AF192" s="139" t="s">
        <v>46</v>
      </c>
      <c r="AG192" s="139" t="s">
        <v>46</v>
      </c>
      <c r="AH192" s="139" t="s">
        <v>46</v>
      </c>
      <c r="AI192" s="139" t="s">
        <v>46</v>
      </c>
      <c r="AJ192" s="140">
        <v>1</v>
      </c>
      <c r="AK192" s="140">
        <v>2</v>
      </c>
      <c r="AL192" s="141">
        <v>0.75</v>
      </c>
      <c r="AM192" s="141">
        <v>2.7E-2</v>
      </c>
      <c r="AN192" s="141">
        <v>3</v>
      </c>
      <c r="AQ192" s="142">
        <f>AM192*I192+AL192</f>
        <v>0.75270000000000004</v>
      </c>
      <c r="AR192" s="142">
        <f>0.1*AQ192</f>
        <v>7.5270000000000004E-2</v>
      </c>
      <c r="AS192" s="143">
        <f>AJ192*3+0.25*AK192</f>
        <v>3.5</v>
      </c>
      <c r="AT192" s="143">
        <f>SUM(AQ192:AS192)/4</f>
        <v>1.0819925000000001</v>
      </c>
      <c r="AU192" s="142">
        <f>10068.2*J192*POWER(10,-6)</f>
        <v>1.0068200000000001E-3</v>
      </c>
      <c r="AV192" s="143">
        <f t="shared" ref="AV192:AV199" si="212">AU192+AT192+AS192+AR192+AQ192</f>
        <v>5.4109693199999995</v>
      </c>
      <c r="AW192" s="144">
        <f>AJ192*H192</f>
        <v>3.9999999999999998E-7</v>
      </c>
      <c r="AX192" s="144">
        <f>H192*AK192</f>
        <v>7.9999999999999996E-7</v>
      </c>
      <c r="AY192" s="144">
        <f>H192*AV192</f>
        <v>2.1643877279999995E-6</v>
      </c>
      <c r="AZ192" s="289">
        <f>AW192/[1]DB!$B$23</f>
        <v>4.8192771084337344E-10</v>
      </c>
      <c r="BA192" s="289">
        <f>AX192/[1]DB!$B$23</f>
        <v>9.6385542168674688E-10</v>
      </c>
    </row>
    <row r="193" spans="1:53" s="139" customFormat="1" x14ac:dyDescent="0.3">
      <c r="A193" s="130" t="s">
        <v>807</v>
      </c>
      <c r="B193" s="130" t="str">
        <f>B192</f>
        <v>Сепаратор С-1,2, попутный нефтяной газ</v>
      </c>
      <c r="C193" s="13" t="s">
        <v>107</v>
      </c>
      <c r="D193" s="132" t="s">
        <v>28</v>
      </c>
      <c r="E193" s="145">
        <f>E192</f>
        <v>9.9999999999999995E-7</v>
      </c>
      <c r="F193" s="146">
        <f>F192</f>
        <v>2</v>
      </c>
      <c r="G193" s="130">
        <v>0.1152</v>
      </c>
      <c r="H193" s="134">
        <f t="shared" ref="H193:H199" si="213">E193*F193*G193</f>
        <v>2.3039999999999997E-7</v>
      </c>
      <c r="I193" s="147">
        <f>I192</f>
        <v>0.1</v>
      </c>
      <c r="J193" s="192">
        <f>0.1*I192</f>
        <v>1.0000000000000002E-2</v>
      </c>
      <c r="K193" s="148" t="s">
        <v>123</v>
      </c>
      <c r="L193" s="149">
        <v>0</v>
      </c>
      <c r="M193" s="139" t="str">
        <f t="shared" si="210"/>
        <v>C134</v>
      </c>
      <c r="N193" s="139" t="str">
        <f t="shared" si="210"/>
        <v>Сепаратор С-1,2, попутный нефтяной газ</v>
      </c>
      <c r="O193" s="139" t="str">
        <f t="shared" si="211"/>
        <v>Полное-взрыв</v>
      </c>
      <c r="P193" s="139" t="s">
        <v>46</v>
      </c>
      <c r="Q193" s="139" t="s">
        <v>46</v>
      </c>
      <c r="R193" s="139" t="s">
        <v>46</v>
      </c>
      <c r="S193" s="139" t="s">
        <v>46</v>
      </c>
      <c r="T193" s="139">
        <v>0</v>
      </c>
      <c r="U193" s="139">
        <v>0</v>
      </c>
      <c r="V193" s="139">
        <v>16.100000000000001</v>
      </c>
      <c r="W193" s="139">
        <v>54.6</v>
      </c>
      <c r="X193" s="139">
        <v>79.599999999999994</v>
      </c>
      <c r="Y193" s="139" t="s">
        <v>46</v>
      </c>
      <c r="Z193" s="139" t="s">
        <v>46</v>
      </c>
      <c r="AA193" s="139" t="s">
        <v>46</v>
      </c>
      <c r="AB193" s="139" t="s">
        <v>46</v>
      </c>
      <c r="AC193" s="139" t="s">
        <v>46</v>
      </c>
      <c r="AD193" s="139" t="s">
        <v>46</v>
      </c>
      <c r="AE193" s="139" t="s">
        <v>46</v>
      </c>
      <c r="AF193" s="139" t="s">
        <v>46</v>
      </c>
      <c r="AG193" s="139" t="s">
        <v>46</v>
      </c>
      <c r="AH193" s="139" t="s">
        <v>46</v>
      </c>
      <c r="AI193" s="139" t="s">
        <v>46</v>
      </c>
      <c r="AJ193" s="140">
        <v>1</v>
      </c>
      <c r="AK193" s="140">
        <v>2</v>
      </c>
      <c r="AL193" s="139">
        <f>AL192</f>
        <v>0.75</v>
      </c>
      <c r="AM193" s="139">
        <f>AM192</f>
        <v>2.7E-2</v>
      </c>
      <c r="AN193" s="139">
        <f>AN192</f>
        <v>3</v>
      </c>
      <c r="AQ193" s="142">
        <f>AM193*I193+AL193</f>
        <v>0.75270000000000004</v>
      </c>
      <c r="AR193" s="142">
        <f t="shared" ref="AR193:AR199" si="214">0.1*AQ193</f>
        <v>7.5270000000000004E-2</v>
      </c>
      <c r="AS193" s="143">
        <f t="shared" ref="AS193:AS199" si="215">AJ193*3+0.25*AK193</f>
        <v>3.5</v>
      </c>
      <c r="AT193" s="143">
        <f t="shared" ref="AT193:AT199" si="216">SUM(AQ193:AS193)/4</f>
        <v>1.0819925000000001</v>
      </c>
      <c r="AU193" s="142">
        <f>10068.2*J193*POWER(10,-6)*10</f>
        <v>1.0068200000000003E-3</v>
      </c>
      <c r="AV193" s="143">
        <f t="shared" si="212"/>
        <v>5.4109693199999995</v>
      </c>
      <c r="AW193" s="144">
        <f t="shared" ref="AW193:AW199" si="217">AJ193*H193</f>
        <v>2.3039999999999997E-7</v>
      </c>
      <c r="AX193" s="144">
        <f t="shared" ref="AX193:AX199" si="218">H193*AK193</f>
        <v>4.6079999999999994E-7</v>
      </c>
      <c r="AY193" s="144">
        <f t="shared" ref="AY193:AY199" si="219">H193*AV193</f>
        <v>1.2466873313279997E-6</v>
      </c>
      <c r="AZ193" s="289">
        <f>AW193/[1]DB!$B$23</f>
        <v>2.7759036144578311E-10</v>
      </c>
      <c r="BA193" s="289">
        <f>AX193/[1]DB!$B$23</f>
        <v>5.5518072289156621E-10</v>
      </c>
    </row>
    <row r="194" spans="1:53" s="139" customFormat="1" x14ac:dyDescent="0.3">
      <c r="A194" s="130" t="s">
        <v>808</v>
      </c>
      <c r="B194" s="130" t="str">
        <f>B192</f>
        <v>Сепаратор С-1,2, попутный нефтяной газ</v>
      </c>
      <c r="C194" s="13" t="s">
        <v>242</v>
      </c>
      <c r="D194" s="132" t="s">
        <v>241</v>
      </c>
      <c r="E194" s="145">
        <f>E192</f>
        <v>9.9999999999999995E-7</v>
      </c>
      <c r="F194" s="146">
        <f>F192</f>
        <v>2</v>
      </c>
      <c r="G194" s="130">
        <v>7.6799999999999993E-2</v>
      </c>
      <c r="H194" s="134">
        <f t="shared" si="213"/>
        <v>1.5359999999999997E-7</v>
      </c>
      <c r="I194" s="147">
        <f>I192</f>
        <v>0.1</v>
      </c>
      <c r="J194" s="136">
        <f>0.6*I192</f>
        <v>0.06</v>
      </c>
      <c r="K194" s="148" t="s">
        <v>124</v>
      </c>
      <c r="L194" s="149">
        <v>15</v>
      </c>
      <c r="M194" s="139" t="str">
        <f t="shared" si="210"/>
        <v>C135</v>
      </c>
      <c r="N194" s="139" t="str">
        <f t="shared" si="210"/>
        <v>Сепаратор С-1,2, попутный нефтяной газ</v>
      </c>
      <c r="O194" s="139" t="str">
        <f t="shared" si="211"/>
        <v>Полное-огненный шар</v>
      </c>
      <c r="P194" s="139" t="s">
        <v>46</v>
      </c>
      <c r="Q194" s="139" t="s">
        <v>46</v>
      </c>
      <c r="R194" s="139" t="s">
        <v>46</v>
      </c>
      <c r="S194" s="139" t="s">
        <v>46</v>
      </c>
      <c r="T194" s="139" t="s">
        <v>46</v>
      </c>
      <c r="U194" s="139" t="s">
        <v>46</v>
      </c>
      <c r="V194" s="139" t="s">
        <v>46</v>
      </c>
      <c r="W194" s="139" t="s">
        <v>46</v>
      </c>
      <c r="X194" s="139" t="s">
        <v>46</v>
      </c>
      <c r="Y194" s="139" t="s">
        <v>46</v>
      </c>
      <c r="Z194" s="139" t="s">
        <v>46</v>
      </c>
      <c r="AA194" s="139" t="s">
        <v>46</v>
      </c>
      <c r="AB194" s="139" t="s">
        <v>46</v>
      </c>
      <c r="AC194" s="139" t="s">
        <v>46</v>
      </c>
      <c r="AD194" s="139" t="s">
        <v>46</v>
      </c>
      <c r="AE194" s="139">
        <v>1</v>
      </c>
      <c r="AF194" s="139">
        <v>1</v>
      </c>
      <c r="AG194" s="139">
        <v>8.5</v>
      </c>
      <c r="AH194" s="139">
        <v>17.5</v>
      </c>
      <c r="AI194" s="139" t="s">
        <v>46</v>
      </c>
      <c r="AJ194" s="139">
        <v>0</v>
      </c>
      <c r="AK194" s="139">
        <v>0</v>
      </c>
      <c r="AL194" s="139">
        <f>AL192</f>
        <v>0.75</v>
      </c>
      <c r="AM194" s="139">
        <f>AM192</f>
        <v>2.7E-2</v>
      </c>
      <c r="AN194" s="139">
        <f>AN192</f>
        <v>3</v>
      </c>
      <c r="AQ194" s="142">
        <f>AM194*I194*0.1+AL194</f>
        <v>0.75026999999999999</v>
      </c>
      <c r="AR194" s="142">
        <f t="shared" si="214"/>
        <v>7.502700000000001E-2</v>
      </c>
      <c r="AS194" s="143">
        <f t="shared" si="215"/>
        <v>0</v>
      </c>
      <c r="AT194" s="143">
        <f t="shared" si="216"/>
        <v>0.20632424999999999</v>
      </c>
      <c r="AU194" s="142">
        <f>1333*J192*POWER(10,-6)</f>
        <v>1.3330000000000001E-4</v>
      </c>
      <c r="AV194" s="143">
        <f t="shared" si="212"/>
        <v>1.03175455</v>
      </c>
      <c r="AW194" s="144">
        <f t="shared" si="217"/>
        <v>0</v>
      </c>
      <c r="AX194" s="144">
        <f t="shared" si="218"/>
        <v>0</v>
      </c>
      <c r="AY194" s="144">
        <f t="shared" si="219"/>
        <v>1.5847749887999998E-7</v>
      </c>
      <c r="AZ194" s="289">
        <f>AW194/[1]DB!$B$23</f>
        <v>0</v>
      </c>
      <c r="BA194" s="289">
        <f>AX194/[1]DB!$B$23</f>
        <v>0</v>
      </c>
    </row>
    <row r="195" spans="1:53" s="139" customFormat="1" x14ac:dyDescent="0.3">
      <c r="A195" s="130" t="s">
        <v>809</v>
      </c>
      <c r="B195" s="130" t="str">
        <f>B192</f>
        <v>Сепаратор С-1,2, попутный нефтяной газ</v>
      </c>
      <c r="C195" s="13" t="s">
        <v>108</v>
      </c>
      <c r="D195" s="132" t="s">
        <v>26</v>
      </c>
      <c r="E195" s="145">
        <f>E192</f>
        <v>9.9999999999999995E-7</v>
      </c>
      <c r="F195" s="146">
        <f>F192</f>
        <v>2</v>
      </c>
      <c r="G195" s="130">
        <v>0.60799999999999998</v>
      </c>
      <c r="H195" s="134">
        <f t="shared" si="213"/>
        <v>1.2159999999999999E-6</v>
      </c>
      <c r="I195" s="147">
        <f>I192</f>
        <v>0.1</v>
      </c>
      <c r="J195" s="150">
        <v>0</v>
      </c>
      <c r="K195" s="148" t="s">
        <v>126</v>
      </c>
      <c r="L195" s="149">
        <v>45390</v>
      </c>
      <c r="M195" s="139" t="str">
        <f t="shared" si="210"/>
        <v>C136</v>
      </c>
      <c r="N195" s="139" t="str">
        <f t="shared" si="210"/>
        <v>Сепаратор С-1,2, попутный нефтяной газ</v>
      </c>
      <c r="O195" s="139" t="str">
        <f t="shared" si="211"/>
        <v>Полное-ликвидация</v>
      </c>
      <c r="P195" s="139" t="s">
        <v>46</v>
      </c>
      <c r="Q195" s="139" t="s">
        <v>46</v>
      </c>
      <c r="R195" s="139" t="s">
        <v>46</v>
      </c>
      <c r="S195" s="139" t="s">
        <v>46</v>
      </c>
      <c r="T195" s="139" t="s">
        <v>46</v>
      </c>
      <c r="U195" s="139" t="s">
        <v>46</v>
      </c>
      <c r="V195" s="139" t="s">
        <v>46</v>
      </c>
      <c r="W195" s="139" t="s">
        <v>46</v>
      </c>
      <c r="X195" s="139" t="s">
        <v>46</v>
      </c>
      <c r="Y195" s="139" t="s">
        <v>46</v>
      </c>
      <c r="Z195" s="139" t="s">
        <v>46</v>
      </c>
      <c r="AA195" s="139" t="s">
        <v>46</v>
      </c>
      <c r="AB195" s="139" t="s">
        <v>46</v>
      </c>
      <c r="AC195" s="139" t="s">
        <v>46</v>
      </c>
      <c r="AD195" s="139" t="s">
        <v>46</v>
      </c>
      <c r="AE195" s="139" t="s">
        <v>46</v>
      </c>
      <c r="AF195" s="139" t="s">
        <v>46</v>
      </c>
      <c r="AG195" s="139" t="s">
        <v>46</v>
      </c>
      <c r="AH195" s="139" t="s">
        <v>46</v>
      </c>
      <c r="AI195" s="139" t="s">
        <v>46</v>
      </c>
      <c r="AJ195" s="139">
        <v>0</v>
      </c>
      <c r="AK195" s="139">
        <v>0</v>
      </c>
      <c r="AL195" s="139">
        <f>AL192</f>
        <v>0.75</v>
      </c>
      <c r="AM195" s="139">
        <f>AM192</f>
        <v>2.7E-2</v>
      </c>
      <c r="AN195" s="139">
        <f>AN192</f>
        <v>3</v>
      </c>
      <c r="AQ195" s="142">
        <f>AM195*I195*0.1+AL195</f>
        <v>0.75026999999999999</v>
      </c>
      <c r="AR195" s="142">
        <f t="shared" si="214"/>
        <v>7.502700000000001E-2</v>
      </c>
      <c r="AS195" s="143">
        <f t="shared" si="215"/>
        <v>0</v>
      </c>
      <c r="AT195" s="143">
        <f t="shared" si="216"/>
        <v>0.20632424999999999</v>
      </c>
      <c r="AU195" s="142">
        <f>1333*J193*POWER(10,-6)</f>
        <v>1.3330000000000001E-5</v>
      </c>
      <c r="AV195" s="143">
        <f t="shared" si="212"/>
        <v>1.03163458</v>
      </c>
      <c r="AW195" s="144">
        <f t="shared" si="217"/>
        <v>0</v>
      </c>
      <c r="AX195" s="144">
        <f t="shared" si="218"/>
        <v>0</v>
      </c>
      <c r="AY195" s="144">
        <f t="shared" si="219"/>
        <v>1.2544676492799997E-6</v>
      </c>
      <c r="AZ195" s="289">
        <f>AW195/[1]DB!$B$23</f>
        <v>0</v>
      </c>
      <c r="BA195" s="289">
        <f>AX195/[1]DB!$B$23</f>
        <v>0</v>
      </c>
    </row>
    <row r="196" spans="1:53" s="139" customFormat="1" x14ac:dyDescent="0.3">
      <c r="A196" s="130" t="s">
        <v>810</v>
      </c>
      <c r="B196" s="130" t="str">
        <f>B192</f>
        <v>Сепаратор С-1,2, попутный нефтяной газ</v>
      </c>
      <c r="C196" s="13" t="s">
        <v>133</v>
      </c>
      <c r="D196" s="132" t="s">
        <v>134</v>
      </c>
      <c r="E196" s="133">
        <v>1.0000000000000001E-5</v>
      </c>
      <c r="F196" s="146">
        <f>F192</f>
        <v>2</v>
      </c>
      <c r="G196" s="130">
        <v>3.5000000000000003E-2</v>
      </c>
      <c r="H196" s="134">
        <f t="shared" si="213"/>
        <v>7.0000000000000007E-7</v>
      </c>
      <c r="I196" s="147">
        <f>0.15*I192</f>
        <v>1.4999999999999999E-2</v>
      </c>
      <c r="J196" s="136">
        <f>I196</f>
        <v>1.4999999999999999E-2</v>
      </c>
      <c r="K196" s="148" t="s">
        <v>127</v>
      </c>
      <c r="L196" s="149">
        <v>3</v>
      </c>
      <c r="M196" s="139" t="str">
        <f t="shared" si="210"/>
        <v>C137</v>
      </c>
      <c r="N196" s="139" t="str">
        <f t="shared" si="210"/>
        <v>Сепаратор С-1,2, попутный нефтяной газ</v>
      </c>
      <c r="O196" s="139" t="str">
        <f t="shared" si="211"/>
        <v>Частичное-факел</v>
      </c>
      <c r="P196" s="139" t="s">
        <v>46</v>
      </c>
      <c r="Q196" s="139" t="s">
        <v>46</v>
      </c>
      <c r="R196" s="139" t="s">
        <v>46</v>
      </c>
      <c r="S196" s="139" t="s">
        <v>46</v>
      </c>
      <c r="T196" s="139" t="s">
        <v>46</v>
      </c>
      <c r="U196" s="139" t="s">
        <v>46</v>
      </c>
      <c r="V196" s="139" t="s">
        <v>46</v>
      </c>
      <c r="W196" s="139" t="s">
        <v>46</v>
      </c>
      <c r="X196" s="139" t="s">
        <v>46</v>
      </c>
      <c r="Y196" s="139">
        <v>28</v>
      </c>
      <c r="Z196" s="139">
        <v>5</v>
      </c>
      <c r="AA196" s="139" t="s">
        <v>46</v>
      </c>
      <c r="AB196" s="139" t="s">
        <v>46</v>
      </c>
      <c r="AC196" s="139" t="s">
        <v>46</v>
      </c>
      <c r="AD196" s="139" t="s">
        <v>46</v>
      </c>
      <c r="AE196" s="139" t="s">
        <v>46</v>
      </c>
      <c r="AF196" s="139" t="s">
        <v>46</v>
      </c>
      <c r="AG196" s="139" t="s">
        <v>46</v>
      </c>
      <c r="AH196" s="139" t="s">
        <v>46</v>
      </c>
      <c r="AI196" s="139" t="s">
        <v>46</v>
      </c>
      <c r="AJ196" s="139">
        <v>0</v>
      </c>
      <c r="AK196" s="139">
        <v>2</v>
      </c>
      <c r="AL196" s="139">
        <f>0.1*$AL$2</f>
        <v>7.5000000000000011E-2</v>
      </c>
      <c r="AM196" s="139">
        <f>AM192</f>
        <v>2.7E-2</v>
      </c>
      <c r="AN196" s="139">
        <f>ROUNDUP(AN192/3,0)</f>
        <v>1</v>
      </c>
      <c r="AQ196" s="142">
        <f>AM196*I196+AL196</f>
        <v>7.5405000000000014E-2</v>
      </c>
      <c r="AR196" s="142">
        <f t="shared" si="214"/>
        <v>7.5405000000000021E-3</v>
      </c>
      <c r="AS196" s="143">
        <f t="shared" si="215"/>
        <v>0.5</v>
      </c>
      <c r="AT196" s="143">
        <f t="shared" si="216"/>
        <v>0.145736375</v>
      </c>
      <c r="AU196" s="142">
        <f>10068.2*J196*POWER(10,-6)</f>
        <v>1.5102299999999999E-4</v>
      </c>
      <c r="AV196" s="143">
        <f t="shared" si="212"/>
        <v>0.72883289799999995</v>
      </c>
      <c r="AW196" s="144">
        <f t="shared" si="217"/>
        <v>0</v>
      </c>
      <c r="AX196" s="144">
        <f t="shared" si="218"/>
        <v>1.4000000000000001E-6</v>
      </c>
      <c r="AY196" s="144">
        <f t="shared" si="219"/>
        <v>5.1018302859999998E-7</v>
      </c>
      <c r="AZ196" s="289">
        <f>AW196/[1]DB!$B$23</f>
        <v>0</v>
      </c>
      <c r="BA196" s="289">
        <f>AX196/[1]DB!$B$23</f>
        <v>1.6867469879518074E-9</v>
      </c>
    </row>
    <row r="197" spans="1:53" s="139" customFormat="1" x14ac:dyDescent="0.3">
      <c r="A197" s="130" t="s">
        <v>811</v>
      </c>
      <c r="B197" s="130" t="str">
        <f>B192</f>
        <v>Сепаратор С-1,2, попутный нефтяной газ</v>
      </c>
      <c r="C197" s="13" t="s">
        <v>135</v>
      </c>
      <c r="D197" s="132" t="s">
        <v>136</v>
      </c>
      <c r="E197" s="145">
        <f>E196</f>
        <v>1.0000000000000001E-5</v>
      </c>
      <c r="F197" s="146">
        <f t="shared" ref="F197:F198" si="220">F193</f>
        <v>2</v>
      </c>
      <c r="G197" s="130">
        <v>8.3000000000000001E-3</v>
      </c>
      <c r="H197" s="134">
        <f t="shared" si="213"/>
        <v>1.66E-7</v>
      </c>
      <c r="I197" s="147">
        <f>I196</f>
        <v>1.4999999999999999E-2</v>
      </c>
      <c r="J197" s="136">
        <v>0.01</v>
      </c>
      <c r="K197" s="151" t="s">
        <v>138</v>
      </c>
      <c r="L197" s="152">
        <v>19</v>
      </c>
      <c r="M197" s="139" t="str">
        <f t="shared" si="210"/>
        <v>C138</v>
      </c>
      <c r="N197" s="139" t="str">
        <f t="shared" si="210"/>
        <v>Сепаратор С-1,2, попутный нефтяной газ</v>
      </c>
      <c r="O197" s="139" t="str">
        <f t="shared" si="211"/>
        <v>Частичное-взрыв</v>
      </c>
      <c r="P197" s="139" t="s">
        <v>46</v>
      </c>
      <c r="Q197" s="139" t="s">
        <v>46</v>
      </c>
      <c r="R197" s="139" t="s">
        <v>46</v>
      </c>
      <c r="S197" s="139" t="s">
        <v>46</v>
      </c>
      <c r="T197" s="139">
        <v>0</v>
      </c>
      <c r="U197" s="139">
        <v>0</v>
      </c>
      <c r="V197" s="139">
        <v>16.100000000000001</v>
      </c>
      <c r="W197" s="139">
        <v>54.6</v>
      </c>
      <c r="X197" s="139">
        <v>79.599999999999994</v>
      </c>
      <c r="Y197" s="139" t="s">
        <v>46</v>
      </c>
      <c r="Z197" s="139" t="s">
        <v>46</v>
      </c>
      <c r="AA197" s="139" t="s">
        <v>46</v>
      </c>
      <c r="AB197" s="139" t="s">
        <v>46</v>
      </c>
      <c r="AC197" s="139" t="s">
        <v>46</v>
      </c>
      <c r="AD197" s="139" t="s">
        <v>46</v>
      </c>
      <c r="AE197" s="139" t="s">
        <v>46</v>
      </c>
      <c r="AF197" s="139" t="s">
        <v>46</v>
      </c>
      <c r="AG197" s="139" t="s">
        <v>46</v>
      </c>
      <c r="AH197" s="139" t="s">
        <v>46</v>
      </c>
      <c r="AI197" s="139" t="s">
        <v>46</v>
      </c>
      <c r="AJ197" s="139">
        <v>0</v>
      </c>
      <c r="AK197" s="139">
        <v>1</v>
      </c>
      <c r="AL197" s="139">
        <f>0.1*$AL$2</f>
        <v>7.5000000000000011E-2</v>
      </c>
      <c r="AM197" s="139">
        <f>AM192</f>
        <v>2.7E-2</v>
      </c>
      <c r="AN197" s="139">
        <f>AN196</f>
        <v>1</v>
      </c>
      <c r="AQ197" s="142">
        <f>AM197*I197+AL197</f>
        <v>7.5405000000000014E-2</v>
      </c>
      <c r="AR197" s="142">
        <f t="shared" si="214"/>
        <v>7.5405000000000021E-3</v>
      </c>
      <c r="AS197" s="143">
        <f t="shared" si="215"/>
        <v>0.25</v>
      </c>
      <c r="AT197" s="143">
        <f t="shared" si="216"/>
        <v>8.3236375000000001E-2</v>
      </c>
      <c r="AU197" s="142">
        <f>10068.2*J197*POWER(10,-6)*10</f>
        <v>1.0068200000000001E-3</v>
      </c>
      <c r="AV197" s="143">
        <f t="shared" si="212"/>
        <v>0.417188695</v>
      </c>
      <c r="AW197" s="144">
        <f t="shared" si="217"/>
        <v>0</v>
      </c>
      <c r="AX197" s="144">
        <f t="shared" si="218"/>
        <v>1.66E-7</v>
      </c>
      <c r="AY197" s="144">
        <f t="shared" si="219"/>
        <v>6.9253323370000004E-8</v>
      </c>
      <c r="AZ197" s="289">
        <f>AW197/[1]DB!$B$23</f>
        <v>0</v>
      </c>
      <c r="BA197" s="289">
        <f>AX197/[1]DB!$B$23</f>
        <v>2.0000000000000001E-10</v>
      </c>
    </row>
    <row r="198" spans="1:53" s="139" customFormat="1" x14ac:dyDescent="0.3">
      <c r="A198" s="130" t="s">
        <v>812</v>
      </c>
      <c r="B198" s="130" t="str">
        <f>B192</f>
        <v>Сепаратор С-1,2, попутный нефтяной газ</v>
      </c>
      <c r="C198" s="13" t="s">
        <v>110</v>
      </c>
      <c r="D198" s="132" t="s">
        <v>112</v>
      </c>
      <c r="E198" s="145">
        <f>E196</f>
        <v>1.0000000000000001E-5</v>
      </c>
      <c r="F198" s="146">
        <f t="shared" si="220"/>
        <v>2</v>
      </c>
      <c r="G198" s="130">
        <v>2.64E-2</v>
      </c>
      <c r="H198" s="134">
        <f t="shared" si="213"/>
        <v>5.2800000000000007E-7</v>
      </c>
      <c r="I198" s="147">
        <f>0.15*I192</f>
        <v>1.4999999999999999E-2</v>
      </c>
      <c r="J198" s="136">
        <f>J194*0.15</f>
        <v>8.9999999999999993E-3</v>
      </c>
      <c r="K198" s="334" t="s">
        <v>466</v>
      </c>
      <c r="L198" s="287" t="s">
        <v>639</v>
      </c>
      <c r="M198" s="139" t="str">
        <f t="shared" si="210"/>
        <v>C139</v>
      </c>
      <c r="N198" s="139" t="str">
        <f t="shared" si="210"/>
        <v>Сепаратор С-1,2, попутный нефтяной газ</v>
      </c>
      <c r="O198" s="139" t="str">
        <f t="shared" si="211"/>
        <v>Частичное-пожар-вспышка</v>
      </c>
      <c r="P198" s="139" t="s">
        <v>46</v>
      </c>
      <c r="Q198" s="139" t="s">
        <v>46</v>
      </c>
      <c r="R198" s="139" t="s">
        <v>46</v>
      </c>
      <c r="S198" s="139" t="s">
        <v>46</v>
      </c>
      <c r="T198" s="139" t="s">
        <v>46</v>
      </c>
      <c r="U198" s="139" t="s">
        <v>46</v>
      </c>
      <c r="V198" s="139" t="s">
        <v>46</v>
      </c>
      <c r="W198" s="139" t="s">
        <v>46</v>
      </c>
      <c r="X198" s="139" t="s">
        <v>46</v>
      </c>
      <c r="Y198" s="139" t="s">
        <v>46</v>
      </c>
      <c r="Z198" s="139" t="s">
        <v>46</v>
      </c>
      <c r="AA198" s="139">
        <v>7.08</v>
      </c>
      <c r="AB198" s="139">
        <v>8.5</v>
      </c>
      <c r="AC198" s="139" t="s">
        <v>46</v>
      </c>
      <c r="AD198" s="139" t="s">
        <v>46</v>
      </c>
      <c r="AE198" s="139" t="s">
        <v>46</v>
      </c>
      <c r="AF198" s="139" t="s">
        <v>46</v>
      </c>
      <c r="AG198" s="139" t="s">
        <v>46</v>
      </c>
      <c r="AH198" s="139" t="s">
        <v>46</v>
      </c>
      <c r="AI198" s="139" t="s">
        <v>46</v>
      </c>
      <c r="AJ198" s="139">
        <v>0</v>
      </c>
      <c r="AK198" s="139">
        <v>1</v>
      </c>
      <c r="AL198" s="139">
        <f>0.1*$AL$2</f>
        <v>7.5000000000000011E-2</v>
      </c>
      <c r="AM198" s="139">
        <f>AM192</f>
        <v>2.7E-2</v>
      </c>
      <c r="AN198" s="139">
        <f>ROUNDUP(AN192/3,0)</f>
        <v>1</v>
      </c>
      <c r="AQ198" s="142">
        <f>AM198*I198+AL198</f>
        <v>7.5405000000000014E-2</v>
      </c>
      <c r="AR198" s="142">
        <f t="shared" si="214"/>
        <v>7.5405000000000021E-3</v>
      </c>
      <c r="AS198" s="143">
        <f t="shared" si="215"/>
        <v>0.25</v>
      </c>
      <c r="AT198" s="143">
        <f t="shared" si="216"/>
        <v>8.3236375000000001E-2</v>
      </c>
      <c r="AU198" s="142">
        <f>10068.2*J198*POWER(10,-6)*10</f>
        <v>9.0613799999999991E-4</v>
      </c>
      <c r="AV198" s="143">
        <f t="shared" si="212"/>
        <v>0.41708801299999998</v>
      </c>
      <c r="AW198" s="144">
        <f t="shared" si="217"/>
        <v>0</v>
      </c>
      <c r="AX198" s="144">
        <f t="shared" si="218"/>
        <v>5.2800000000000007E-7</v>
      </c>
      <c r="AY198" s="144">
        <f t="shared" si="219"/>
        <v>2.2022247086400001E-7</v>
      </c>
      <c r="AZ198" s="289">
        <f>AW198/[1]DB!$B$23</f>
        <v>0</v>
      </c>
      <c r="BA198" s="289">
        <f>AX198/[1]DB!$B$23</f>
        <v>6.3614457831325307E-10</v>
      </c>
    </row>
    <row r="199" spans="1:53" s="139" customFormat="1" ht="15" thickBot="1" x14ac:dyDescent="0.35">
      <c r="A199" s="130" t="s">
        <v>813</v>
      </c>
      <c r="B199" s="130" t="str">
        <f>B192</f>
        <v>Сепаратор С-1,2, попутный нефтяной газ</v>
      </c>
      <c r="C199" s="13" t="s">
        <v>111</v>
      </c>
      <c r="D199" s="132" t="s">
        <v>27</v>
      </c>
      <c r="E199" s="145">
        <f>E196</f>
        <v>1.0000000000000001E-5</v>
      </c>
      <c r="F199" s="146">
        <f>F192</f>
        <v>2</v>
      </c>
      <c r="G199" s="130">
        <v>0.93030000000000002</v>
      </c>
      <c r="H199" s="134">
        <f t="shared" si="213"/>
        <v>1.8606000000000001E-5</v>
      </c>
      <c r="I199" s="147">
        <f>0.15*I192</f>
        <v>1.4999999999999999E-2</v>
      </c>
      <c r="J199" s="150">
        <v>0</v>
      </c>
      <c r="K199" s="153"/>
      <c r="L199" s="154"/>
      <c r="M199" s="139" t="str">
        <f t="shared" si="210"/>
        <v>C140</v>
      </c>
      <c r="N199" s="139" t="str">
        <f t="shared" si="210"/>
        <v>Сепаратор С-1,2, попутный нефтяной газ</v>
      </c>
      <c r="O199" s="139" t="str">
        <f t="shared" si="211"/>
        <v>Частичное-ликвидация</v>
      </c>
      <c r="P199" s="139" t="s">
        <v>46</v>
      </c>
      <c r="Q199" s="139" t="s">
        <v>46</v>
      </c>
      <c r="R199" s="139" t="s">
        <v>46</v>
      </c>
      <c r="S199" s="139" t="s">
        <v>46</v>
      </c>
      <c r="T199" s="139" t="s">
        <v>46</v>
      </c>
      <c r="U199" s="139" t="s">
        <v>46</v>
      </c>
      <c r="V199" s="139" t="s">
        <v>46</v>
      </c>
      <c r="W199" s="139" t="s">
        <v>46</v>
      </c>
      <c r="X199" s="139" t="s">
        <v>46</v>
      </c>
      <c r="Y199" s="139" t="s">
        <v>46</v>
      </c>
      <c r="Z199" s="139" t="s">
        <v>46</v>
      </c>
      <c r="AA199" s="139" t="s">
        <v>46</v>
      </c>
      <c r="AB199" s="139" t="s">
        <v>46</v>
      </c>
      <c r="AC199" s="139" t="s">
        <v>46</v>
      </c>
      <c r="AD199" s="139" t="s">
        <v>46</v>
      </c>
      <c r="AE199" s="139" t="s">
        <v>46</v>
      </c>
      <c r="AF199" s="139" t="s">
        <v>46</v>
      </c>
      <c r="AG199" s="139" t="s">
        <v>46</v>
      </c>
      <c r="AH199" s="139" t="s">
        <v>46</v>
      </c>
      <c r="AI199" s="139" t="s">
        <v>46</v>
      </c>
      <c r="AJ199" s="139">
        <v>0</v>
      </c>
      <c r="AK199" s="139">
        <v>0</v>
      </c>
      <c r="AL199" s="139">
        <f>0.1*$AL$2</f>
        <v>7.5000000000000011E-2</v>
      </c>
      <c r="AM199" s="139">
        <f>AM192</f>
        <v>2.7E-2</v>
      </c>
      <c r="AN199" s="139">
        <f>ROUNDUP(AN192/3,0)</f>
        <v>1</v>
      </c>
      <c r="AQ199" s="142">
        <f>AM199*I199*0.1+AL199</f>
        <v>7.504050000000001E-2</v>
      </c>
      <c r="AR199" s="142">
        <f t="shared" si="214"/>
        <v>7.5040500000000017E-3</v>
      </c>
      <c r="AS199" s="143">
        <f t="shared" si="215"/>
        <v>0</v>
      </c>
      <c r="AT199" s="143">
        <f t="shared" si="216"/>
        <v>2.0636137500000002E-2</v>
      </c>
      <c r="AU199" s="142">
        <f>1333*J198*POWER(10,-6)</f>
        <v>1.1996999999999999E-5</v>
      </c>
      <c r="AV199" s="143">
        <f t="shared" si="212"/>
        <v>0.10319268450000002</v>
      </c>
      <c r="AW199" s="144">
        <f t="shared" si="217"/>
        <v>0</v>
      </c>
      <c r="AX199" s="144">
        <f t="shared" si="218"/>
        <v>0</v>
      </c>
      <c r="AY199" s="144">
        <f t="shared" si="219"/>
        <v>1.9200030878070006E-6</v>
      </c>
      <c r="AZ199" s="289">
        <f>AW199/[1]DB!$B$23</f>
        <v>0</v>
      </c>
      <c r="BA199" s="289">
        <f>AX199/[1]DB!$B$23</f>
        <v>0</v>
      </c>
    </row>
    <row r="200" spans="1:53" s="139" customFormat="1" x14ac:dyDescent="0.3">
      <c r="A200" s="130"/>
      <c r="B200" s="193"/>
      <c r="C200" s="193"/>
      <c r="D200" s="193"/>
      <c r="E200" s="194"/>
      <c r="F200" s="146"/>
      <c r="G200" s="193"/>
      <c r="H200" s="195"/>
      <c r="I200" s="196"/>
      <c r="J200" s="196"/>
      <c r="K200" s="193"/>
      <c r="L200" s="193"/>
      <c r="M200" s="197"/>
      <c r="N200" s="197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  <c r="AA200" s="197"/>
      <c r="AB200" s="197"/>
      <c r="AC200" s="197"/>
      <c r="AD200" s="197"/>
      <c r="AE200" s="197"/>
      <c r="AF200" s="197"/>
      <c r="AG200" s="197"/>
      <c r="AH200" s="197"/>
      <c r="AI200" s="197"/>
      <c r="AJ200" s="197"/>
      <c r="AK200" s="197"/>
      <c r="AL200" s="197"/>
      <c r="AM200" s="197"/>
      <c r="AN200" s="197"/>
      <c r="AO200" s="197"/>
      <c r="AP200" s="197"/>
      <c r="AQ200" s="198"/>
      <c r="AR200" s="198"/>
      <c r="AS200" s="199"/>
      <c r="AT200" s="199"/>
      <c r="AU200" s="198"/>
      <c r="AV200" s="199"/>
      <c r="AW200" s="200"/>
      <c r="AX200" s="200"/>
      <c r="AY200" s="200"/>
      <c r="AZ200" s="289"/>
      <c r="BA200" s="289"/>
    </row>
    <row r="201" spans="1:53" ht="15" thickBot="1" x14ac:dyDescent="0.35"/>
    <row r="202" spans="1:53" s="139" customFormat="1" ht="18" customHeight="1" x14ac:dyDescent="0.3">
      <c r="A202" s="130" t="s">
        <v>692</v>
      </c>
      <c r="B202" s="131" t="s">
        <v>691</v>
      </c>
      <c r="C202" s="13" t="s">
        <v>129</v>
      </c>
      <c r="D202" s="132" t="s">
        <v>243</v>
      </c>
      <c r="E202" s="133">
        <v>9.9999999999999995E-7</v>
      </c>
      <c r="F202" s="131">
        <v>3</v>
      </c>
      <c r="G202" s="130">
        <v>0.2</v>
      </c>
      <c r="H202" s="134">
        <f>E202*F202*G202</f>
        <v>6.0000000000000008E-7</v>
      </c>
      <c r="I202" s="135">
        <v>0.09</v>
      </c>
      <c r="J202" s="136">
        <f>I202</f>
        <v>0.09</v>
      </c>
      <c r="K202" s="137" t="s">
        <v>122</v>
      </c>
      <c r="L202" s="138">
        <v>0</v>
      </c>
      <c r="M202" s="139" t="str">
        <f t="shared" ref="M202:M209" si="221">A202</f>
        <v>C141</v>
      </c>
      <c r="N202" s="139" t="str">
        <f t="shared" ref="N202:N209" si="222">B202</f>
        <v>Сепаратор газовый БКУ-1-3, попутный нефтяной газ</v>
      </c>
      <c r="O202" s="139" t="str">
        <f t="shared" ref="O202:O209" si="223">D202</f>
        <v>Полное-факельное горение</v>
      </c>
      <c r="P202" s="139" t="s">
        <v>46</v>
      </c>
      <c r="Q202" s="139" t="s">
        <v>46</v>
      </c>
      <c r="R202" s="139" t="s">
        <v>46</v>
      </c>
      <c r="S202" s="139" t="s">
        <v>46</v>
      </c>
      <c r="T202" s="139" t="s">
        <v>46</v>
      </c>
      <c r="U202" s="139" t="s">
        <v>46</v>
      </c>
      <c r="V202" s="139" t="s">
        <v>46</v>
      </c>
      <c r="W202" s="139" t="s">
        <v>46</v>
      </c>
      <c r="X202" s="139" t="s">
        <v>46</v>
      </c>
      <c r="Y202" s="139">
        <v>44</v>
      </c>
      <c r="Z202" s="139">
        <v>7</v>
      </c>
      <c r="AA202" s="139" t="s">
        <v>46</v>
      </c>
      <c r="AB202" s="139" t="s">
        <v>46</v>
      </c>
      <c r="AC202" s="139" t="s">
        <v>46</v>
      </c>
      <c r="AD202" s="139" t="s">
        <v>46</v>
      </c>
      <c r="AE202" s="139" t="s">
        <v>46</v>
      </c>
      <c r="AF202" s="139" t="s">
        <v>46</v>
      </c>
      <c r="AG202" s="139" t="s">
        <v>46</v>
      </c>
      <c r="AH202" s="139" t="s">
        <v>46</v>
      </c>
      <c r="AI202" s="139" t="s">
        <v>46</v>
      </c>
      <c r="AJ202" s="140">
        <v>1</v>
      </c>
      <c r="AK202" s="140">
        <v>2</v>
      </c>
      <c r="AL202" s="141">
        <v>0.75</v>
      </c>
      <c r="AM202" s="141">
        <v>2.7E-2</v>
      </c>
      <c r="AN202" s="141">
        <v>3</v>
      </c>
      <c r="AQ202" s="142">
        <f>AM202*I202+AL202</f>
        <v>0.75243000000000004</v>
      </c>
      <c r="AR202" s="142">
        <f>0.1*AQ202</f>
        <v>7.5243000000000004E-2</v>
      </c>
      <c r="AS202" s="143">
        <f>AJ202*3+0.25*AK202</f>
        <v>3.5</v>
      </c>
      <c r="AT202" s="143">
        <f>SUM(AQ202:AS202)/4</f>
        <v>1.08191825</v>
      </c>
      <c r="AU202" s="142">
        <f>10068.2*J202*POWER(10,-6)</f>
        <v>9.0613800000000002E-4</v>
      </c>
      <c r="AV202" s="143">
        <f t="shared" ref="AV202:AV209" si="224">AU202+AT202+AS202+AR202+AQ202</f>
        <v>5.4104973880000005</v>
      </c>
      <c r="AW202" s="144">
        <f>AJ202*H202</f>
        <v>6.0000000000000008E-7</v>
      </c>
      <c r="AX202" s="144">
        <f>H202*AK202</f>
        <v>1.2000000000000002E-6</v>
      </c>
      <c r="AY202" s="144">
        <f>H202*AV202</f>
        <v>3.2462984328000006E-6</v>
      </c>
      <c r="AZ202" s="289">
        <f>AW202/[1]DB!$B$23</f>
        <v>7.2289156626506037E-10</v>
      </c>
      <c r="BA202" s="289">
        <f>AX202/[1]DB!$B$23</f>
        <v>1.4457831325301207E-9</v>
      </c>
    </row>
    <row r="203" spans="1:53" s="139" customFormat="1" x14ac:dyDescent="0.3">
      <c r="A203" s="130" t="s">
        <v>693</v>
      </c>
      <c r="B203" s="130" t="str">
        <f>B202</f>
        <v>Сепаратор газовый БКУ-1-3, попутный нефтяной газ</v>
      </c>
      <c r="C203" s="13" t="s">
        <v>107</v>
      </c>
      <c r="D203" s="132" t="s">
        <v>28</v>
      </c>
      <c r="E203" s="145">
        <f>E202</f>
        <v>9.9999999999999995E-7</v>
      </c>
      <c r="F203" s="146">
        <f>F202</f>
        <v>3</v>
      </c>
      <c r="G203" s="130">
        <v>0.1152</v>
      </c>
      <c r="H203" s="134">
        <f t="shared" ref="H203:H209" si="225">E203*F203*G203</f>
        <v>3.4560000000000002E-7</v>
      </c>
      <c r="I203" s="147">
        <f>I202</f>
        <v>0.09</v>
      </c>
      <c r="J203" s="192">
        <f>0.1*I202</f>
        <v>8.9999999999999993E-3</v>
      </c>
      <c r="K203" s="148" t="s">
        <v>123</v>
      </c>
      <c r="L203" s="149">
        <v>0</v>
      </c>
      <c r="M203" s="139" t="str">
        <f t="shared" si="221"/>
        <v>C142</v>
      </c>
      <c r="N203" s="139" t="str">
        <f t="shared" si="222"/>
        <v>Сепаратор газовый БКУ-1-3, попутный нефтяной газ</v>
      </c>
      <c r="O203" s="139" t="str">
        <f t="shared" si="223"/>
        <v>Полное-взрыв</v>
      </c>
      <c r="P203" s="139" t="s">
        <v>46</v>
      </c>
      <c r="Q203" s="139" t="s">
        <v>46</v>
      </c>
      <c r="R203" s="139" t="s">
        <v>46</v>
      </c>
      <c r="S203" s="139" t="s">
        <v>46</v>
      </c>
      <c r="T203" s="139">
        <v>0</v>
      </c>
      <c r="U203" s="139">
        <v>0</v>
      </c>
      <c r="V203" s="139">
        <v>15.6</v>
      </c>
      <c r="W203" s="139">
        <v>52.6</v>
      </c>
      <c r="X203" s="139">
        <v>76.599999999999994</v>
      </c>
      <c r="Y203" s="139" t="s">
        <v>46</v>
      </c>
      <c r="Z203" s="139" t="s">
        <v>46</v>
      </c>
      <c r="AA203" s="139" t="s">
        <v>46</v>
      </c>
      <c r="AB203" s="139" t="s">
        <v>46</v>
      </c>
      <c r="AC203" s="139" t="s">
        <v>46</v>
      </c>
      <c r="AD203" s="139" t="s">
        <v>46</v>
      </c>
      <c r="AE203" s="139" t="s">
        <v>46</v>
      </c>
      <c r="AF203" s="139" t="s">
        <v>46</v>
      </c>
      <c r="AG203" s="139" t="s">
        <v>46</v>
      </c>
      <c r="AH203" s="139" t="s">
        <v>46</v>
      </c>
      <c r="AI203" s="139" t="s">
        <v>46</v>
      </c>
      <c r="AJ203" s="140">
        <v>1</v>
      </c>
      <c r="AK203" s="140">
        <v>2</v>
      </c>
      <c r="AL203" s="139">
        <f>AL202</f>
        <v>0.75</v>
      </c>
      <c r="AM203" s="139">
        <f>AM202</f>
        <v>2.7E-2</v>
      </c>
      <c r="AN203" s="139">
        <f>AN202</f>
        <v>3</v>
      </c>
      <c r="AQ203" s="142">
        <f>AM203*I203+AL203</f>
        <v>0.75243000000000004</v>
      </c>
      <c r="AR203" s="142">
        <f t="shared" ref="AR203:AR209" si="226">0.1*AQ203</f>
        <v>7.5243000000000004E-2</v>
      </c>
      <c r="AS203" s="143">
        <f t="shared" ref="AS203:AS209" si="227">AJ203*3+0.25*AK203</f>
        <v>3.5</v>
      </c>
      <c r="AT203" s="143">
        <f t="shared" ref="AT203:AT209" si="228">SUM(AQ203:AS203)/4</f>
        <v>1.08191825</v>
      </c>
      <c r="AU203" s="142">
        <f>10068.2*J203*POWER(10,-6)*10</f>
        <v>9.0613799999999991E-4</v>
      </c>
      <c r="AV203" s="143">
        <f t="shared" si="224"/>
        <v>5.4104973880000005</v>
      </c>
      <c r="AW203" s="144">
        <f t="shared" ref="AW203:AW209" si="229">AJ203*H203</f>
        <v>3.4560000000000002E-7</v>
      </c>
      <c r="AX203" s="144">
        <f t="shared" ref="AX203:AX209" si="230">H203*AK203</f>
        <v>6.9120000000000005E-7</v>
      </c>
      <c r="AY203" s="144">
        <f t="shared" ref="AY203:AY209" si="231">H203*AV203</f>
        <v>1.8698678972928002E-6</v>
      </c>
      <c r="AZ203" s="289">
        <f>AW203/[1]DB!$B$23</f>
        <v>4.1638554216867471E-10</v>
      </c>
      <c r="BA203" s="289">
        <f>AX203/[1]DB!$B$23</f>
        <v>8.3277108433734942E-10</v>
      </c>
    </row>
    <row r="204" spans="1:53" s="139" customFormat="1" x14ac:dyDescent="0.3">
      <c r="A204" s="130" t="s">
        <v>694</v>
      </c>
      <c r="B204" s="130" t="str">
        <f>B202</f>
        <v>Сепаратор газовый БКУ-1-3, попутный нефтяной газ</v>
      </c>
      <c r="C204" s="13" t="s">
        <v>242</v>
      </c>
      <c r="D204" s="132" t="s">
        <v>241</v>
      </c>
      <c r="E204" s="145">
        <f>E202</f>
        <v>9.9999999999999995E-7</v>
      </c>
      <c r="F204" s="146">
        <f>F202</f>
        <v>3</v>
      </c>
      <c r="G204" s="130">
        <v>7.6799999999999993E-2</v>
      </c>
      <c r="H204" s="134">
        <f t="shared" si="225"/>
        <v>2.304E-7</v>
      </c>
      <c r="I204" s="147">
        <f>I202</f>
        <v>0.09</v>
      </c>
      <c r="J204" s="136">
        <f>0.6*I202</f>
        <v>5.3999999999999999E-2</v>
      </c>
      <c r="K204" s="148" t="s">
        <v>124</v>
      </c>
      <c r="L204" s="149">
        <v>15</v>
      </c>
      <c r="M204" s="139" t="str">
        <f t="shared" si="221"/>
        <v>C143</v>
      </c>
      <c r="N204" s="139" t="str">
        <f t="shared" si="222"/>
        <v>Сепаратор газовый БКУ-1-3, попутный нефтяной газ</v>
      </c>
      <c r="O204" s="139" t="str">
        <f t="shared" si="223"/>
        <v>Полное-огненный шар</v>
      </c>
      <c r="P204" s="139" t="s">
        <v>46</v>
      </c>
      <c r="Q204" s="139" t="s">
        <v>46</v>
      </c>
      <c r="R204" s="139" t="s">
        <v>46</v>
      </c>
      <c r="S204" s="139" t="s">
        <v>46</v>
      </c>
      <c r="T204" s="139" t="s">
        <v>46</v>
      </c>
      <c r="U204" s="139" t="s">
        <v>46</v>
      </c>
      <c r="V204" s="139" t="s">
        <v>46</v>
      </c>
      <c r="W204" s="139" t="s">
        <v>46</v>
      </c>
      <c r="X204" s="139" t="s">
        <v>46</v>
      </c>
      <c r="Y204" s="139" t="s">
        <v>46</v>
      </c>
      <c r="Z204" s="139" t="s">
        <v>46</v>
      </c>
      <c r="AA204" s="139" t="s">
        <v>46</v>
      </c>
      <c r="AB204" s="139" t="s">
        <v>46</v>
      </c>
      <c r="AC204" s="139" t="s">
        <v>46</v>
      </c>
      <c r="AD204" s="139" t="s">
        <v>46</v>
      </c>
      <c r="AE204" s="139">
        <v>1</v>
      </c>
      <c r="AF204" s="139">
        <v>1</v>
      </c>
      <c r="AG204" s="139">
        <v>7.5</v>
      </c>
      <c r="AH204" s="139">
        <v>16.5</v>
      </c>
      <c r="AI204" s="139" t="s">
        <v>46</v>
      </c>
      <c r="AJ204" s="139">
        <v>0</v>
      </c>
      <c r="AK204" s="139">
        <v>0</v>
      </c>
      <c r="AL204" s="139">
        <f>AL202</f>
        <v>0.75</v>
      </c>
      <c r="AM204" s="139">
        <f>AM202</f>
        <v>2.7E-2</v>
      </c>
      <c r="AN204" s="139">
        <f>AN202</f>
        <v>3</v>
      </c>
      <c r="AQ204" s="142">
        <f>AM204*I204*0.1+AL204</f>
        <v>0.75024299999999999</v>
      </c>
      <c r="AR204" s="142">
        <f t="shared" si="226"/>
        <v>7.5024300000000002E-2</v>
      </c>
      <c r="AS204" s="143">
        <f t="shared" si="227"/>
        <v>0</v>
      </c>
      <c r="AT204" s="143">
        <f t="shared" si="228"/>
        <v>0.20631682500000001</v>
      </c>
      <c r="AU204" s="142">
        <f>1333*J202*POWER(10,-6)</f>
        <v>1.1996999999999999E-4</v>
      </c>
      <c r="AV204" s="143">
        <f t="shared" si="224"/>
        <v>1.031704095</v>
      </c>
      <c r="AW204" s="144">
        <f t="shared" si="229"/>
        <v>0</v>
      </c>
      <c r="AX204" s="144">
        <f t="shared" si="230"/>
        <v>0</v>
      </c>
      <c r="AY204" s="144">
        <f t="shared" si="231"/>
        <v>2.3770462348800001E-7</v>
      </c>
      <c r="AZ204" s="289">
        <f>AW204/[1]DB!$B$23</f>
        <v>0</v>
      </c>
      <c r="BA204" s="289">
        <f>AX204/[1]DB!$B$23</f>
        <v>0</v>
      </c>
    </row>
    <row r="205" spans="1:53" s="139" customFormat="1" x14ac:dyDescent="0.3">
      <c r="A205" s="130" t="s">
        <v>695</v>
      </c>
      <c r="B205" s="130" t="str">
        <f>B202</f>
        <v>Сепаратор газовый БКУ-1-3, попутный нефтяной газ</v>
      </c>
      <c r="C205" s="13" t="s">
        <v>108</v>
      </c>
      <c r="D205" s="132" t="s">
        <v>26</v>
      </c>
      <c r="E205" s="145">
        <f>E202</f>
        <v>9.9999999999999995E-7</v>
      </c>
      <c r="F205" s="146">
        <f t="shared" ref="F205:F209" si="232">F203</f>
        <v>3</v>
      </c>
      <c r="G205" s="130">
        <v>0.60799999999999998</v>
      </c>
      <c r="H205" s="134">
        <f t="shared" si="225"/>
        <v>1.824E-6</v>
      </c>
      <c r="I205" s="147">
        <f>I202</f>
        <v>0.09</v>
      </c>
      <c r="J205" s="150">
        <v>0</v>
      </c>
      <c r="K205" s="148" t="s">
        <v>126</v>
      </c>
      <c r="L205" s="149">
        <v>45390</v>
      </c>
      <c r="M205" s="139" t="str">
        <f t="shared" si="221"/>
        <v>C144</v>
      </c>
      <c r="N205" s="139" t="str">
        <f t="shared" si="222"/>
        <v>Сепаратор газовый БКУ-1-3, попутный нефтяной газ</v>
      </c>
      <c r="O205" s="139" t="str">
        <f t="shared" si="223"/>
        <v>Полное-ликвидация</v>
      </c>
      <c r="P205" s="139" t="s">
        <v>46</v>
      </c>
      <c r="Q205" s="139" t="s">
        <v>46</v>
      </c>
      <c r="R205" s="139" t="s">
        <v>46</v>
      </c>
      <c r="S205" s="139" t="s">
        <v>46</v>
      </c>
      <c r="T205" s="139" t="s">
        <v>46</v>
      </c>
      <c r="U205" s="139" t="s">
        <v>46</v>
      </c>
      <c r="V205" s="139" t="s">
        <v>46</v>
      </c>
      <c r="W205" s="139" t="s">
        <v>46</v>
      </c>
      <c r="X205" s="139" t="s">
        <v>46</v>
      </c>
      <c r="Y205" s="139" t="s">
        <v>46</v>
      </c>
      <c r="Z205" s="139" t="s">
        <v>46</v>
      </c>
      <c r="AA205" s="139" t="s">
        <v>46</v>
      </c>
      <c r="AB205" s="139" t="s">
        <v>46</v>
      </c>
      <c r="AC205" s="139" t="s">
        <v>46</v>
      </c>
      <c r="AD205" s="139" t="s">
        <v>46</v>
      </c>
      <c r="AE205" s="139" t="s">
        <v>46</v>
      </c>
      <c r="AF205" s="139" t="s">
        <v>46</v>
      </c>
      <c r="AG205" s="139" t="s">
        <v>46</v>
      </c>
      <c r="AH205" s="139" t="s">
        <v>46</v>
      </c>
      <c r="AI205" s="139" t="s">
        <v>46</v>
      </c>
      <c r="AJ205" s="139">
        <v>0</v>
      </c>
      <c r="AK205" s="139">
        <v>0</v>
      </c>
      <c r="AL205" s="139">
        <f>AL202</f>
        <v>0.75</v>
      </c>
      <c r="AM205" s="139">
        <f>AM202</f>
        <v>2.7E-2</v>
      </c>
      <c r="AN205" s="139">
        <f>AN202</f>
        <v>3</v>
      </c>
      <c r="AQ205" s="142">
        <f>AM205*I205*0.1+AL205</f>
        <v>0.75024299999999999</v>
      </c>
      <c r="AR205" s="142">
        <f t="shared" si="226"/>
        <v>7.5024300000000002E-2</v>
      </c>
      <c r="AS205" s="143">
        <f t="shared" si="227"/>
        <v>0</v>
      </c>
      <c r="AT205" s="143">
        <f t="shared" si="228"/>
        <v>0.20631682500000001</v>
      </c>
      <c r="AU205" s="142">
        <f>1333*J203*POWER(10,-6)</f>
        <v>1.1996999999999999E-5</v>
      </c>
      <c r="AV205" s="143">
        <f t="shared" si="224"/>
        <v>1.0315961220000001</v>
      </c>
      <c r="AW205" s="144">
        <f t="shared" si="229"/>
        <v>0</v>
      </c>
      <c r="AX205" s="144">
        <f t="shared" si="230"/>
        <v>0</v>
      </c>
      <c r="AY205" s="144">
        <f t="shared" si="231"/>
        <v>1.8816313265280001E-6</v>
      </c>
      <c r="AZ205" s="289">
        <f>AW205/[1]DB!$B$23</f>
        <v>0</v>
      </c>
      <c r="BA205" s="289">
        <f>AX205/[1]DB!$B$23</f>
        <v>0</v>
      </c>
    </row>
    <row r="206" spans="1:53" s="139" customFormat="1" x14ac:dyDescent="0.3">
      <c r="A206" s="130" t="s">
        <v>696</v>
      </c>
      <c r="B206" s="130" t="str">
        <f>B202</f>
        <v>Сепаратор газовый БКУ-1-3, попутный нефтяной газ</v>
      </c>
      <c r="C206" s="13" t="s">
        <v>133</v>
      </c>
      <c r="D206" s="132" t="s">
        <v>134</v>
      </c>
      <c r="E206" s="133">
        <v>1.0000000000000001E-5</v>
      </c>
      <c r="F206" s="146">
        <f t="shared" si="232"/>
        <v>3</v>
      </c>
      <c r="G206" s="130">
        <v>3.5000000000000003E-2</v>
      </c>
      <c r="H206" s="134">
        <f t="shared" si="225"/>
        <v>1.0500000000000003E-6</v>
      </c>
      <c r="I206" s="147">
        <f>0.15*I202</f>
        <v>1.35E-2</v>
      </c>
      <c r="J206" s="136">
        <f>I206</f>
        <v>1.35E-2</v>
      </c>
      <c r="K206" s="148" t="s">
        <v>127</v>
      </c>
      <c r="L206" s="149">
        <v>3</v>
      </c>
      <c r="M206" s="139" t="str">
        <f t="shared" si="221"/>
        <v>C145</v>
      </c>
      <c r="N206" s="139" t="str">
        <f t="shared" si="222"/>
        <v>Сепаратор газовый БКУ-1-3, попутный нефтяной газ</v>
      </c>
      <c r="O206" s="139" t="str">
        <f t="shared" si="223"/>
        <v>Частичное-факел</v>
      </c>
      <c r="P206" s="139" t="s">
        <v>46</v>
      </c>
      <c r="Q206" s="139" t="s">
        <v>46</v>
      </c>
      <c r="R206" s="139" t="s">
        <v>46</v>
      </c>
      <c r="S206" s="139" t="s">
        <v>46</v>
      </c>
      <c r="T206" s="139" t="s">
        <v>46</v>
      </c>
      <c r="U206" s="139" t="s">
        <v>46</v>
      </c>
      <c r="V206" s="139" t="s">
        <v>46</v>
      </c>
      <c r="W206" s="139" t="s">
        <v>46</v>
      </c>
      <c r="X206" s="139" t="s">
        <v>46</v>
      </c>
      <c r="Y206" s="139">
        <v>28</v>
      </c>
      <c r="Z206" s="139">
        <v>5</v>
      </c>
      <c r="AA206" s="139" t="s">
        <v>46</v>
      </c>
      <c r="AB206" s="139" t="s">
        <v>46</v>
      </c>
      <c r="AC206" s="139" t="s">
        <v>46</v>
      </c>
      <c r="AD206" s="139" t="s">
        <v>46</v>
      </c>
      <c r="AE206" s="139" t="s">
        <v>46</v>
      </c>
      <c r="AF206" s="139" t="s">
        <v>46</v>
      </c>
      <c r="AG206" s="139" t="s">
        <v>46</v>
      </c>
      <c r="AH206" s="139" t="s">
        <v>46</v>
      </c>
      <c r="AI206" s="139" t="s">
        <v>46</v>
      </c>
      <c r="AJ206" s="139">
        <v>0</v>
      </c>
      <c r="AK206" s="139">
        <v>2</v>
      </c>
      <c r="AL206" s="139">
        <f>0.1*$AL$2</f>
        <v>7.5000000000000011E-2</v>
      </c>
      <c r="AM206" s="139">
        <f>AM202</f>
        <v>2.7E-2</v>
      </c>
      <c r="AN206" s="139">
        <f>ROUNDUP(AN202/3,0)</f>
        <v>1</v>
      </c>
      <c r="AQ206" s="142">
        <f>AM206*I206+AL206</f>
        <v>7.5364500000000015E-2</v>
      </c>
      <c r="AR206" s="142">
        <f t="shared" si="226"/>
        <v>7.5364500000000018E-3</v>
      </c>
      <c r="AS206" s="143">
        <f t="shared" si="227"/>
        <v>0.5</v>
      </c>
      <c r="AT206" s="143">
        <f t="shared" si="228"/>
        <v>0.14572523749999999</v>
      </c>
      <c r="AU206" s="142">
        <f>10068.2*J206*POWER(10,-6)</f>
        <v>1.3592070000000001E-4</v>
      </c>
      <c r="AV206" s="143">
        <f t="shared" si="224"/>
        <v>0.72876210820000009</v>
      </c>
      <c r="AW206" s="144">
        <f t="shared" si="229"/>
        <v>0</v>
      </c>
      <c r="AX206" s="144">
        <f t="shared" si="230"/>
        <v>2.1000000000000006E-6</v>
      </c>
      <c r="AY206" s="144">
        <f t="shared" si="231"/>
        <v>7.6520021361000033E-7</v>
      </c>
      <c r="AZ206" s="289">
        <f>AW206/[1]DB!$B$23</f>
        <v>0</v>
      </c>
      <c r="BA206" s="289">
        <f>AX206/[1]DB!$B$23</f>
        <v>2.5301204819277118E-9</v>
      </c>
    </row>
    <row r="207" spans="1:53" s="139" customFormat="1" x14ac:dyDescent="0.3">
      <c r="A207" s="130" t="s">
        <v>697</v>
      </c>
      <c r="B207" s="130" t="str">
        <f>B202</f>
        <v>Сепаратор газовый БКУ-1-3, попутный нефтяной газ</v>
      </c>
      <c r="C207" s="13" t="s">
        <v>135</v>
      </c>
      <c r="D207" s="132" t="s">
        <v>136</v>
      </c>
      <c r="E207" s="145">
        <f>E206</f>
        <v>1.0000000000000001E-5</v>
      </c>
      <c r="F207" s="146">
        <f t="shared" si="232"/>
        <v>3</v>
      </c>
      <c r="G207" s="130">
        <v>8.3000000000000001E-3</v>
      </c>
      <c r="H207" s="134">
        <f t="shared" si="225"/>
        <v>2.4900000000000002E-7</v>
      </c>
      <c r="I207" s="147">
        <f>I206</f>
        <v>1.35E-2</v>
      </c>
      <c r="J207" s="136">
        <v>0.01</v>
      </c>
      <c r="K207" s="151" t="s">
        <v>138</v>
      </c>
      <c r="L207" s="152">
        <v>19</v>
      </c>
      <c r="M207" s="139" t="str">
        <f t="shared" si="221"/>
        <v>C146</v>
      </c>
      <c r="N207" s="139" t="str">
        <f t="shared" si="222"/>
        <v>Сепаратор газовый БКУ-1-3, попутный нефтяной газ</v>
      </c>
      <c r="O207" s="139" t="str">
        <f t="shared" si="223"/>
        <v>Частичное-взрыв</v>
      </c>
      <c r="P207" s="139" t="s">
        <v>46</v>
      </c>
      <c r="Q207" s="139" t="s">
        <v>46</v>
      </c>
      <c r="R207" s="139" t="s">
        <v>46</v>
      </c>
      <c r="S207" s="139" t="s">
        <v>46</v>
      </c>
      <c r="T207" s="139">
        <v>0</v>
      </c>
      <c r="U207" s="139">
        <v>0</v>
      </c>
      <c r="V207" s="139">
        <v>16.100000000000001</v>
      </c>
      <c r="W207" s="139">
        <v>54.6</v>
      </c>
      <c r="X207" s="139">
        <v>79.599999999999994</v>
      </c>
      <c r="Y207" s="139" t="s">
        <v>46</v>
      </c>
      <c r="Z207" s="139" t="s">
        <v>46</v>
      </c>
      <c r="AA207" s="139" t="s">
        <v>46</v>
      </c>
      <c r="AB207" s="139" t="s">
        <v>46</v>
      </c>
      <c r="AC207" s="139" t="s">
        <v>46</v>
      </c>
      <c r="AD207" s="139" t="s">
        <v>46</v>
      </c>
      <c r="AE207" s="139" t="s">
        <v>46</v>
      </c>
      <c r="AF207" s="139" t="s">
        <v>46</v>
      </c>
      <c r="AG207" s="139" t="s">
        <v>46</v>
      </c>
      <c r="AH207" s="139" t="s">
        <v>46</v>
      </c>
      <c r="AI207" s="139" t="s">
        <v>46</v>
      </c>
      <c r="AJ207" s="139">
        <v>0</v>
      </c>
      <c r="AK207" s="139">
        <v>1</v>
      </c>
      <c r="AL207" s="139">
        <f>0.1*$AL$2</f>
        <v>7.5000000000000011E-2</v>
      </c>
      <c r="AM207" s="139">
        <f>AM202</f>
        <v>2.7E-2</v>
      </c>
      <c r="AN207" s="139">
        <f>AN206</f>
        <v>1</v>
      </c>
      <c r="AQ207" s="142">
        <f>AM207*I207+AL207</f>
        <v>7.5364500000000015E-2</v>
      </c>
      <c r="AR207" s="142">
        <f t="shared" si="226"/>
        <v>7.5364500000000018E-3</v>
      </c>
      <c r="AS207" s="143">
        <f t="shared" si="227"/>
        <v>0.25</v>
      </c>
      <c r="AT207" s="143">
        <f t="shared" si="228"/>
        <v>8.3225237500000007E-2</v>
      </c>
      <c r="AU207" s="142">
        <f>10068.2*J207*POWER(10,-6)*10</f>
        <v>1.0068200000000001E-3</v>
      </c>
      <c r="AV207" s="143">
        <f t="shared" si="224"/>
        <v>0.41713300750000004</v>
      </c>
      <c r="AW207" s="144">
        <f t="shared" si="229"/>
        <v>0</v>
      </c>
      <c r="AX207" s="144">
        <f t="shared" si="230"/>
        <v>2.4900000000000002E-7</v>
      </c>
      <c r="AY207" s="144">
        <f t="shared" si="231"/>
        <v>1.0386611886750002E-7</v>
      </c>
      <c r="AZ207" s="289">
        <f>AW207/[1]DB!$B$23</f>
        <v>0</v>
      </c>
      <c r="BA207" s="289">
        <f>AX207/[1]DB!$B$23</f>
        <v>3E-10</v>
      </c>
    </row>
    <row r="208" spans="1:53" s="139" customFormat="1" x14ac:dyDescent="0.3">
      <c r="A208" s="130" t="s">
        <v>698</v>
      </c>
      <c r="B208" s="130" t="str">
        <f>B202</f>
        <v>Сепаратор газовый БКУ-1-3, попутный нефтяной газ</v>
      </c>
      <c r="C208" s="13" t="s">
        <v>110</v>
      </c>
      <c r="D208" s="132" t="s">
        <v>112</v>
      </c>
      <c r="E208" s="145">
        <f>E206</f>
        <v>1.0000000000000001E-5</v>
      </c>
      <c r="F208" s="146">
        <f t="shared" si="232"/>
        <v>3</v>
      </c>
      <c r="G208" s="130">
        <v>2.64E-2</v>
      </c>
      <c r="H208" s="134">
        <f t="shared" si="225"/>
        <v>7.920000000000001E-7</v>
      </c>
      <c r="I208" s="147">
        <f>0.15*I202</f>
        <v>1.35E-2</v>
      </c>
      <c r="J208" s="136">
        <f>J204*0.15</f>
        <v>8.0999999999999996E-3</v>
      </c>
      <c r="K208" s="334" t="s">
        <v>466</v>
      </c>
      <c r="L208" s="287" t="s">
        <v>639</v>
      </c>
      <c r="M208" s="139" t="str">
        <f t="shared" si="221"/>
        <v>C147</v>
      </c>
      <c r="N208" s="139" t="str">
        <f t="shared" si="222"/>
        <v>Сепаратор газовый БКУ-1-3, попутный нефтяной газ</v>
      </c>
      <c r="O208" s="139" t="str">
        <f t="shared" si="223"/>
        <v>Частичное-пожар-вспышка</v>
      </c>
      <c r="P208" s="139" t="s">
        <v>46</v>
      </c>
      <c r="Q208" s="139" t="s">
        <v>46</v>
      </c>
      <c r="R208" s="139" t="s">
        <v>46</v>
      </c>
      <c r="S208" s="139" t="s">
        <v>46</v>
      </c>
      <c r="T208" s="139" t="s">
        <v>46</v>
      </c>
      <c r="U208" s="139" t="s">
        <v>46</v>
      </c>
      <c r="V208" s="139" t="s">
        <v>46</v>
      </c>
      <c r="W208" s="139" t="s">
        <v>46</v>
      </c>
      <c r="X208" s="139" t="s">
        <v>46</v>
      </c>
      <c r="Y208" s="139" t="s">
        <v>46</v>
      </c>
      <c r="Z208" s="139" t="s">
        <v>46</v>
      </c>
      <c r="AA208" s="139">
        <v>6.84</v>
      </c>
      <c r="AB208" s="139">
        <v>8.2100000000000009</v>
      </c>
      <c r="AC208" s="139" t="s">
        <v>46</v>
      </c>
      <c r="AD208" s="139" t="s">
        <v>46</v>
      </c>
      <c r="AE208" s="139" t="s">
        <v>46</v>
      </c>
      <c r="AF208" s="139" t="s">
        <v>46</v>
      </c>
      <c r="AG208" s="139" t="s">
        <v>46</v>
      </c>
      <c r="AH208" s="139" t="s">
        <v>46</v>
      </c>
      <c r="AI208" s="139" t="s">
        <v>46</v>
      </c>
      <c r="AJ208" s="139">
        <v>0</v>
      </c>
      <c r="AK208" s="139">
        <v>1</v>
      </c>
      <c r="AL208" s="139">
        <f>0.1*$AL$2</f>
        <v>7.5000000000000011E-2</v>
      </c>
      <c r="AM208" s="139">
        <f>AM202</f>
        <v>2.7E-2</v>
      </c>
      <c r="AN208" s="139">
        <f>ROUNDUP(AN202/3,0)</f>
        <v>1</v>
      </c>
      <c r="AQ208" s="142">
        <f>AM208*I208+AL208</f>
        <v>7.5364500000000015E-2</v>
      </c>
      <c r="AR208" s="142">
        <f t="shared" si="226"/>
        <v>7.5364500000000018E-3</v>
      </c>
      <c r="AS208" s="143">
        <f t="shared" si="227"/>
        <v>0.25</v>
      </c>
      <c r="AT208" s="143">
        <f t="shared" si="228"/>
        <v>8.3225237500000007E-2</v>
      </c>
      <c r="AU208" s="142">
        <f>10068.2*J208*POWER(10,-6)*10</f>
        <v>8.1552419999999994E-4</v>
      </c>
      <c r="AV208" s="143">
        <f t="shared" si="224"/>
        <v>0.41694171170000005</v>
      </c>
      <c r="AW208" s="144">
        <f t="shared" si="229"/>
        <v>0</v>
      </c>
      <c r="AX208" s="144">
        <f t="shared" si="230"/>
        <v>7.920000000000001E-7</v>
      </c>
      <c r="AY208" s="144">
        <f t="shared" si="231"/>
        <v>3.3021783566640008E-7</v>
      </c>
      <c r="AZ208" s="289">
        <f>AW208/[1]DB!$B$23</f>
        <v>0</v>
      </c>
      <c r="BA208" s="289">
        <f>AX208/[1]DB!$B$23</f>
        <v>9.5421686746987966E-10</v>
      </c>
    </row>
    <row r="209" spans="1:53" s="139" customFormat="1" ht="15" thickBot="1" x14ac:dyDescent="0.35">
      <c r="A209" s="130" t="s">
        <v>699</v>
      </c>
      <c r="B209" s="130" t="str">
        <f>B202</f>
        <v>Сепаратор газовый БКУ-1-3, попутный нефтяной газ</v>
      </c>
      <c r="C209" s="13" t="s">
        <v>111</v>
      </c>
      <c r="D209" s="132" t="s">
        <v>27</v>
      </c>
      <c r="E209" s="145">
        <f>E206</f>
        <v>1.0000000000000001E-5</v>
      </c>
      <c r="F209" s="146">
        <f t="shared" si="232"/>
        <v>3</v>
      </c>
      <c r="G209" s="130">
        <v>0.93030000000000002</v>
      </c>
      <c r="H209" s="134">
        <f t="shared" si="225"/>
        <v>2.7909000000000003E-5</v>
      </c>
      <c r="I209" s="147">
        <f>0.15*I202</f>
        <v>1.35E-2</v>
      </c>
      <c r="J209" s="150">
        <v>0</v>
      </c>
      <c r="K209" s="153"/>
      <c r="L209" s="154"/>
      <c r="M209" s="139" t="str">
        <f t="shared" si="221"/>
        <v>C148</v>
      </c>
      <c r="N209" s="139" t="str">
        <f t="shared" si="222"/>
        <v>Сепаратор газовый БКУ-1-3, попутный нефтяной газ</v>
      </c>
      <c r="O209" s="139" t="str">
        <f t="shared" si="223"/>
        <v>Частичное-ликвидация</v>
      </c>
      <c r="P209" s="139" t="s">
        <v>46</v>
      </c>
      <c r="Q209" s="139" t="s">
        <v>46</v>
      </c>
      <c r="R209" s="139" t="s">
        <v>46</v>
      </c>
      <c r="S209" s="139" t="s">
        <v>46</v>
      </c>
      <c r="T209" s="139" t="s">
        <v>46</v>
      </c>
      <c r="U209" s="139" t="s">
        <v>46</v>
      </c>
      <c r="V209" s="139" t="s">
        <v>46</v>
      </c>
      <c r="W209" s="139" t="s">
        <v>46</v>
      </c>
      <c r="X209" s="139" t="s">
        <v>46</v>
      </c>
      <c r="Y209" s="139" t="s">
        <v>46</v>
      </c>
      <c r="Z209" s="139" t="s">
        <v>46</v>
      </c>
      <c r="AA209" s="139" t="s">
        <v>46</v>
      </c>
      <c r="AB209" s="139" t="s">
        <v>46</v>
      </c>
      <c r="AC209" s="139" t="s">
        <v>46</v>
      </c>
      <c r="AD209" s="139" t="s">
        <v>46</v>
      </c>
      <c r="AE209" s="139" t="s">
        <v>46</v>
      </c>
      <c r="AF209" s="139" t="s">
        <v>46</v>
      </c>
      <c r="AG209" s="139" t="s">
        <v>46</v>
      </c>
      <c r="AH209" s="139" t="s">
        <v>46</v>
      </c>
      <c r="AI209" s="139" t="s">
        <v>46</v>
      </c>
      <c r="AJ209" s="139">
        <v>0</v>
      </c>
      <c r="AK209" s="139">
        <v>0</v>
      </c>
      <c r="AL209" s="139">
        <f>0.1*$AL$2</f>
        <v>7.5000000000000011E-2</v>
      </c>
      <c r="AM209" s="139">
        <f>AM202</f>
        <v>2.7E-2</v>
      </c>
      <c r="AN209" s="139">
        <f>ROUNDUP(AN202/3,0)</f>
        <v>1</v>
      </c>
      <c r="AQ209" s="142">
        <f>AM209*I209*0.1+AL209</f>
        <v>7.5036450000000005E-2</v>
      </c>
      <c r="AR209" s="142">
        <f t="shared" si="226"/>
        <v>7.5036450000000006E-3</v>
      </c>
      <c r="AS209" s="143">
        <f t="shared" si="227"/>
        <v>0</v>
      </c>
      <c r="AT209" s="143">
        <f t="shared" si="228"/>
        <v>2.0635023750000002E-2</v>
      </c>
      <c r="AU209" s="142">
        <f>1333*J208*POWER(10,-6)</f>
        <v>1.0797299999999999E-5</v>
      </c>
      <c r="AV209" s="143">
        <f t="shared" si="224"/>
        <v>0.10318591605000001</v>
      </c>
      <c r="AW209" s="144">
        <f t="shared" si="229"/>
        <v>0</v>
      </c>
      <c r="AX209" s="144">
        <f t="shared" si="230"/>
        <v>0</v>
      </c>
      <c r="AY209" s="144">
        <f t="shared" si="231"/>
        <v>2.8798157310394505E-6</v>
      </c>
      <c r="AZ209" s="289">
        <f>AW209/[1]DB!$B$23</f>
        <v>0</v>
      </c>
      <c r="BA209" s="289">
        <f>AX209/[1]DB!$B$23</f>
        <v>0</v>
      </c>
    </row>
    <row r="210" spans="1:53" s="139" customFormat="1" x14ac:dyDescent="0.3">
      <c r="A210" s="130"/>
      <c r="B210" s="193"/>
      <c r="C210" s="193"/>
      <c r="D210" s="193"/>
      <c r="E210" s="194"/>
      <c r="F210" s="146"/>
      <c r="G210" s="193"/>
      <c r="H210" s="195"/>
      <c r="I210" s="196"/>
      <c r="J210" s="196"/>
      <c r="K210" s="193"/>
      <c r="L210" s="193"/>
      <c r="M210" s="197"/>
      <c r="N210" s="197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  <c r="AA210" s="197"/>
      <c r="AB210" s="197"/>
      <c r="AC210" s="197"/>
      <c r="AD210" s="197"/>
      <c r="AE210" s="197"/>
      <c r="AF210" s="197"/>
      <c r="AG210" s="197"/>
      <c r="AH210" s="197"/>
      <c r="AI210" s="197"/>
      <c r="AJ210" s="197"/>
      <c r="AK210" s="197"/>
      <c r="AL210" s="197"/>
      <c r="AM210" s="197"/>
      <c r="AN210" s="197"/>
      <c r="AO210" s="197"/>
      <c r="AP210" s="197"/>
      <c r="AQ210" s="198"/>
      <c r="AR210" s="198"/>
      <c r="AS210" s="199"/>
      <c r="AT210" s="199"/>
      <c r="AU210" s="198"/>
      <c r="AV210" s="199"/>
      <c r="AW210" s="200"/>
      <c r="AX210" s="200"/>
      <c r="AY210" s="200"/>
      <c r="AZ210" s="289"/>
      <c r="BA210" s="289"/>
    </row>
    <row r="211" spans="1:53" ht="15" thickBot="1" x14ac:dyDescent="0.35"/>
    <row r="212" spans="1:53" ht="18" customHeight="1" x14ac:dyDescent="0.3">
      <c r="A212" s="8" t="s">
        <v>701</v>
      </c>
      <c r="B212" s="62" t="s">
        <v>700</v>
      </c>
      <c r="C212" s="78" t="s">
        <v>498</v>
      </c>
      <c r="D212" s="9" t="s">
        <v>130</v>
      </c>
      <c r="E212" s="65">
        <v>1E-4</v>
      </c>
      <c r="F212" s="62">
        <v>3</v>
      </c>
      <c r="G212" s="8">
        <v>0.2</v>
      </c>
      <c r="H212" s="10">
        <f>E212*F212*G212</f>
        <v>6.0000000000000008E-5</v>
      </c>
      <c r="I212" s="63">
        <v>0.15</v>
      </c>
      <c r="J212" s="68">
        <f>I212</f>
        <v>0.15</v>
      </c>
      <c r="K212" s="71" t="s">
        <v>122</v>
      </c>
      <c r="L212" s="76">
        <v>0</v>
      </c>
      <c r="M212" s="31" t="str">
        <f t="shared" ref="M212:N219" si="233">A212</f>
        <v>C149</v>
      </c>
      <c r="N212" s="31" t="str">
        <f t="shared" si="233"/>
        <v>Компрессорная установка, попутный нефтяной газ</v>
      </c>
      <c r="O212" s="31" t="str">
        <f t="shared" ref="O212:O219" si="234">D212</f>
        <v>Полное-факел</v>
      </c>
      <c r="P212" s="31" t="s">
        <v>46</v>
      </c>
      <c r="Q212" s="31" t="s">
        <v>46</v>
      </c>
      <c r="R212" s="31" t="s">
        <v>46</v>
      </c>
      <c r="S212" s="31" t="s">
        <v>46</v>
      </c>
      <c r="T212" s="31" t="s">
        <v>46</v>
      </c>
      <c r="U212" s="31" t="s">
        <v>46</v>
      </c>
      <c r="V212" s="31" t="s">
        <v>46</v>
      </c>
      <c r="W212" s="31" t="s">
        <v>46</v>
      </c>
      <c r="X212" s="31" t="s">
        <v>46</v>
      </c>
      <c r="Y212" s="31">
        <v>20</v>
      </c>
      <c r="Z212" s="31">
        <v>3</v>
      </c>
      <c r="AA212" s="31" t="s">
        <v>46</v>
      </c>
      <c r="AB212" s="31" t="s">
        <v>46</v>
      </c>
      <c r="AC212" s="31" t="s">
        <v>46</v>
      </c>
      <c r="AD212" s="31" t="s">
        <v>46</v>
      </c>
      <c r="AE212" s="31" t="s">
        <v>46</v>
      </c>
      <c r="AF212" s="31" t="s">
        <v>46</v>
      </c>
      <c r="AG212" s="31" t="s">
        <v>46</v>
      </c>
      <c r="AH212" s="31" t="s">
        <v>46</v>
      </c>
      <c r="AI212" s="31" t="s">
        <v>46</v>
      </c>
      <c r="AJ212" s="12">
        <v>1</v>
      </c>
      <c r="AK212" s="12">
        <v>2</v>
      </c>
      <c r="AL212" s="64">
        <v>0.75</v>
      </c>
      <c r="AM212" s="64">
        <v>2.7E-2</v>
      </c>
      <c r="AN212" s="64">
        <v>3</v>
      </c>
      <c r="AO212" s="31"/>
      <c r="AP212" s="31"/>
      <c r="AQ212" s="32">
        <f>AM212*I212+AL212</f>
        <v>0.75405</v>
      </c>
      <c r="AR212" s="32">
        <f>0.1*AQ212</f>
        <v>7.5405E-2</v>
      </c>
      <c r="AS212" s="33">
        <f>AJ212*3+0.25*AK212</f>
        <v>3.5</v>
      </c>
      <c r="AT212" s="33">
        <f>SUM(AQ212:AS212)/4</f>
        <v>1.0823637500000001</v>
      </c>
      <c r="AU212" s="32">
        <f>10068.2*J212*POWER(10,-6)</f>
        <v>1.51023E-3</v>
      </c>
      <c r="AV212" s="33">
        <f t="shared" ref="AV212:AV219" si="235">AU212+AT212+AS212+AR212+AQ212</f>
        <v>5.4133289800000002</v>
      </c>
      <c r="AW212" s="34">
        <f>AJ212*H212</f>
        <v>6.0000000000000008E-5</v>
      </c>
      <c r="AX212" s="34">
        <f>H212*AK212</f>
        <v>1.2000000000000002E-4</v>
      </c>
      <c r="AY212" s="34">
        <f>H212*AV212</f>
        <v>3.2479973880000004E-4</v>
      </c>
      <c r="AZ212" s="289">
        <f>AW212/[1]DB!$B$23</f>
        <v>7.228915662650603E-8</v>
      </c>
      <c r="BA212" s="289">
        <f>AX212/[1]DB!$B$23</f>
        <v>1.4457831325301206E-7</v>
      </c>
    </row>
    <row r="213" spans="1:53" x14ac:dyDescent="0.3">
      <c r="A213" s="8" t="s">
        <v>702</v>
      </c>
      <c r="B213" s="8" t="str">
        <f>B212</f>
        <v>Компрессорная установка, попутный нефтяной газ</v>
      </c>
      <c r="C213" s="78" t="s">
        <v>499</v>
      </c>
      <c r="D213" s="9" t="s">
        <v>28</v>
      </c>
      <c r="E213" s="66">
        <f>E212</f>
        <v>1E-4</v>
      </c>
      <c r="F213" s="67">
        <f>F212</f>
        <v>3</v>
      </c>
      <c r="G213" s="8">
        <v>0.1152</v>
      </c>
      <c r="H213" s="10">
        <f t="shared" ref="H213:H219" si="236">E213*F213*G213</f>
        <v>3.4560000000000001E-5</v>
      </c>
      <c r="I213" s="61">
        <f>I212</f>
        <v>0.15</v>
      </c>
      <c r="J213" s="79">
        <f>0.1*I212</f>
        <v>1.4999999999999999E-2</v>
      </c>
      <c r="K213" s="73" t="s">
        <v>123</v>
      </c>
      <c r="L213" s="77">
        <v>3</v>
      </c>
      <c r="M213" s="31" t="str">
        <f t="shared" si="233"/>
        <v>C150</v>
      </c>
      <c r="N213" s="31" t="str">
        <f t="shared" si="233"/>
        <v>Компрессорная установка, попутный нефтяной газ</v>
      </c>
      <c r="O213" s="31" t="str">
        <f t="shared" si="234"/>
        <v>Полное-взрыв</v>
      </c>
      <c r="P213" s="31" t="s">
        <v>46</v>
      </c>
      <c r="Q213" s="31" t="s">
        <v>46</v>
      </c>
      <c r="R213" s="31" t="s">
        <v>46</v>
      </c>
      <c r="S213" s="31" t="s">
        <v>46</v>
      </c>
      <c r="T213" s="31">
        <v>0</v>
      </c>
      <c r="U213" s="31">
        <v>0</v>
      </c>
      <c r="V213" s="31">
        <v>18.600000000000001</v>
      </c>
      <c r="W213" s="31">
        <v>62.1</v>
      </c>
      <c r="X213" s="31">
        <v>91.1</v>
      </c>
      <c r="Y213" s="31" t="s">
        <v>46</v>
      </c>
      <c r="Z213" s="31" t="s">
        <v>46</v>
      </c>
      <c r="AA213" s="31" t="s">
        <v>46</v>
      </c>
      <c r="AB213" s="31" t="s">
        <v>46</v>
      </c>
      <c r="AC213" s="31" t="s">
        <v>46</v>
      </c>
      <c r="AD213" s="31" t="s">
        <v>46</v>
      </c>
      <c r="AE213" s="31" t="s">
        <v>46</v>
      </c>
      <c r="AF213" s="31" t="s">
        <v>46</v>
      </c>
      <c r="AG213" s="31" t="s">
        <v>46</v>
      </c>
      <c r="AH213" s="31" t="s">
        <v>46</v>
      </c>
      <c r="AI213" s="31" t="s">
        <v>46</v>
      </c>
      <c r="AJ213" s="12">
        <v>2</v>
      </c>
      <c r="AK213" s="12">
        <v>2</v>
      </c>
      <c r="AL213" s="31">
        <f>AL212</f>
        <v>0.75</v>
      </c>
      <c r="AM213" s="31">
        <f>AM212</f>
        <v>2.7E-2</v>
      </c>
      <c r="AN213" s="31">
        <f>AN212</f>
        <v>3</v>
      </c>
      <c r="AO213" s="31"/>
      <c r="AP213" s="31"/>
      <c r="AQ213" s="32">
        <f>AM213*I213+AL213</f>
        <v>0.75405</v>
      </c>
      <c r="AR213" s="32">
        <f t="shared" ref="AR213:AR219" si="237">0.1*AQ213</f>
        <v>7.5405E-2</v>
      </c>
      <c r="AS213" s="33">
        <f t="shared" ref="AS213:AS219" si="238">AJ213*3+0.25*AK213</f>
        <v>6.5</v>
      </c>
      <c r="AT213" s="33">
        <f t="shared" ref="AT213:AT219" si="239">SUM(AQ213:AS213)/4</f>
        <v>1.8323637500000001</v>
      </c>
      <c r="AU213" s="32">
        <f>10068.2*J213*POWER(10,-6)*10</f>
        <v>1.51023E-3</v>
      </c>
      <c r="AV213" s="33">
        <f t="shared" si="235"/>
        <v>9.1633289799999993</v>
      </c>
      <c r="AW213" s="34">
        <f t="shared" ref="AW213:AW219" si="240">AJ213*H213</f>
        <v>6.9120000000000002E-5</v>
      </c>
      <c r="AX213" s="34">
        <f t="shared" ref="AX213:AX219" si="241">H213*AK213</f>
        <v>6.9120000000000002E-5</v>
      </c>
      <c r="AY213" s="34">
        <f t="shared" ref="AY213:AY219" si="242">H213*AV213</f>
        <v>3.1668464954879997E-4</v>
      </c>
      <c r="AZ213" s="289">
        <f>AW213/[1]DB!$B$23</f>
        <v>8.327710843373494E-8</v>
      </c>
      <c r="BA213" s="289">
        <f>AX213/[1]DB!$B$23</f>
        <v>8.327710843373494E-8</v>
      </c>
    </row>
    <row r="214" spans="1:53" x14ac:dyDescent="0.3">
      <c r="A214" s="8" t="s">
        <v>703</v>
      </c>
      <c r="B214" s="8" t="str">
        <f>B212</f>
        <v>Компрессорная установка, попутный нефтяной газ</v>
      </c>
      <c r="C214" s="78" t="s">
        <v>500</v>
      </c>
      <c r="D214" s="9" t="s">
        <v>132</v>
      </c>
      <c r="E214" s="66">
        <f>E212</f>
        <v>1E-4</v>
      </c>
      <c r="F214" s="67">
        <f>F212</f>
        <v>3</v>
      </c>
      <c r="G214" s="8">
        <v>7.6799999999999993E-2</v>
      </c>
      <c r="H214" s="10">
        <f>E214*F214*G214</f>
        <v>2.304E-5</v>
      </c>
      <c r="I214" s="61">
        <f>I212</f>
        <v>0.15</v>
      </c>
      <c r="J214" s="68">
        <f>I212</f>
        <v>0.15</v>
      </c>
      <c r="K214" s="73" t="s">
        <v>124</v>
      </c>
      <c r="L214" s="77">
        <v>0</v>
      </c>
      <c r="M214" s="31" t="str">
        <f>A214</f>
        <v>C151</v>
      </c>
      <c r="N214" s="31" t="str">
        <f>B214</f>
        <v>Компрессорная установка, попутный нефтяной газ</v>
      </c>
      <c r="O214" s="31" t="str">
        <f>D214</f>
        <v>Полное-вспышка</v>
      </c>
      <c r="P214" s="31" t="s">
        <v>46</v>
      </c>
      <c r="Q214" s="31" t="s">
        <v>46</v>
      </c>
      <c r="R214" s="31" t="s">
        <v>46</v>
      </c>
      <c r="S214" s="31" t="s">
        <v>46</v>
      </c>
      <c r="T214" s="31" t="s">
        <v>46</v>
      </c>
      <c r="U214" s="31" t="s">
        <v>46</v>
      </c>
      <c r="V214" s="31" t="s">
        <v>46</v>
      </c>
      <c r="W214" s="31" t="s">
        <v>46</v>
      </c>
      <c r="X214" s="31" t="s">
        <v>46</v>
      </c>
      <c r="Y214" s="31" t="s">
        <v>46</v>
      </c>
      <c r="Z214" s="31" t="s">
        <v>46</v>
      </c>
      <c r="AA214" s="31">
        <v>17.920000000000002</v>
      </c>
      <c r="AB214" s="31">
        <v>21.5</v>
      </c>
      <c r="AC214" s="31" t="s">
        <v>46</v>
      </c>
      <c r="AD214" s="31" t="s">
        <v>46</v>
      </c>
      <c r="AE214" s="31" t="s">
        <v>46</v>
      </c>
      <c r="AF214" s="31" t="s">
        <v>46</v>
      </c>
      <c r="AG214" s="31" t="s">
        <v>46</v>
      </c>
      <c r="AH214" s="31" t="s">
        <v>46</v>
      </c>
      <c r="AI214" s="31" t="s">
        <v>46</v>
      </c>
      <c r="AJ214" s="31">
        <v>0</v>
      </c>
      <c r="AK214" s="31">
        <v>0</v>
      </c>
      <c r="AL214" s="31">
        <f>AL212</f>
        <v>0.75</v>
      </c>
      <c r="AM214" s="31">
        <f>AM212</f>
        <v>2.7E-2</v>
      </c>
      <c r="AN214" s="31">
        <f>AN212</f>
        <v>3</v>
      </c>
      <c r="AO214" s="31"/>
      <c r="AP214" s="31"/>
      <c r="AQ214" s="32">
        <f>AM214*I214*0.1+AL214</f>
        <v>0.75040499999999999</v>
      </c>
      <c r="AR214" s="32">
        <f>0.1*AQ214</f>
        <v>7.504050000000001E-2</v>
      </c>
      <c r="AS214" s="33">
        <f>AJ214*3+0.25*AK214</f>
        <v>0</v>
      </c>
      <c r="AT214" s="33">
        <f>SUM(AQ214:AS214)/4</f>
        <v>0.20636137500000001</v>
      </c>
      <c r="AU214" s="32">
        <f>1333*J212*POWER(10,-6)</f>
        <v>1.9994999999999998E-4</v>
      </c>
      <c r="AV214" s="33">
        <f>AU214+AT214+AS214+AR214+AQ214</f>
        <v>1.0320068250000001</v>
      </c>
      <c r="AW214" s="34">
        <f t="shared" si="240"/>
        <v>0</v>
      </c>
      <c r="AX214" s="34">
        <f t="shared" si="241"/>
        <v>0</v>
      </c>
      <c r="AY214" s="34">
        <f t="shared" si="242"/>
        <v>2.3777437248E-5</v>
      </c>
      <c r="AZ214" s="289">
        <f>AW214/[1]DB!$B$23</f>
        <v>0</v>
      </c>
      <c r="BA214" s="289">
        <f>AX214/[1]DB!$B$23</f>
        <v>0</v>
      </c>
    </row>
    <row r="215" spans="1:53" x14ac:dyDescent="0.3">
      <c r="A215" s="8" t="s">
        <v>704</v>
      </c>
      <c r="B215" s="8" t="str">
        <f>B212</f>
        <v>Компрессорная установка, попутный нефтяной газ</v>
      </c>
      <c r="C215" s="78" t="s">
        <v>501</v>
      </c>
      <c r="D215" s="9" t="s">
        <v>26</v>
      </c>
      <c r="E215" s="66">
        <f>E212</f>
        <v>1E-4</v>
      </c>
      <c r="F215" s="67">
        <f>F212</f>
        <v>3</v>
      </c>
      <c r="G215" s="8">
        <v>0.60799999999999998</v>
      </c>
      <c r="H215" s="10">
        <f t="shared" si="236"/>
        <v>1.8240000000000002E-4</v>
      </c>
      <c r="I215" s="61">
        <f>I212</f>
        <v>0.15</v>
      </c>
      <c r="J215" s="70">
        <v>0</v>
      </c>
      <c r="K215" s="73" t="s">
        <v>126</v>
      </c>
      <c r="L215" s="77">
        <v>45390</v>
      </c>
      <c r="M215" s="31" t="str">
        <f t="shared" si="233"/>
        <v>C152</v>
      </c>
      <c r="N215" s="31" t="str">
        <f t="shared" si="233"/>
        <v>Компрессорная установка, попутный нефтяной газ</v>
      </c>
      <c r="O215" s="31" t="str">
        <f t="shared" si="234"/>
        <v>Полное-ликвидация</v>
      </c>
      <c r="P215" s="31" t="s">
        <v>46</v>
      </c>
      <c r="Q215" s="31" t="s">
        <v>46</v>
      </c>
      <c r="R215" s="31" t="s">
        <v>46</v>
      </c>
      <c r="S215" s="31" t="s">
        <v>46</v>
      </c>
      <c r="T215" s="31" t="s">
        <v>46</v>
      </c>
      <c r="U215" s="31" t="s">
        <v>46</v>
      </c>
      <c r="V215" s="31" t="s">
        <v>46</v>
      </c>
      <c r="W215" s="31" t="s">
        <v>46</v>
      </c>
      <c r="X215" s="31" t="s">
        <v>46</v>
      </c>
      <c r="Y215" s="31" t="s">
        <v>46</v>
      </c>
      <c r="Z215" s="31" t="s">
        <v>46</v>
      </c>
      <c r="AA215" s="31" t="s">
        <v>46</v>
      </c>
      <c r="AB215" s="31" t="s">
        <v>46</v>
      </c>
      <c r="AC215" s="31" t="s">
        <v>46</v>
      </c>
      <c r="AD215" s="31" t="s">
        <v>46</v>
      </c>
      <c r="AE215" s="31" t="s">
        <v>46</v>
      </c>
      <c r="AF215" s="31" t="s">
        <v>46</v>
      </c>
      <c r="AG215" s="31" t="s">
        <v>46</v>
      </c>
      <c r="AH215" s="31" t="s">
        <v>46</v>
      </c>
      <c r="AI215" s="31" t="s">
        <v>46</v>
      </c>
      <c r="AJ215" s="31">
        <v>0</v>
      </c>
      <c r="AK215" s="31">
        <v>0</v>
      </c>
      <c r="AL215" s="31">
        <f>AL212</f>
        <v>0.75</v>
      </c>
      <c r="AM215" s="31">
        <f>AM212</f>
        <v>2.7E-2</v>
      </c>
      <c r="AN215" s="31">
        <f>AN212</f>
        <v>3</v>
      </c>
      <c r="AO215" s="31"/>
      <c r="AP215" s="31"/>
      <c r="AQ215" s="32">
        <f>AM215*I215*0.1+AL215</f>
        <v>0.75040499999999999</v>
      </c>
      <c r="AR215" s="32">
        <f t="shared" si="237"/>
        <v>7.504050000000001E-2</v>
      </c>
      <c r="AS215" s="33">
        <f t="shared" si="238"/>
        <v>0</v>
      </c>
      <c r="AT215" s="33">
        <f t="shared" si="239"/>
        <v>0.20636137500000001</v>
      </c>
      <c r="AU215" s="32">
        <f>1333*J213*POWER(10,-6)</f>
        <v>1.9995000000000001E-5</v>
      </c>
      <c r="AV215" s="33">
        <f t="shared" si="235"/>
        <v>1.03182687</v>
      </c>
      <c r="AW215" s="34">
        <f t="shared" si="240"/>
        <v>0</v>
      </c>
      <c r="AX215" s="34">
        <f t="shared" si="241"/>
        <v>0</v>
      </c>
      <c r="AY215" s="34">
        <f t="shared" si="242"/>
        <v>1.88205221088E-4</v>
      </c>
      <c r="AZ215" s="289">
        <f>AW215/[1]DB!$B$23</f>
        <v>0</v>
      </c>
      <c r="BA215" s="289">
        <f>AX215/[1]DB!$B$23</f>
        <v>0</v>
      </c>
    </row>
    <row r="216" spans="1:53" x14ac:dyDescent="0.3">
      <c r="A216" s="8" t="s">
        <v>705</v>
      </c>
      <c r="B216" s="8" t="str">
        <f>B212</f>
        <v>Компрессорная установка, попутный нефтяной газ</v>
      </c>
      <c r="C216" s="78" t="s">
        <v>502</v>
      </c>
      <c r="D216" s="9" t="s">
        <v>134</v>
      </c>
      <c r="E216" s="65">
        <v>4.4000000000000003E-3</v>
      </c>
      <c r="F216" s="67">
        <f t="shared" ref="F216:F218" si="243">F213</f>
        <v>3</v>
      </c>
      <c r="G216" s="8">
        <v>3.5000000000000003E-2</v>
      </c>
      <c r="H216" s="10">
        <f t="shared" si="236"/>
        <v>4.6200000000000006E-4</v>
      </c>
      <c r="I216" s="61">
        <f>0.15*I212</f>
        <v>2.2499999999999999E-2</v>
      </c>
      <c r="J216" s="68">
        <f>I216</f>
        <v>2.2499999999999999E-2</v>
      </c>
      <c r="K216" s="73" t="s">
        <v>127</v>
      </c>
      <c r="L216" s="77">
        <v>3</v>
      </c>
      <c r="M216" s="31" t="str">
        <f t="shared" si="233"/>
        <v>C153</v>
      </c>
      <c r="N216" s="31" t="str">
        <f t="shared" si="233"/>
        <v>Компрессорная установка, попутный нефтяной газ</v>
      </c>
      <c r="O216" s="31" t="str">
        <f t="shared" si="234"/>
        <v>Частичное-факел</v>
      </c>
      <c r="P216" s="31" t="s">
        <v>46</v>
      </c>
      <c r="Q216" s="31" t="s">
        <v>46</v>
      </c>
      <c r="R216" s="31" t="s">
        <v>46</v>
      </c>
      <c r="S216" s="31" t="s">
        <v>46</v>
      </c>
      <c r="T216" s="31" t="s">
        <v>46</v>
      </c>
      <c r="U216" s="31" t="s">
        <v>46</v>
      </c>
      <c r="V216" s="31" t="s">
        <v>46</v>
      </c>
      <c r="W216" s="31" t="s">
        <v>46</v>
      </c>
      <c r="X216" s="31" t="s">
        <v>46</v>
      </c>
      <c r="Y216" s="31">
        <v>13</v>
      </c>
      <c r="Z216" s="31">
        <v>2</v>
      </c>
      <c r="AA216" s="31" t="s">
        <v>46</v>
      </c>
      <c r="AB216" s="31" t="s">
        <v>46</v>
      </c>
      <c r="AC216" s="31" t="s">
        <v>46</v>
      </c>
      <c r="AD216" s="31" t="s">
        <v>46</v>
      </c>
      <c r="AE216" s="31" t="s">
        <v>46</v>
      </c>
      <c r="AF216" s="31" t="s">
        <v>46</v>
      </c>
      <c r="AG216" s="31" t="s">
        <v>46</v>
      </c>
      <c r="AH216" s="31" t="s">
        <v>46</v>
      </c>
      <c r="AI216" s="31" t="s">
        <v>46</v>
      </c>
      <c r="AJ216" s="31">
        <v>0</v>
      </c>
      <c r="AK216" s="31">
        <v>1</v>
      </c>
      <c r="AL216" s="31">
        <f>0.1*$AL$2</f>
        <v>7.5000000000000011E-2</v>
      </c>
      <c r="AM216" s="31">
        <f>AM212</f>
        <v>2.7E-2</v>
      </c>
      <c r="AN216" s="31">
        <f>ROUNDUP(AN212/3,0)</f>
        <v>1</v>
      </c>
      <c r="AO216" s="31"/>
      <c r="AP216" s="31"/>
      <c r="AQ216" s="32">
        <f>AM216*I216+AL216</f>
        <v>7.5607500000000008E-2</v>
      </c>
      <c r="AR216" s="32">
        <f t="shared" si="237"/>
        <v>7.5607500000000015E-3</v>
      </c>
      <c r="AS216" s="33">
        <f t="shared" si="238"/>
        <v>0.25</v>
      </c>
      <c r="AT216" s="33">
        <f t="shared" si="239"/>
        <v>8.32920625E-2</v>
      </c>
      <c r="AU216" s="32">
        <f>10068.2*J216*POWER(10,-6)</f>
        <v>2.265345E-4</v>
      </c>
      <c r="AV216" s="33">
        <f t="shared" si="235"/>
        <v>0.41668684699999997</v>
      </c>
      <c r="AW216" s="34">
        <f t="shared" si="240"/>
        <v>0</v>
      </c>
      <c r="AX216" s="34">
        <f t="shared" si="241"/>
        <v>4.6200000000000006E-4</v>
      </c>
      <c r="AY216" s="34">
        <f t="shared" si="242"/>
        <v>1.9250932331400003E-4</v>
      </c>
      <c r="AZ216" s="289">
        <f>AW216/[1]DB!$B$23</f>
        <v>0</v>
      </c>
      <c r="BA216" s="289">
        <f>AX216/[1]DB!$B$23</f>
        <v>5.5662650602409651E-7</v>
      </c>
    </row>
    <row r="217" spans="1:53" x14ac:dyDescent="0.3">
      <c r="A217" s="8" t="s">
        <v>706</v>
      </c>
      <c r="B217" s="8" t="str">
        <f>B212</f>
        <v>Компрессорная установка, попутный нефтяной газ</v>
      </c>
      <c r="C217" s="78" t="s">
        <v>503</v>
      </c>
      <c r="D217" s="9" t="s">
        <v>136</v>
      </c>
      <c r="E217" s="66">
        <f>E216</f>
        <v>4.4000000000000003E-3</v>
      </c>
      <c r="F217" s="67">
        <f t="shared" si="243"/>
        <v>3</v>
      </c>
      <c r="G217" s="8">
        <v>8.3000000000000001E-3</v>
      </c>
      <c r="H217" s="10">
        <f>E217*F217*G217</f>
        <v>1.0956E-4</v>
      </c>
      <c r="I217" s="61">
        <f>I216</f>
        <v>2.2499999999999999E-2</v>
      </c>
      <c r="J217" s="68">
        <f>J213*0.6</f>
        <v>8.9999999999999993E-3</v>
      </c>
      <c r="K217" s="72" t="s">
        <v>138</v>
      </c>
      <c r="L217" s="129">
        <v>4</v>
      </c>
      <c r="M217" s="31" t="str">
        <f>A217</f>
        <v>C154</v>
      </c>
      <c r="N217" s="31" t="str">
        <f>B217</f>
        <v>Компрессорная установка, попутный нефтяной газ</v>
      </c>
      <c r="O217" s="31" t="str">
        <f>D217</f>
        <v>Частичное-взрыв</v>
      </c>
      <c r="P217" s="31" t="s">
        <v>46</v>
      </c>
      <c r="Q217" s="31" t="s">
        <v>46</v>
      </c>
      <c r="R217" s="31" t="s">
        <v>46</v>
      </c>
      <c r="S217" s="31" t="s">
        <v>46</v>
      </c>
      <c r="T217" s="31">
        <v>0</v>
      </c>
      <c r="U217" s="31">
        <v>0</v>
      </c>
      <c r="V217" s="31">
        <v>15.6</v>
      </c>
      <c r="W217" s="31">
        <v>52.6</v>
      </c>
      <c r="X217" s="31">
        <v>76.599999999999994</v>
      </c>
      <c r="Y217" s="31" t="s">
        <v>46</v>
      </c>
      <c r="Z217" s="31" t="s">
        <v>46</v>
      </c>
      <c r="AA217" s="31" t="s">
        <v>46</v>
      </c>
      <c r="AB217" s="31" t="s">
        <v>46</v>
      </c>
      <c r="AC217" s="31" t="s">
        <v>46</v>
      </c>
      <c r="AD217" s="31" t="s">
        <v>46</v>
      </c>
      <c r="AE217" s="31" t="s">
        <v>46</v>
      </c>
      <c r="AF217" s="31" t="s">
        <v>46</v>
      </c>
      <c r="AG217" s="31" t="s">
        <v>46</v>
      </c>
      <c r="AH217" s="31" t="s">
        <v>46</v>
      </c>
      <c r="AI217" s="31" t="s">
        <v>46</v>
      </c>
      <c r="AJ217" s="31">
        <v>0</v>
      </c>
      <c r="AK217" s="31">
        <v>1</v>
      </c>
      <c r="AL217" s="31">
        <f>0.1*$AL$2</f>
        <v>7.5000000000000011E-2</v>
      </c>
      <c r="AM217" s="31">
        <f>AM212</f>
        <v>2.7E-2</v>
      </c>
      <c r="AN217" s="31">
        <f>AN216</f>
        <v>1</v>
      </c>
      <c r="AO217" s="31"/>
      <c r="AP217" s="31"/>
      <c r="AQ217" s="32">
        <f>AM217*I217+AL217</f>
        <v>7.5607500000000008E-2</v>
      </c>
      <c r="AR217" s="32">
        <f>0.1*AQ217</f>
        <v>7.5607500000000015E-3</v>
      </c>
      <c r="AS217" s="33">
        <f>AJ217*3+0.25*AK217</f>
        <v>0.25</v>
      </c>
      <c r="AT217" s="33">
        <f>SUM(AQ217:AS217)/4</f>
        <v>8.32920625E-2</v>
      </c>
      <c r="AU217" s="32">
        <f>10068.2*J217*POWER(10,-6)*10</f>
        <v>9.0613799999999991E-4</v>
      </c>
      <c r="AV217" s="33">
        <f>AU217+AT217+AS217+AR217+AQ217</f>
        <v>0.41736645049999999</v>
      </c>
      <c r="AW217" s="34">
        <f t="shared" si="240"/>
        <v>0</v>
      </c>
      <c r="AX217" s="34">
        <f t="shared" si="241"/>
        <v>1.0956E-4</v>
      </c>
      <c r="AY217" s="34">
        <f t="shared" si="242"/>
        <v>4.5726668316779998E-5</v>
      </c>
      <c r="AZ217" s="289">
        <f>AW217/[1]DB!$B$23</f>
        <v>0</v>
      </c>
      <c r="BA217" s="289">
        <f>AX217/[1]DB!$B$23</f>
        <v>1.3199999999999999E-7</v>
      </c>
    </row>
    <row r="218" spans="1:53" x14ac:dyDescent="0.3">
      <c r="A218" s="8" t="s">
        <v>707</v>
      </c>
      <c r="B218" s="8" t="str">
        <f>B212</f>
        <v>Компрессорная установка, попутный нефтяной газ</v>
      </c>
      <c r="C218" s="78" t="s">
        <v>504</v>
      </c>
      <c r="D218" s="9" t="s">
        <v>112</v>
      </c>
      <c r="E218" s="66">
        <f>E216</f>
        <v>4.4000000000000003E-3</v>
      </c>
      <c r="F218" s="67">
        <f t="shared" si="243"/>
        <v>3</v>
      </c>
      <c r="G218" s="8">
        <v>2.64E-2</v>
      </c>
      <c r="H218" s="10">
        <f t="shared" si="236"/>
        <v>3.4847999999999997E-4</v>
      </c>
      <c r="I218" s="61">
        <f>0.15*I212</f>
        <v>2.2499999999999999E-2</v>
      </c>
      <c r="J218" s="68">
        <f>J214*0.15</f>
        <v>2.2499999999999999E-2</v>
      </c>
      <c r="K218" s="334" t="s">
        <v>466</v>
      </c>
      <c r="L218" s="287" t="s">
        <v>639</v>
      </c>
      <c r="M218" s="31" t="str">
        <f t="shared" si="233"/>
        <v>C155</v>
      </c>
      <c r="N218" s="31" t="str">
        <f t="shared" si="233"/>
        <v>Компрессорная установка, попутный нефтяной газ</v>
      </c>
      <c r="O218" s="31" t="str">
        <f t="shared" si="234"/>
        <v>Частичное-пожар-вспышка</v>
      </c>
      <c r="P218" s="31" t="s">
        <v>46</v>
      </c>
      <c r="Q218" s="31" t="s">
        <v>46</v>
      </c>
      <c r="R218" s="31" t="s">
        <v>46</v>
      </c>
      <c r="S218" s="31" t="s">
        <v>46</v>
      </c>
      <c r="T218" s="31" t="s">
        <v>46</v>
      </c>
      <c r="U218" s="31" t="s">
        <v>46</v>
      </c>
      <c r="V218" s="31" t="s">
        <v>46</v>
      </c>
      <c r="W218" s="31" t="s">
        <v>46</v>
      </c>
      <c r="X218" s="31" t="s">
        <v>46</v>
      </c>
      <c r="Y218" s="31" t="s">
        <v>46</v>
      </c>
      <c r="Z218" s="31" t="s">
        <v>46</v>
      </c>
      <c r="AA218" s="31">
        <v>9.58</v>
      </c>
      <c r="AB218" s="31">
        <v>11.5</v>
      </c>
      <c r="AC218" s="31" t="s">
        <v>46</v>
      </c>
      <c r="AD218" s="31" t="s">
        <v>46</v>
      </c>
      <c r="AE218" s="31" t="s">
        <v>46</v>
      </c>
      <c r="AF218" s="31" t="s">
        <v>46</v>
      </c>
      <c r="AG218" s="31" t="s">
        <v>46</v>
      </c>
      <c r="AH218" s="31" t="s">
        <v>46</v>
      </c>
      <c r="AI218" s="31" t="s">
        <v>46</v>
      </c>
      <c r="AJ218" s="31">
        <v>0</v>
      </c>
      <c r="AK218" s="31">
        <v>1</v>
      </c>
      <c r="AL218" s="31">
        <f>0.1*$AL$2</f>
        <v>7.5000000000000011E-2</v>
      </c>
      <c r="AM218" s="31">
        <f>AM212</f>
        <v>2.7E-2</v>
      </c>
      <c r="AN218" s="31">
        <f>ROUNDUP(AN212/3,0)</f>
        <v>1</v>
      </c>
      <c r="AO218" s="31"/>
      <c r="AP218" s="31"/>
      <c r="AQ218" s="32">
        <f>AM218*I218+AL218</f>
        <v>7.5607500000000008E-2</v>
      </c>
      <c r="AR218" s="32">
        <f t="shared" si="237"/>
        <v>7.5607500000000015E-3</v>
      </c>
      <c r="AS218" s="33">
        <f t="shared" si="238"/>
        <v>0.25</v>
      </c>
      <c r="AT218" s="33">
        <f t="shared" si="239"/>
        <v>8.32920625E-2</v>
      </c>
      <c r="AU218" s="32">
        <f>10068.2*J218*POWER(10,-6)*10</f>
        <v>2.2653450000000002E-3</v>
      </c>
      <c r="AV218" s="33">
        <f t="shared" si="235"/>
        <v>0.41872565750000001</v>
      </c>
      <c r="AW218" s="34">
        <f t="shared" si="240"/>
        <v>0</v>
      </c>
      <c r="AX218" s="34">
        <f t="shared" si="241"/>
        <v>3.4847999999999997E-4</v>
      </c>
      <c r="AY218" s="34">
        <f t="shared" si="242"/>
        <v>1.4591751712559998E-4</v>
      </c>
      <c r="AZ218" s="289">
        <f>AW218/[1]DB!$B$23</f>
        <v>0</v>
      </c>
      <c r="BA218" s="289">
        <f>AX218/[1]DB!$B$23</f>
        <v>4.1985542168674696E-7</v>
      </c>
    </row>
    <row r="219" spans="1:53" ht="15" thickBot="1" x14ac:dyDescent="0.35">
      <c r="A219" s="8" t="s">
        <v>708</v>
      </c>
      <c r="B219" s="8" t="str">
        <f>B212</f>
        <v>Компрессорная установка, попутный нефтяной газ</v>
      </c>
      <c r="C219" s="78" t="s">
        <v>505</v>
      </c>
      <c r="D219" s="9" t="s">
        <v>27</v>
      </c>
      <c r="E219" s="66">
        <f>E216</f>
        <v>4.4000000000000003E-3</v>
      </c>
      <c r="F219" s="67">
        <f>F212</f>
        <v>3</v>
      </c>
      <c r="G219" s="8">
        <v>0.93030000000000002</v>
      </c>
      <c r="H219" s="10">
        <f t="shared" si="236"/>
        <v>1.2279959999999999E-2</v>
      </c>
      <c r="I219" s="61">
        <f>0.15*I212</f>
        <v>2.2499999999999999E-2</v>
      </c>
      <c r="J219" s="70">
        <v>0</v>
      </c>
      <c r="K219" s="74"/>
      <c r="L219" s="75"/>
      <c r="M219" s="31" t="str">
        <f t="shared" si="233"/>
        <v>C156</v>
      </c>
      <c r="N219" s="31" t="str">
        <f t="shared" si="233"/>
        <v>Компрессорная установка, попутный нефтяной газ</v>
      </c>
      <c r="O219" s="31" t="str">
        <f t="shared" si="234"/>
        <v>Частичное-ликвидация</v>
      </c>
      <c r="P219" s="31" t="s">
        <v>46</v>
      </c>
      <c r="Q219" s="31" t="s">
        <v>46</v>
      </c>
      <c r="R219" s="31" t="s">
        <v>46</v>
      </c>
      <c r="S219" s="31" t="s">
        <v>46</v>
      </c>
      <c r="T219" s="31" t="s">
        <v>46</v>
      </c>
      <c r="U219" s="31" t="s">
        <v>46</v>
      </c>
      <c r="V219" s="31" t="s">
        <v>46</v>
      </c>
      <c r="W219" s="31" t="s">
        <v>46</v>
      </c>
      <c r="X219" s="31" t="s">
        <v>46</v>
      </c>
      <c r="Y219" s="31" t="s">
        <v>46</v>
      </c>
      <c r="Z219" s="31" t="s">
        <v>46</v>
      </c>
      <c r="AA219" s="31" t="s">
        <v>46</v>
      </c>
      <c r="AB219" s="31" t="s">
        <v>46</v>
      </c>
      <c r="AC219" s="31" t="s">
        <v>46</v>
      </c>
      <c r="AD219" s="31" t="s">
        <v>46</v>
      </c>
      <c r="AE219" s="31" t="s">
        <v>46</v>
      </c>
      <c r="AF219" s="31" t="s">
        <v>46</v>
      </c>
      <c r="AG219" s="31" t="s">
        <v>46</v>
      </c>
      <c r="AH219" s="31" t="s">
        <v>46</v>
      </c>
      <c r="AI219" s="31" t="s">
        <v>46</v>
      </c>
      <c r="AJ219" s="31">
        <v>0</v>
      </c>
      <c r="AK219" s="31">
        <v>0</v>
      </c>
      <c r="AL219" s="31">
        <f>0.1*$AL$2</f>
        <v>7.5000000000000011E-2</v>
      </c>
      <c r="AM219" s="31">
        <f>AM212</f>
        <v>2.7E-2</v>
      </c>
      <c r="AN219" s="31">
        <f>ROUNDUP(AN212/3,0)</f>
        <v>1</v>
      </c>
      <c r="AO219" s="31"/>
      <c r="AP219" s="31"/>
      <c r="AQ219" s="32">
        <f>AM219*I219*0.1+AL219</f>
        <v>7.5060750000000009E-2</v>
      </c>
      <c r="AR219" s="32">
        <f t="shared" si="237"/>
        <v>7.5060750000000009E-3</v>
      </c>
      <c r="AS219" s="33">
        <f t="shared" si="238"/>
        <v>0</v>
      </c>
      <c r="AT219" s="33">
        <f t="shared" si="239"/>
        <v>2.0641706250000003E-2</v>
      </c>
      <c r="AU219" s="32">
        <f>1333*J218*POWER(10,-6)</f>
        <v>2.9992499999999998E-5</v>
      </c>
      <c r="AV219" s="33">
        <f t="shared" si="235"/>
        <v>0.10323852375000001</v>
      </c>
      <c r="AW219" s="34">
        <f t="shared" si="240"/>
        <v>0</v>
      </c>
      <c r="AX219" s="34">
        <f t="shared" si="241"/>
        <v>0</v>
      </c>
      <c r="AY219" s="34">
        <f t="shared" si="242"/>
        <v>1.2677649421090501E-3</v>
      </c>
      <c r="AZ219" s="289">
        <f>AW219/[1]DB!$B$23</f>
        <v>0</v>
      </c>
      <c r="BA219" s="289">
        <f>AX219/[1]DB!$B$23</f>
        <v>0</v>
      </c>
    </row>
    <row r="220" spans="1:53" x14ac:dyDescent="0.3">
      <c r="A220" s="12"/>
      <c r="B220" s="12"/>
      <c r="C220" s="31"/>
      <c r="D220" s="166"/>
      <c r="E220" s="167"/>
      <c r="F220" s="168"/>
      <c r="G220" s="12"/>
      <c r="H220" s="34"/>
      <c r="I220" s="33"/>
      <c r="J220" s="12"/>
      <c r="K220" s="12"/>
      <c r="L220" s="12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2"/>
      <c r="AR220" s="32"/>
      <c r="AS220" s="33"/>
      <c r="AT220" s="33"/>
      <c r="AU220" s="32"/>
      <c r="AV220" s="33"/>
      <c r="AW220" s="34"/>
      <c r="AX220" s="34"/>
      <c r="AY220" s="34"/>
    </row>
    <row r="221" spans="1:53" ht="15" thickBot="1" x14ac:dyDescent="0.35"/>
    <row r="222" spans="1:53" ht="18" customHeight="1" x14ac:dyDescent="0.3">
      <c r="A222" s="8" t="s">
        <v>814</v>
      </c>
      <c r="B222" s="62" t="s">
        <v>709</v>
      </c>
      <c r="C222" s="78" t="s">
        <v>129</v>
      </c>
      <c r="D222" s="9" t="s">
        <v>130</v>
      </c>
      <c r="E222" s="65">
        <v>2.9999999999999999E-7</v>
      </c>
      <c r="F222" s="62">
        <v>550</v>
      </c>
      <c r="G222" s="8">
        <v>0.2</v>
      </c>
      <c r="H222" s="10">
        <f>E222*F222*G222</f>
        <v>3.3000000000000003E-5</v>
      </c>
      <c r="I222" s="63">
        <v>0.06</v>
      </c>
      <c r="J222" s="68">
        <f>I222</f>
        <v>0.06</v>
      </c>
      <c r="K222" s="71" t="s">
        <v>122</v>
      </c>
      <c r="L222" s="76">
        <v>0</v>
      </c>
      <c r="M222" s="31" t="str">
        <f t="shared" ref="M222:N229" si="244">A222</f>
        <v>C157</v>
      </c>
      <c r="N222" s="31" t="str">
        <f t="shared" si="244"/>
        <v>Технологический трубопровод  КС «Раевка» «Линия приема газа на КС», попутный нефтяной газ</v>
      </c>
      <c r="O222" s="31" t="str">
        <f t="shared" ref="O222:O229" si="245">D222</f>
        <v>Полное-факел</v>
      </c>
      <c r="P222" s="31" t="s">
        <v>46</v>
      </c>
      <c r="Q222" s="31" t="s">
        <v>46</v>
      </c>
      <c r="R222" s="31" t="s">
        <v>46</v>
      </c>
      <c r="S222" s="31" t="s">
        <v>46</v>
      </c>
      <c r="T222" s="31" t="s">
        <v>46</v>
      </c>
      <c r="U222" s="31" t="s">
        <v>46</v>
      </c>
      <c r="V222" s="31" t="s">
        <v>46</v>
      </c>
      <c r="W222" s="31" t="s">
        <v>46</v>
      </c>
      <c r="X222" s="31" t="s">
        <v>46</v>
      </c>
      <c r="Y222" s="31">
        <v>13</v>
      </c>
      <c r="Z222" s="31">
        <v>2</v>
      </c>
      <c r="AA222" s="31" t="s">
        <v>46</v>
      </c>
      <c r="AB222" s="31" t="s">
        <v>46</v>
      </c>
      <c r="AC222" s="31" t="s">
        <v>46</v>
      </c>
      <c r="AD222" s="31" t="s">
        <v>46</v>
      </c>
      <c r="AE222" s="31" t="s">
        <v>46</v>
      </c>
      <c r="AF222" s="31" t="s">
        <v>46</v>
      </c>
      <c r="AG222" s="31" t="s">
        <v>46</v>
      </c>
      <c r="AH222" s="31" t="s">
        <v>46</v>
      </c>
      <c r="AI222" s="31" t="s">
        <v>46</v>
      </c>
      <c r="AJ222" s="12">
        <v>1</v>
      </c>
      <c r="AK222" s="12">
        <v>2</v>
      </c>
      <c r="AL222" s="64">
        <v>0.75</v>
      </c>
      <c r="AM222" s="64">
        <v>2.7E-2</v>
      </c>
      <c r="AN222" s="64">
        <v>3</v>
      </c>
      <c r="AO222" s="31"/>
      <c r="AP222" s="31"/>
      <c r="AQ222" s="32">
        <f>AM222*I222+AL222</f>
        <v>0.75161999999999995</v>
      </c>
      <c r="AR222" s="32">
        <f>0.1*AQ222</f>
        <v>7.5162000000000007E-2</v>
      </c>
      <c r="AS222" s="33">
        <f>AJ222*3+0.25*AK222</f>
        <v>3.5</v>
      </c>
      <c r="AT222" s="33">
        <f>SUM(AQ222:AS222)/4</f>
        <v>1.0816954999999999</v>
      </c>
      <c r="AU222" s="32">
        <f>10068.2*J222*POWER(10,-6)</f>
        <v>6.0409199999999998E-4</v>
      </c>
      <c r="AV222" s="33">
        <f t="shared" ref="AV222:AV229" si="246">AU222+AT222+AS222+AR222+AQ222</f>
        <v>5.4090815919999997</v>
      </c>
      <c r="AW222" s="34">
        <f>AJ222*H222</f>
        <v>3.3000000000000003E-5</v>
      </c>
      <c r="AX222" s="34">
        <f>H222*AK222</f>
        <v>6.6000000000000005E-5</v>
      </c>
      <c r="AY222" s="34">
        <f>H222*AV222</f>
        <v>1.78499692536E-4</v>
      </c>
      <c r="AZ222" s="289">
        <f>AW222/[1]DB!$B$23</f>
        <v>3.9759036144578317E-8</v>
      </c>
      <c r="BA222" s="289">
        <f>AX222/[1]DB!$B$23</f>
        <v>7.9518072289156634E-8</v>
      </c>
    </row>
    <row r="223" spans="1:53" x14ac:dyDescent="0.3">
      <c r="A223" s="8" t="s">
        <v>815</v>
      </c>
      <c r="B223" s="8" t="str">
        <f>B222</f>
        <v>Технологический трубопровод  КС «Раевка» «Линия приема газа на КС», попутный нефтяной газ</v>
      </c>
      <c r="C223" s="78" t="s">
        <v>107</v>
      </c>
      <c r="D223" s="9" t="s">
        <v>28</v>
      </c>
      <c r="E223" s="66">
        <f>E222</f>
        <v>2.9999999999999999E-7</v>
      </c>
      <c r="F223" s="67">
        <f>F222</f>
        <v>550</v>
      </c>
      <c r="G223" s="8">
        <v>0.1152</v>
      </c>
      <c r="H223" s="10">
        <f t="shared" ref="H223:H229" si="247">E223*F223*G223</f>
        <v>1.9007999999999998E-5</v>
      </c>
      <c r="I223" s="61">
        <f>I222</f>
        <v>0.06</v>
      </c>
      <c r="J223" s="79">
        <f>0.1*I222</f>
        <v>6.0000000000000001E-3</v>
      </c>
      <c r="K223" s="73" t="s">
        <v>123</v>
      </c>
      <c r="L223" s="77">
        <v>1</v>
      </c>
      <c r="M223" s="31" t="str">
        <f t="shared" si="244"/>
        <v>C158</v>
      </c>
      <c r="N223" s="31" t="str">
        <f t="shared" si="244"/>
        <v>Технологический трубопровод  КС «Раевка» «Линия приема газа на КС», попутный нефтяной газ</v>
      </c>
      <c r="O223" s="31" t="str">
        <f t="shared" si="245"/>
        <v>Полное-взрыв</v>
      </c>
      <c r="P223" s="31" t="s">
        <v>46</v>
      </c>
      <c r="Q223" s="31" t="s">
        <v>46</v>
      </c>
      <c r="R223" s="31" t="s">
        <v>46</v>
      </c>
      <c r="S223" s="31" t="s">
        <v>46</v>
      </c>
      <c r="T223" s="31">
        <v>0</v>
      </c>
      <c r="U223" s="31">
        <v>0</v>
      </c>
      <c r="V223" s="31">
        <v>13.6</v>
      </c>
      <c r="W223" s="31">
        <v>46.1</v>
      </c>
      <c r="X223" s="31">
        <v>67.099999999999994</v>
      </c>
      <c r="Y223" s="31" t="s">
        <v>46</v>
      </c>
      <c r="Z223" s="31" t="s">
        <v>46</v>
      </c>
      <c r="AA223" s="31" t="s">
        <v>46</v>
      </c>
      <c r="AB223" s="31" t="s">
        <v>46</v>
      </c>
      <c r="AC223" s="31" t="s">
        <v>46</v>
      </c>
      <c r="AD223" s="31" t="s">
        <v>46</v>
      </c>
      <c r="AE223" s="31" t="s">
        <v>46</v>
      </c>
      <c r="AF223" s="31" t="s">
        <v>46</v>
      </c>
      <c r="AG223" s="31" t="s">
        <v>46</v>
      </c>
      <c r="AH223" s="31" t="s">
        <v>46</v>
      </c>
      <c r="AI223" s="31" t="s">
        <v>46</v>
      </c>
      <c r="AJ223" s="12">
        <v>1</v>
      </c>
      <c r="AK223" s="12">
        <v>2</v>
      </c>
      <c r="AL223" s="31">
        <f>AL222</f>
        <v>0.75</v>
      </c>
      <c r="AM223" s="31">
        <f>AM222</f>
        <v>2.7E-2</v>
      </c>
      <c r="AN223" s="31">
        <f>AN222</f>
        <v>3</v>
      </c>
      <c r="AO223" s="31"/>
      <c r="AP223" s="31"/>
      <c r="AQ223" s="32">
        <f>AM223*I223+AL223</f>
        <v>0.75161999999999995</v>
      </c>
      <c r="AR223" s="32">
        <f t="shared" ref="AR223:AR229" si="248">0.1*AQ223</f>
        <v>7.5162000000000007E-2</v>
      </c>
      <c r="AS223" s="33">
        <f t="shared" ref="AS223:AS229" si="249">AJ223*3+0.25*AK223</f>
        <v>3.5</v>
      </c>
      <c r="AT223" s="33">
        <f t="shared" ref="AT223:AT229" si="250">SUM(AQ223:AS223)/4</f>
        <v>1.0816954999999999</v>
      </c>
      <c r="AU223" s="32">
        <f>10068.2*J223*POWER(10,-6)*10</f>
        <v>6.0409200000000008E-4</v>
      </c>
      <c r="AV223" s="33">
        <f t="shared" si="246"/>
        <v>5.4090815919999997</v>
      </c>
      <c r="AW223" s="34">
        <f t="shared" ref="AW223:AW229" si="251">AJ223*H223</f>
        <v>1.9007999999999998E-5</v>
      </c>
      <c r="AX223" s="34">
        <f t="shared" ref="AX223:AX229" si="252">H223*AK223</f>
        <v>3.8015999999999997E-5</v>
      </c>
      <c r="AY223" s="34">
        <f t="shared" ref="AY223:AY229" si="253">H223*AV223</f>
        <v>1.0281582290073598E-4</v>
      </c>
      <c r="AZ223" s="289">
        <f>AW223/[1]DB!$B$23</f>
        <v>2.2901204819277107E-8</v>
      </c>
      <c r="BA223" s="289">
        <f>AX223/[1]DB!$B$23</f>
        <v>4.5802409638554214E-8</v>
      </c>
    </row>
    <row r="224" spans="1:53" x14ac:dyDescent="0.3">
      <c r="A224" s="8" t="s">
        <v>816</v>
      </c>
      <c r="B224" s="8" t="str">
        <f>B222</f>
        <v>Технологический трубопровод  КС «Раевка» «Линия приема газа на КС», попутный нефтяной газ</v>
      </c>
      <c r="C224" s="78" t="s">
        <v>131</v>
      </c>
      <c r="D224" s="9" t="s">
        <v>132</v>
      </c>
      <c r="E224" s="66">
        <f>E222</f>
        <v>2.9999999999999999E-7</v>
      </c>
      <c r="F224" s="67">
        <f>F222</f>
        <v>550</v>
      </c>
      <c r="G224" s="8">
        <v>7.6799999999999993E-2</v>
      </c>
      <c r="H224" s="10">
        <f>E224*F224*G224</f>
        <v>1.2671999999999998E-5</v>
      </c>
      <c r="I224" s="61">
        <f>I222</f>
        <v>0.06</v>
      </c>
      <c r="J224" s="68">
        <f>I222</f>
        <v>0.06</v>
      </c>
      <c r="K224" s="73" t="s">
        <v>124</v>
      </c>
      <c r="L224" s="77">
        <v>0</v>
      </c>
      <c r="M224" s="31" t="str">
        <f>A224</f>
        <v>C159</v>
      </c>
      <c r="N224" s="31" t="str">
        <f>B224</f>
        <v>Технологический трубопровод  КС «Раевка» «Линия приема газа на КС», попутный нефтяной газ</v>
      </c>
      <c r="O224" s="31" t="str">
        <f>D224</f>
        <v>Полное-вспышка</v>
      </c>
      <c r="P224" s="31" t="s">
        <v>46</v>
      </c>
      <c r="Q224" s="31" t="s">
        <v>46</v>
      </c>
      <c r="R224" s="31" t="s">
        <v>46</v>
      </c>
      <c r="S224" s="31" t="s">
        <v>46</v>
      </c>
      <c r="T224" s="31" t="s">
        <v>46</v>
      </c>
      <c r="U224" s="31" t="s">
        <v>46</v>
      </c>
      <c r="V224" s="31" t="s">
        <v>46</v>
      </c>
      <c r="W224" s="31" t="s">
        <v>46</v>
      </c>
      <c r="X224" s="31" t="s">
        <v>46</v>
      </c>
      <c r="Y224" s="31" t="s">
        <v>46</v>
      </c>
      <c r="Z224" s="31" t="s">
        <v>46</v>
      </c>
      <c r="AA224" s="31">
        <v>13.25</v>
      </c>
      <c r="AB224" s="31">
        <v>15.9</v>
      </c>
      <c r="AC224" s="31" t="s">
        <v>46</v>
      </c>
      <c r="AD224" s="31" t="s">
        <v>46</v>
      </c>
      <c r="AE224" s="31" t="s">
        <v>46</v>
      </c>
      <c r="AF224" s="31" t="s">
        <v>46</v>
      </c>
      <c r="AG224" s="31" t="s">
        <v>46</v>
      </c>
      <c r="AH224" s="31" t="s">
        <v>46</v>
      </c>
      <c r="AI224" s="31" t="s">
        <v>46</v>
      </c>
      <c r="AJ224" s="31">
        <v>0</v>
      </c>
      <c r="AK224" s="31">
        <v>0</v>
      </c>
      <c r="AL224" s="31">
        <f>AL222</f>
        <v>0.75</v>
      </c>
      <c r="AM224" s="31">
        <f>AM222</f>
        <v>2.7E-2</v>
      </c>
      <c r="AN224" s="31">
        <f>AN222</f>
        <v>3</v>
      </c>
      <c r="AO224" s="31"/>
      <c r="AP224" s="31"/>
      <c r="AQ224" s="32">
        <f>AM224*I224*0.1+AL224</f>
        <v>0.750162</v>
      </c>
      <c r="AR224" s="32">
        <f>0.1*AQ224</f>
        <v>7.5016200000000005E-2</v>
      </c>
      <c r="AS224" s="33">
        <f>AJ224*3+0.25*AK224</f>
        <v>0</v>
      </c>
      <c r="AT224" s="33">
        <f>SUM(AQ224:AS224)/4</f>
        <v>0.20629454999999999</v>
      </c>
      <c r="AU224" s="32">
        <f>1333*J222*POWER(10,-6)</f>
        <v>7.9980000000000003E-5</v>
      </c>
      <c r="AV224" s="33">
        <f>AU224+AT224+AS224+AR224+AQ224</f>
        <v>1.03155273</v>
      </c>
      <c r="AW224" s="34">
        <f t="shared" si="251"/>
        <v>0</v>
      </c>
      <c r="AX224" s="34">
        <f t="shared" si="252"/>
        <v>0</v>
      </c>
      <c r="AY224" s="34">
        <f t="shared" si="253"/>
        <v>1.3071836194559998E-5</v>
      </c>
      <c r="AZ224" s="289">
        <f>AW224/[1]DB!$B$23</f>
        <v>0</v>
      </c>
      <c r="BA224" s="289">
        <f>AX224/[1]DB!$B$23</f>
        <v>0</v>
      </c>
    </row>
    <row r="225" spans="1:53" x14ac:dyDescent="0.3">
      <c r="A225" s="8" t="s">
        <v>817</v>
      </c>
      <c r="B225" s="8" t="str">
        <f>B222</f>
        <v>Технологический трубопровод  КС «Раевка» «Линия приема газа на КС», попутный нефтяной газ</v>
      </c>
      <c r="C225" s="78" t="s">
        <v>108</v>
      </c>
      <c r="D225" s="9" t="s">
        <v>26</v>
      </c>
      <c r="E225" s="66">
        <f>E222</f>
        <v>2.9999999999999999E-7</v>
      </c>
      <c r="F225" s="67">
        <f>F222</f>
        <v>550</v>
      </c>
      <c r="G225" s="8">
        <v>0.60799999999999998</v>
      </c>
      <c r="H225" s="10">
        <f t="shared" si="247"/>
        <v>1.0032E-4</v>
      </c>
      <c r="I225" s="61">
        <f>I222</f>
        <v>0.06</v>
      </c>
      <c r="J225" s="70">
        <v>0</v>
      </c>
      <c r="K225" s="73" t="s">
        <v>126</v>
      </c>
      <c r="L225" s="77">
        <v>45390</v>
      </c>
      <c r="M225" s="31" t="str">
        <f t="shared" si="244"/>
        <v>C160</v>
      </c>
      <c r="N225" s="31" t="str">
        <f t="shared" si="244"/>
        <v>Технологический трубопровод  КС «Раевка» «Линия приема газа на КС», попутный нефтяной газ</v>
      </c>
      <c r="O225" s="31" t="str">
        <f t="shared" si="245"/>
        <v>Полное-ликвидация</v>
      </c>
      <c r="P225" s="31" t="s">
        <v>46</v>
      </c>
      <c r="Q225" s="31" t="s">
        <v>46</v>
      </c>
      <c r="R225" s="31" t="s">
        <v>46</v>
      </c>
      <c r="S225" s="31" t="s">
        <v>46</v>
      </c>
      <c r="T225" s="31" t="s">
        <v>46</v>
      </c>
      <c r="U225" s="31" t="s">
        <v>46</v>
      </c>
      <c r="V225" s="31" t="s">
        <v>46</v>
      </c>
      <c r="W225" s="31" t="s">
        <v>46</v>
      </c>
      <c r="X225" s="31" t="s">
        <v>46</v>
      </c>
      <c r="Y225" s="31" t="s">
        <v>46</v>
      </c>
      <c r="Z225" s="31" t="s">
        <v>46</v>
      </c>
      <c r="AA225" s="31" t="s">
        <v>46</v>
      </c>
      <c r="AB225" s="31" t="s">
        <v>46</v>
      </c>
      <c r="AC225" s="31" t="s">
        <v>46</v>
      </c>
      <c r="AD225" s="31" t="s">
        <v>46</v>
      </c>
      <c r="AE225" s="31" t="s">
        <v>46</v>
      </c>
      <c r="AF225" s="31" t="s">
        <v>46</v>
      </c>
      <c r="AG225" s="31" t="s">
        <v>46</v>
      </c>
      <c r="AH225" s="31" t="s">
        <v>46</v>
      </c>
      <c r="AI225" s="31" t="s">
        <v>46</v>
      </c>
      <c r="AJ225" s="31">
        <v>0</v>
      </c>
      <c r="AK225" s="31">
        <v>0</v>
      </c>
      <c r="AL225" s="31">
        <f>AL222</f>
        <v>0.75</v>
      </c>
      <c r="AM225" s="31">
        <f>AM222</f>
        <v>2.7E-2</v>
      </c>
      <c r="AN225" s="31">
        <f>AN222</f>
        <v>3</v>
      </c>
      <c r="AO225" s="31"/>
      <c r="AP225" s="31"/>
      <c r="AQ225" s="32">
        <f>AM225*I225*0.1+AL225</f>
        <v>0.750162</v>
      </c>
      <c r="AR225" s="32">
        <f t="shared" si="248"/>
        <v>7.5016200000000005E-2</v>
      </c>
      <c r="AS225" s="33">
        <f t="shared" si="249"/>
        <v>0</v>
      </c>
      <c r="AT225" s="33">
        <f t="shared" si="250"/>
        <v>0.20629454999999999</v>
      </c>
      <c r="AU225" s="32">
        <f>1333*J223*POWER(10,-6)</f>
        <v>7.9980000000000003E-6</v>
      </c>
      <c r="AV225" s="33">
        <f t="shared" si="246"/>
        <v>1.0314807479999999</v>
      </c>
      <c r="AW225" s="34">
        <f t="shared" si="251"/>
        <v>0</v>
      </c>
      <c r="AX225" s="34">
        <f t="shared" si="252"/>
        <v>0</v>
      </c>
      <c r="AY225" s="34">
        <f t="shared" si="253"/>
        <v>1.0347814863935999E-4</v>
      </c>
      <c r="AZ225" s="289">
        <f>AW225/[1]DB!$B$23</f>
        <v>0</v>
      </c>
      <c r="BA225" s="289">
        <f>AX225/[1]DB!$B$23</f>
        <v>0</v>
      </c>
    </row>
    <row r="226" spans="1:53" x14ac:dyDescent="0.3">
      <c r="A226" s="8" t="s">
        <v>818</v>
      </c>
      <c r="B226" s="8" t="str">
        <f>B222</f>
        <v>Технологический трубопровод  КС «Раевка» «Линия приема газа на КС», попутный нефтяной газ</v>
      </c>
      <c r="C226" s="78" t="s">
        <v>133</v>
      </c>
      <c r="D226" s="9" t="s">
        <v>134</v>
      </c>
      <c r="E226" s="65">
        <v>1.9999999999999999E-6</v>
      </c>
      <c r="F226" s="67">
        <f>F222</f>
        <v>550</v>
      </c>
      <c r="G226" s="8">
        <v>3.5000000000000003E-2</v>
      </c>
      <c r="H226" s="10">
        <f t="shared" si="247"/>
        <v>3.8500000000000001E-5</v>
      </c>
      <c r="I226" s="61">
        <f>0.15*I222</f>
        <v>8.9999999999999993E-3</v>
      </c>
      <c r="J226" s="68">
        <f>I226</f>
        <v>8.9999999999999993E-3</v>
      </c>
      <c r="K226" s="73" t="s">
        <v>127</v>
      </c>
      <c r="L226" s="77">
        <v>3</v>
      </c>
      <c r="M226" s="31" t="str">
        <f t="shared" si="244"/>
        <v>C161</v>
      </c>
      <c r="N226" s="31" t="str">
        <f t="shared" si="244"/>
        <v>Технологический трубопровод  КС «Раевка» «Линия приема газа на КС», попутный нефтяной газ</v>
      </c>
      <c r="O226" s="31" t="str">
        <f t="shared" si="245"/>
        <v>Частичное-факел</v>
      </c>
      <c r="P226" s="31" t="s">
        <v>46</v>
      </c>
      <c r="Q226" s="31" t="s">
        <v>46</v>
      </c>
      <c r="R226" s="31" t="s">
        <v>46</v>
      </c>
      <c r="S226" s="31" t="s">
        <v>46</v>
      </c>
      <c r="T226" s="31" t="s">
        <v>46</v>
      </c>
      <c r="U226" s="31" t="s">
        <v>46</v>
      </c>
      <c r="V226" s="31" t="s">
        <v>46</v>
      </c>
      <c r="W226" s="31" t="s">
        <v>46</v>
      </c>
      <c r="X226" s="31" t="s">
        <v>46</v>
      </c>
      <c r="Y226" s="31">
        <v>8</v>
      </c>
      <c r="Z226" s="31">
        <v>2</v>
      </c>
      <c r="AA226" s="31" t="s">
        <v>46</v>
      </c>
      <c r="AB226" s="31" t="s">
        <v>46</v>
      </c>
      <c r="AC226" s="31" t="s">
        <v>46</v>
      </c>
      <c r="AD226" s="31" t="s">
        <v>46</v>
      </c>
      <c r="AE226" s="31" t="s">
        <v>46</v>
      </c>
      <c r="AF226" s="31" t="s">
        <v>46</v>
      </c>
      <c r="AG226" s="31" t="s">
        <v>46</v>
      </c>
      <c r="AH226" s="31" t="s">
        <v>46</v>
      </c>
      <c r="AI226" s="31" t="s">
        <v>46</v>
      </c>
      <c r="AJ226" s="31">
        <v>0</v>
      </c>
      <c r="AK226" s="31">
        <v>2</v>
      </c>
      <c r="AL226" s="31">
        <f>0.1*$AL$2</f>
        <v>7.5000000000000011E-2</v>
      </c>
      <c r="AM226" s="31">
        <f>AM222</f>
        <v>2.7E-2</v>
      </c>
      <c r="AN226" s="31">
        <f>ROUNDUP(AN222/3,0)</f>
        <v>1</v>
      </c>
      <c r="AO226" s="31"/>
      <c r="AP226" s="31"/>
      <c r="AQ226" s="32">
        <f>AM226*I226+AL226</f>
        <v>7.5243000000000004E-2</v>
      </c>
      <c r="AR226" s="32">
        <f t="shared" si="248"/>
        <v>7.5243000000000011E-3</v>
      </c>
      <c r="AS226" s="33">
        <f t="shared" si="249"/>
        <v>0.5</v>
      </c>
      <c r="AT226" s="33">
        <f t="shared" si="250"/>
        <v>0.145691825</v>
      </c>
      <c r="AU226" s="32">
        <f>10068.2*J226*POWER(10,-6)</f>
        <v>9.0613799999999996E-5</v>
      </c>
      <c r="AV226" s="33">
        <f t="shared" si="246"/>
        <v>0.72854973879999996</v>
      </c>
      <c r="AW226" s="34">
        <f t="shared" si="251"/>
        <v>0</v>
      </c>
      <c r="AX226" s="34">
        <f t="shared" si="252"/>
        <v>7.7000000000000001E-5</v>
      </c>
      <c r="AY226" s="34">
        <f t="shared" si="253"/>
        <v>2.8049164943799998E-5</v>
      </c>
      <c r="AZ226" s="289">
        <f>AW226/[1]DB!$B$23</f>
        <v>0</v>
      </c>
      <c r="BA226" s="289">
        <f>AX226/[1]DB!$B$23</f>
        <v>9.2771084337349404E-8</v>
      </c>
    </row>
    <row r="227" spans="1:53" x14ac:dyDescent="0.3">
      <c r="A227" s="8" t="s">
        <v>819</v>
      </c>
      <c r="B227" s="8" t="str">
        <f>B222</f>
        <v>Технологический трубопровод  КС «Раевка» «Линия приема газа на КС», попутный нефтяной газ</v>
      </c>
      <c r="C227" s="78" t="s">
        <v>135</v>
      </c>
      <c r="D227" s="9" t="s">
        <v>136</v>
      </c>
      <c r="E227" s="66">
        <f>E226</f>
        <v>1.9999999999999999E-6</v>
      </c>
      <c r="F227" s="67">
        <f>F223</f>
        <v>550</v>
      </c>
      <c r="G227" s="8">
        <v>8.3000000000000001E-3</v>
      </c>
      <c r="H227" s="10">
        <f>E227*F227*G227</f>
        <v>9.129999999999999E-6</v>
      </c>
      <c r="I227" s="61">
        <f>I226</f>
        <v>8.9999999999999993E-3</v>
      </c>
      <c r="J227" s="68">
        <f>I227</f>
        <v>8.9999999999999993E-3</v>
      </c>
      <c r="K227" s="72" t="s">
        <v>138</v>
      </c>
      <c r="L227" s="129">
        <v>4</v>
      </c>
      <c r="M227" s="31" t="str">
        <f>A227</f>
        <v>C162</v>
      </c>
      <c r="N227" s="31" t="str">
        <f>B227</f>
        <v>Технологический трубопровод  КС «Раевка» «Линия приема газа на КС», попутный нефтяной газ</v>
      </c>
      <c r="O227" s="31" t="str">
        <f>D227</f>
        <v>Частичное-взрыв</v>
      </c>
      <c r="P227" s="31" t="s">
        <v>46</v>
      </c>
      <c r="Q227" s="31" t="s">
        <v>46</v>
      </c>
      <c r="R227" s="31" t="s">
        <v>46</v>
      </c>
      <c r="S227" s="31" t="s">
        <v>46</v>
      </c>
      <c r="T227" s="31">
        <v>0</v>
      </c>
      <c r="U227" s="31">
        <v>0</v>
      </c>
      <c r="V227" s="31">
        <v>15.6</v>
      </c>
      <c r="W227" s="31">
        <v>52.6</v>
      </c>
      <c r="X227" s="31">
        <v>76.599999999999994</v>
      </c>
      <c r="Y227" s="31" t="s">
        <v>46</v>
      </c>
      <c r="Z227" s="31" t="s">
        <v>46</v>
      </c>
      <c r="AA227" s="31" t="s">
        <v>46</v>
      </c>
      <c r="AB227" s="31" t="s">
        <v>46</v>
      </c>
      <c r="AC227" s="31" t="s">
        <v>46</v>
      </c>
      <c r="AD227" s="31" t="s">
        <v>46</v>
      </c>
      <c r="AE227" s="31" t="s">
        <v>46</v>
      </c>
      <c r="AF227" s="31" t="s">
        <v>46</v>
      </c>
      <c r="AG227" s="31" t="s">
        <v>46</v>
      </c>
      <c r="AH227" s="31" t="s">
        <v>46</v>
      </c>
      <c r="AI227" s="31" t="s">
        <v>46</v>
      </c>
      <c r="AJ227" s="31">
        <v>0</v>
      </c>
      <c r="AK227" s="31">
        <v>1</v>
      </c>
      <c r="AL227" s="31">
        <f>0.1*$AL$2</f>
        <v>7.5000000000000011E-2</v>
      </c>
      <c r="AM227" s="31">
        <f>AM222</f>
        <v>2.7E-2</v>
      </c>
      <c r="AN227" s="31">
        <f>AN226</f>
        <v>1</v>
      </c>
      <c r="AO227" s="31"/>
      <c r="AP227" s="31"/>
      <c r="AQ227" s="32">
        <f>AM227*I227+AL227</f>
        <v>7.5243000000000004E-2</v>
      </c>
      <c r="AR227" s="32">
        <f>0.1*AQ227</f>
        <v>7.5243000000000011E-3</v>
      </c>
      <c r="AS227" s="33">
        <f>AJ227*3+0.25*AK227</f>
        <v>0.25</v>
      </c>
      <c r="AT227" s="33">
        <f>SUM(AQ227:AS227)/4</f>
        <v>8.3191824999999997E-2</v>
      </c>
      <c r="AU227" s="32">
        <f>10068.2*J227*POWER(10,-6)*10</f>
        <v>9.0613799999999991E-4</v>
      </c>
      <c r="AV227" s="33">
        <f>AU227+AT227+AS227+AR227+AQ227</f>
        <v>0.41686526299999999</v>
      </c>
      <c r="AW227" s="34">
        <f t="shared" si="251"/>
        <v>0</v>
      </c>
      <c r="AX227" s="34">
        <f t="shared" si="252"/>
        <v>9.129999999999999E-6</v>
      </c>
      <c r="AY227" s="34">
        <f t="shared" si="253"/>
        <v>3.8059798511899996E-6</v>
      </c>
      <c r="AZ227" s="289">
        <f>AW227/[1]DB!$B$23</f>
        <v>0</v>
      </c>
      <c r="BA227" s="289">
        <f>AX227/[1]DB!$B$23</f>
        <v>1.0999999999999999E-8</v>
      </c>
    </row>
    <row r="228" spans="1:53" x14ac:dyDescent="0.3">
      <c r="A228" s="8" t="s">
        <v>820</v>
      </c>
      <c r="B228" s="8" t="str">
        <f>B222</f>
        <v>Технологический трубопровод  КС «Раевка» «Линия приема газа на КС», попутный нефтяной газ</v>
      </c>
      <c r="C228" s="78" t="s">
        <v>110</v>
      </c>
      <c r="D228" s="9" t="s">
        <v>112</v>
      </c>
      <c r="E228" s="66">
        <f>E226</f>
        <v>1.9999999999999999E-6</v>
      </c>
      <c r="F228" s="67">
        <f>F222</f>
        <v>550</v>
      </c>
      <c r="G228" s="8">
        <v>2.64E-2</v>
      </c>
      <c r="H228" s="10">
        <f t="shared" si="247"/>
        <v>2.9039999999999996E-5</v>
      </c>
      <c r="I228" s="61">
        <f>0.15*I222</f>
        <v>8.9999999999999993E-3</v>
      </c>
      <c r="J228" s="68">
        <f>J224*0.15</f>
        <v>8.9999999999999993E-3</v>
      </c>
      <c r="K228" s="334" t="s">
        <v>466</v>
      </c>
      <c r="L228" s="287" t="s">
        <v>639</v>
      </c>
      <c r="M228" s="31" t="str">
        <f t="shared" si="244"/>
        <v>C163</v>
      </c>
      <c r="N228" s="31" t="str">
        <f t="shared" si="244"/>
        <v>Технологический трубопровод  КС «Раевка» «Линия приема газа на КС», попутный нефтяной газ</v>
      </c>
      <c r="O228" s="31" t="str">
        <f t="shared" si="245"/>
        <v>Частичное-пожар-вспышка</v>
      </c>
      <c r="P228" s="31" t="s">
        <v>46</v>
      </c>
      <c r="Q228" s="31" t="s">
        <v>46</v>
      </c>
      <c r="R228" s="31" t="s">
        <v>46</v>
      </c>
      <c r="S228" s="31" t="s">
        <v>46</v>
      </c>
      <c r="T228" s="31" t="s">
        <v>46</v>
      </c>
      <c r="U228" s="31" t="s">
        <v>46</v>
      </c>
      <c r="V228" s="31" t="s">
        <v>46</v>
      </c>
      <c r="W228" s="31" t="s">
        <v>46</v>
      </c>
      <c r="X228" s="31" t="s">
        <v>46</v>
      </c>
      <c r="Y228" s="31" t="s">
        <v>46</v>
      </c>
      <c r="Z228" s="31" t="s">
        <v>46</v>
      </c>
      <c r="AA228" s="31">
        <v>7.08</v>
      </c>
      <c r="AB228" s="31">
        <v>8.5</v>
      </c>
      <c r="AC228" s="31" t="s">
        <v>46</v>
      </c>
      <c r="AD228" s="31" t="s">
        <v>46</v>
      </c>
      <c r="AE228" s="31" t="s">
        <v>46</v>
      </c>
      <c r="AF228" s="31" t="s">
        <v>46</v>
      </c>
      <c r="AG228" s="31" t="s">
        <v>46</v>
      </c>
      <c r="AH228" s="31" t="s">
        <v>46</v>
      </c>
      <c r="AI228" s="31" t="s">
        <v>46</v>
      </c>
      <c r="AJ228" s="31">
        <v>0</v>
      </c>
      <c r="AK228" s="31">
        <v>1</v>
      </c>
      <c r="AL228" s="31">
        <f>0.1*$AL$2</f>
        <v>7.5000000000000011E-2</v>
      </c>
      <c r="AM228" s="31">
        <f>AM222</f>
        <v>2.7E-2</v>
      </c>
      <c r="AN228" s="31">
        <f>ROUNDUP(AN222/3,0)</f>
        <v>1</v>
      </c>
      <c r="AO228" s="31"/>
      <c r="AP228" s="31"/>
      <c r="AQ228" s="32">
        <f>AM228*I228+AL228</f>
        <v>7.5243000000000004E-2</v>
      </c>
      <c r="AR228" s="32">
        <f t="shared" si="248"/>
        <v>7.5243000000000011E-3</v>
      </c>
      <c r="AS228" s="33">
        <f t="shared" si="249"/>
        <v>0.25</v>
      </c>
      <c r="AT228" s="33">
        <f t="shared" si="250"/>
        <v>8.3191824999999997E-2</v>
      </c>
      <c r="AU228" s="32">
        <f>10068.2*J228*POWER(10,-6)*10</f>
        <v>9.0613799999999991E-4</v>
      </c>
      <c r="AV228" s="33">
        <f t="shared" si="246"/>
        <v>0.41686526299999999</v>
      </c>
      <c r="AW228" s="34">
        <f t="shared" si="251"/>
        <v>0</v>
      </c>
      <c r="AX228" s="34">
        <f t="shared" si="252"/>
        <v>2.9039999999999996E-5</v>
      </c>
      <c r="AY228" s="34">
        <f t="shared" si="253"/>
        <v>1.2105767237519998E-5</v>
      </c>
      <c r="AZ228" s="289">
        <f>AW228/[1]DB!$B$23</f>
        <v>0</v>
      </c>
      <c r="BA228" s="289">
        <f>AX228/[1]DB!$B$23</f>
        <v>3.4987951807228913E-8</v>
      </c>
    </row>
    <row r="229" spans="1:53" ht="15" thickBot="1" x14ac:dyDescent="0.35">
      <c r="A229" s="8" t="s">
        <v>821</v>
      </c>
      <c r="B229" s="8" t="str">
        <f>B222</f>
        <v>Технологический трубопровод  КС «Раевка» «Линия приема газа на КС», попутный нефтяной газ</v>
      </c>
      <c r="C229" s="78" t="s">
        <v>111</v>
      </c>
      <c r="D229" s="9" t="s">
        <v>27</v>
      </c>
      <c r="E229" s="66">
        <f>E226</f>
        <v>1.9999999999999999E-6</v>
      </c>
      <c r="F229" s="67">
        <f>F222</f>
        <v>550</v>
      </c>
      <c r="G229" s="8">
        <v>0.93030000000000002</v>
      </c>
      <c r="H229" s="10">
        <f t="shared" si="247"/>
        <v>1.0233299999999998E-3</v>
      </c>
      <c r="I229" s="61">
        <f>0.15*I222</f>
        <v>8.9999999999999993E-3</v>
      </c>
      <c r="J229" s="70">
        <v>0</v>
      </c>
      <c r="K229" s="74"/>
      <c r="L229" s="75"/>
      <c r="M229" s="31" t="str">
        <f t="shared" si="244"/>
        <v>C164</v>
      </c>
      <c r="N229" s="31" t="str">
        <f t="shared" si="244"/>
        <v>Технологический трубопровод  КС «Раевка» «Линия приема газа на КС», попутный нефтяной газ</v>
      </c>
      <c r="O229" s="31" t="str">
        <f t="shared" si="245"/>
        <v>Частичное-ликвидация</v>
      </c>
      <c r="P229" s="31" t="s">
        <v>46</v>
      </c>
      <c r="Q229" s="31" t="s">
        <v>46</v>
      </c>
      <c r="R229" s="31" t="s">
        <v>46</v>
      </c>
      <c r="S229" s="31" t="s">
        <v>46</v>
      </c>
      <c r="T229" s="31" t="s">
        <v>46</v>
      </c>
      <c r="U229" s="31" t="s">
        <v>46</v>
      </c>
      <c r="V229" s="31" t="s">
        <v>46</v>
      </c>
      <c r="W229" s="31" t="s">
        <v>46</v>
      </c>
      <c r="X229" s="31" t="s">
        <v>46</v>
      </c>
      <c r="Y229" s="31" t="s">
        <v>46</v>
      </c>
      <c r="Z229" s="31" t="s">
        <v>46</v>
      </c>
      <c r="AA229" s="31" t="s">
        <v>46</v>
      </c>
      <c r="AB229" s="31" t="s">
        <v>46</v>
      </c>
      <c r="AC229" s="31" t="s">
        <v>46</v>
      </c>
      <c r="AD229" s="31" t="s">
        <v>46</v>
      </c>
      <c r="AE229" s="31" t="s">
        <v>46</v>
      </c>
      <c r="AF229" s="31" t="s">
        <v>46</v>
      </c>
      <c r="AG229" s="31" t="s">
        <v>46</v>
      </c>
      <c r="AH229" s="31" t="s">
        <v>46</v>
      </c>
      <c r="AI229" s="31" t="s">
        <v>46</v>
      </c>
      <c r="AJ229" s="31">
        <v>0</v>
      </c>
      <c r="AK229" s="31">
        <v>0</v>
      </c>
      <c r="AL229" s="31">
        <f>0.1*$AL$2</f>
        <v>7.5000000000000011E-2</v>
      </c>
      <c r="AM229" s="31">
        <f>AM222</f>
        <v>2.7E-2</v>
      </c>
      <c r="AN229" s="31">
        <f>ROUNDUP(AN222/3,0)</f>
        <v>1</v>
      </c>
      <c r="AO229" s="31"/>
      <c r="AP229" s="31"/>
      <c r="AQ229" s="32">
        <f>AM229*I229*0.1+AL229</f>
        <v>7.5024300000000016E-2</v>
      </c>
      <c r="AR229" s="32">
        <f t="shared" si="248"/>
        <v>7.5024300000000018E-3</v>
      </c>
      <c r="AS229" s="33">
        <f t="shared" si="249"/>
        <v>0</v>
      </c>
      <c r="AT229" s="33">
        <f t="shared" si="250"/>
        <v>2.0631682500000005E-2</v>
      </c>
      <c r="AU229" s="32">
        <f>1333*J228*POWER(10,-6)</f>
        <v>1.1996999999999999E-5</v>
      </c>
      <c r="AV229" s="33">
        <f t="shared" si="246"/>
        <v>0.10317040950000002</v>
      </c>
      <c r="AW229" s="34">
        <f t="shared" si="251"/>
        <v>0</v>
      </c>
      <c r="AX229" s="34">
        <f t="shared" si="252"/>
        <v>0</v>
      </c>
      <c r="AY229" s="34">
        <f t="shared" si="253"/>
        <v>1.05577375153635E-4</v>
      </c>
      <c r="AZ229" s="289">
        <f>AW229/[1]DB!$B$23</f>
        <v>0</v>
      </c>
      <c r="BA229" s="289">
        <f>AX229/[1]DB!$B$23</f>
        <v>0</v>
      </c>
    </row>
    <row r="230" spans="1:53" x14ac:dyDescent="0.3">
      <c r="A230" s="12"/>
      <c r="B230" s="12"/>
      <c r="C230" s="31"/>
      <c r="D230" s="166"/>
      <c r="E230" s="167"/>
      <c r="F230" s="168"/>
      <c r="G230" s="12"/>
      <c r="H230" s="34"/>
      <c r="I230" s="33"/>
      <c r="J230" s="12"/>
      <c r="K230" s="12"/>
      <c r="L230" s="12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2"/>
      <c r="AR230" s="32"/>
      <c r="AS230" s="33"/>
      <c r="AT230" s="33"/>
      <c r="AU230" s="32"/>
      <c r="AV230" s="33"/>
      <c r="AW230" s="34"/>
      <c r="AX230" s="34"/>
      <c r="AY230" s="34"/>
    </row>
    <row r="231" spans="1:53" ht="15" thickBot="1" x14ac:dyDescent="0.35"/>
    <row r="232" spans="1:53" ht="18" customHeight="1" x14ac:dyDescent="0.3">
      <c r="A232" s="8" t="s">
        <v>822</v>
      </c>
      <c r="B232" s="62" t="s">
        <v>710</v>
      </c>
      <c r="C232" s="78" t="s">
        <v>129</v>
      </c>
      <c r="D232" s="9" t="s">
        <v>130</v>
      </c>
      <c r="E232" s="65">
        <v>2.9999999999999999E-7</v>
      </c>
      <c r="F232" s="62">
        <v>400</v>
      </c>
      <c r="G232" s="8">
        <v>0.2</v>
      </c>
      <c r="H232" s="10">
        <f>E232*F232*G232</f>
        <v>2.4000000000000001E-5</v>
      </c>
      <c r="I232" s="63">
        <v>0.05</v>
      </c>
      <c r="J232" s="68">
        <f>I232</f>
        <v>0.05</v>
      </c>
      <c r="K232" s="71" t="s">
        <v>122</v>
      </c>
      <c r="L232" s="76">
        <v>0</v>
      </c>
      <c r="M232" s="31" t="str">
        <f t="shared" ref="M232:M233" si="254">A232</f>
        <v>C165</v>
      </c>
      <c r="N232" s="31" t="str">
        <f t="shared" ref="N232:N233" si="255">B232</f>
        <v>Технологический трубопровод КС «Раевка» «Линия выкида газа от КС», попутный нефтяной газ</v>
      </c>
      <c r="O232" s="31" t="str">
        <f t="shared" ref="O232:O233" si="256">D232</f>
        <v>Полное-факел</v>
      </c>
      <c r="P232" s="31" t="s">
        <v>46</v>
      </c>
      <c r="Q232" s="31" t="s">
        <v>46</v>
      </c>
      <c r="R232" s="31" t="s">
        <v>46</v>
      </c>
      <c r="S232" s="31" t="s">
        <v>46</v>
      </c>
      <c r="T232" s="31" t="s">
        <v>46</v>
      </c>
      <c r="U232" s="31" t="s">
        <v>46</v>
      </c>
      <c r="V232" s="31" t="s">
        <v>46</v>
      </c>
      <c r="W232" s="31" t="s">
        <v>46</v>
      </c>
      <c r="X232" s="31" t="s">
        <v>46</v>
      </c>
      <c r="Y232" s="31">
        <v>13</v>
      </c>
      <c r="Z232" s="31">
        <v>2</v>
      </c>
      <c r="AA232" s="31" t="s">
        <v>46</v>
      </c>
      <c r="AB232" s="31" t="s">
        <v>46</v>
      </c>
      <c r="AC232" s="31" t="s">
        <v>46</v>
      </c>
      <c r="AD232" s="31" t="s">
        <v>46</v>
      </c>
      <c r="AE232" s="31" t="s">
        <v>46</v>
      </c>
      <c r="AF232" s="31" t="s">
        <v>46</v>
      </c>
      <c r="AG232" s="31" t="s">
        <v>46</v>
      </c>
      <c r="AH232" s="31" t="s">
        <v>46</v>
      </c>
      <c r="AI232" s="31" t="s">
        <v>46</v>
      </c>
      <c r="AJ232" s="12">
        <v>1</v>
      </c>
      <c r="AK232" s="12">
        <v>2</v>
      </c>
      <c r="AL232" s="64">
        <v>0.75</v>
      </c>
      <c r="AM232" s="64">
        <v>2.7E-2</v>
      </c>
      <c r="AN232" s="64">
        <v>3</v>
      </c>
      <c r="AO232" s="31"/>
      <c r="AP232" s="31"/>
      <c r="AQ232" s="32">
        <f>AM232*I232+AL232</f>
        <v>0.75134999999999996</v>
      </c>
      <c r="AR232" s="32">
        <f>0.1*AQ232</f>
        <v>7.5135000000000007E-2</v>
      </c>
      <c r="AS232" s="33">
        <f>AJ232*3+0.25*AK232</f>
        <v>3.5</v>
      </c>
      <c r="AT232" s="33">
        <f>SUM(AQ232:AS232)/4</f>
        <v>1.08162125</v>
      </c>
      <c r="AU232" s="32">
        <f>10068.2*J232*POWER(10,-6)</f>
        <v>5.0341000000000003E-4</v>
      </c>
      <c r="AV232" s="33">
        <f t="shared" ref="AV232:AV233" si="257">AU232+AT232+AS232+AR232+AQ232</f>
        <v>5.4086096599999998</v>
      </c>
      <c r="AW232" s="34">
        <f>AJ232*H232</f>
        <v>2.4000000000000001E-5</v>
      </c>
      <c r="AX232" s="34">
        <f>H232*AK232</f>
        <v>4.8000000000000001E-5</v>
      </c>
      <c r="AY232" s="34">
        <f>H232*AV232</f>
        <v>1.2980663184E-4</v>
      </c>
      <c r="AZ232" s="289">
        <f>AW232/[1]DB!$B$23</f>
        <v>2.8915662650602411E-8</v>
      </c>
      <c r="BA232" s="289">
        <f>AX232/[1]DB!$B$23</f>
        <v>5.7831325301204821E-8</v>
      </c>
    </row>
    <row r="233" spans="1:53" x14ac:dyDescent="0.3">
      <c r="A233" s="8" t="s">
        <v>823</v>
      </c>
      <c r="B233" s="8" t="str">
        <f>B232</f>
        <v>Технологический трубопровод КС «Раевка» «Линия выкида газа от КС», попутный нефтяной газ</v>
      </c>
      <c r="C233" s="78" t="s">
        <v>107</v>
      </c>
      <c r="D233" s="9" t="s">
        <v>28</v>
      </c>
      <c r="E233" s="66">
        <f>E232</f>
        <v>2.9999999999999999E-7</v>
      </c>
      <c r="F233" s="67">
        <f>F232</f>
        <v>400</v>
      </c>
      <c r="G233" s="8">
        <v>0.1152</v>
      </c>
      <c r="H233" s="10">
        <f t="shared" ref="H233" si="258">E233*F233*G233</f>
        <v>1.3823999999999998E-5</v>
      </c>
      <c r="I233" s="61">
        <f>I232</f>
        <v>0.05</v>
      </c>
      <c r="J233" s="79">
        <f>0.1*I232</f>
        <v>5.000000000000001E-3</v>
      </c>
      <c r="K233" s="73" t="s">
        <v>123</v>
      </c>
      <c r="L233" s="77">
        <v>1</v>
      </c>
      <c r="M233" s="31" t="str">
        <f t="shared" si="254"/>
        <v>C166</v>
      </c>
      <c r="N233" s="31" t="str">
        <f t="shared" si="255"/>
        <v>Технологический трубопровод КС «Раевка» «Линия выкида газа от КС», попутный нефтяной газ</v>
      </c>
      <c r="O233" s="31" t="str">
        <f t="shared" si="256"/>
        <v>Полное-взрыв</v>
      </c>
      <c r="P233" s="31" t="s">
        <v>46</v>
      </c>
      <c r="Q233" s="31" t="s">
        <v>46</v>
      </c>
      <c r="R233" s="31" t="s">
        <v>46</v>
      </c>
      <c r="S233" s="31" t="s">
        <v>46</v>
      </c>
      <c r="T233" s="31">
        <v>0</v>
      </c>
      <c r="U233" s="31">
        <v>0</v>
      </c>
      <c r="V233" s="31">
        <v>13.1</v>
      </c>
      <c r="W233" s="31">
        <v>43.1</v>
      </c>
      <c r="X233" s="31">
        <v>63.1</v>
      </c>
      <c r="Y233" s="31" t="s">
        <v>46</v>
      </c>
      <c r="Z233" s="31" t="s">
        <v>46</v>
      </c>
      <c r="AA233" s="31" t="s">
        <v>46</v>
      </c>
      <c r="AB233" s="31" t="s">
        <v>46</v>
      </c>
      <c r="AC233" s="31" t="s">
        <v>46</v>
      </c>
      <c r="AD233" s="31" t="s">
        <v>46</v>
      </c>
      <c r="AE233" s="31" t="s">
        <v>46</v>
      </c>
      <c r="AF233" s="31" t="s">
        <v>46</v>
      </c>
      <c r="AG233" s="31" t="s">
        <v>46</v>
      </c>
      <c r="AH233" s="31" t="s">
        <v>46</v>
      </c>
      <c r="AI233" s="31" t="s">
        <v>46</v>
      </c>
      <c r="AJ233" s="12">
        <v>1</v>
      </c>
      <c r="AK233" s="12">
        <v>2</v>
      </c>
      <c r="AL233" s="31">
        <f>AL232</f>
        <v>0.75</v>
      </c>
      <c r="AM233" s="31">
        <f>AM232</f>
        <v>2.7E-2</v>
      </c>
      <c r="AN233" s="31">
        <f>AN232</f>
        <v>3</v>
      </c>
      <c r="AO233" s="31"/>
      <c r="AP233" s="31"/>
      <c r="AQ233" s="32">
        <f>AM233*I233+AL233</f>
        <v>0.75134999999999996</v>
      </c>
      <c r="AR233" s="32">
        <f t="shared" ref="AR233" si="259">0.1*AQ233</f>
        <v>7.5135000000000007E-2</v>
      </c>
      <c r="AS233" s="33">
        <f t="shared" ref="AS233" si="260">AJ233*3+0.25*AK233</f>
        <v>3.5</v>
      </c>
      <c r="AT233" s="33">
        <f t="shared" ref="AT233" si="261">SUM(AQ233:AS233)/4</f>
        <v>1.08162125</v>
      </c>
      <c r="AU233" s="32">
        <f>10068.2*J233*POWER(10,-6)*10</f>
        <v>5.0341000000000014E-4</v>
      </c>
      <c r="AV233" s="33">
        <f t="shared" si="257"/>
        <v>5.4086096599999998</v>
      </c>
      <c r="AW233" s="34">
        <f t="shared" ref="AW233:AW239" si="262">AJ233*H233</f>
        <v>1.3823999999999998E-5</v>
      </c>
      <c r="AX233" s="34">
        <f t="shared" ref="AX233:AX239" si="263">H233*AK233</f>
        <v>2.7647999999999997E-5</v>
      </c>
      <c r="AY233" s="34">
        <f t="shared" ref="AY233:AY239" si="264">H233*AV233</f>
        <v>7.4768619939839982E-5</v>
      </c>
      <c r="AZ233" s="289">
        <f>AW233/[1]DB!$B$23</f>
        <v>1.6655421686746985E-8</v>
      </c>
      <c r="BA233" s="289">
        <f>AX233/[1]DB!$B$23</f>
        <v>3.3310843373493969E-8</v>
      </c>
    </row>
    <row r="234" spans="1:53" x14ac:dyDescent="0.3">
      <c r="A234" s="8" t="s">
        <v>824</v>
      </c>
      <c r="B234" s="8" t="str">
        <f>B232</f>
        <v>Технологический трубопровод КС «Раевка» «Линия выкида газа от КС», попутный нефтяной газ</v>
      </c>
      <c r="C234" s="78" t="s">
        <v>131</v>
      </c>
      <c r="D234" s="9" t="s">
        <v>132</v>
      </c>
      <c r="E234" s="66">
        <f>E232</f>
        <v>2.9999999999999999E-7</v>
      </c>
      <c r="F234" s="67">
        <f>F232</f>
        <v>400</v>
      </c>
      <c r="G234" s="8">
        <v>7.6799999999999993E-2</v>
      </c>
      <c r="H234" s="10">
        <f>E234*F234*G234</f>
        <v>9.2159999999999978E-6</v>
      </c>
      <c r="I234" s="61">
        <f>I232</f>
        <v>0.05</v>
      </c>
      <c r="J234" s="68">
        <f>I232</f>
        <v>0.05</v>
      </c>
      <c r="K234" s="73" t="s">
        <v>124</v>
      </c>
      <c r="L234" s="77">
        <v>0</v>
      </c>
      <c r="M234" s="31" t="str">
        <f>A234</f>
        <v>C167</v>
      </c>
      <c r="N234" s="31" t="str">
        <f>B234</f>
        <v>Технологический трубопровод КС «Раевка» «Линия выкида газа от КС», попутный нефтяной газ</v>
      </c>
      <c r="O234" s="31" t="str">
        <f>D234</f>
        <v>Полное-вспышка</v>
      </c>
      <c r="P234" s="31" t="s">
        <v>46</v>
      </c>
      <c r="Q234" s="31" t="s">
        <v>46</v>
      </c>
      <c r="R234" s="31" t="s">
        <v>46</v>
      </c>
      <c r="S234" s="31" t="s">
        <v>46</v>
      </c>
      <c r="T234" s="31" t="s">
        <v>46</v>
      </c>
      <c r="U234" s="31" t="s">
        <v>46</v>
      </c>
      <c r="V234" s="31" t="s">
        <v>46</v>
      </c>
      <c r="W234" s="31" t="s">
        <v>46</v>
      </c>
      <c r="X234" s="31" t="s">
        <v>46</v>
      </c>
      <c r="Y234" s="31" t="s">
        <v>46</v>
      </c>
      <c r="Z234" s="31" t="s">
        <v>46</v>
      </c>
      <c r="AA234" s="31">
        <v>12.47</v>
      </c>
      <c r="AB234" s="31">
        <v>14.96</v>
      </c>
      <c r="AC234" s="31" t="s">
        <v>46</v>
      </c>
      <c r="AD234" s="31" t="s">
        <v>46</v>
      </c>
      <c r="AE234" s="31" t="s">
        <v>46</v>
      </c>
      <c r="AF234" s="31" t="s">
        <v>46</v>
      </c>
      <c r="AG234" s="31" t="s">
        <v>46</v>
      </c>
      <c r="AH234" s="31" t="s">
        <v>46</v>
      </c>
      <c r="AI234" s="31" t="s">
        <v>46</v>
      </c>
      <c r="AJ234" s="31">
        <v>0</v>
      </c>
      <c r="AK234" s="31">
        <v>0</v>
      </c>
      <c r="AL234" s="31">
        <f>AL232</f>
        <v>0.75</v>
      </c>
      <c r="AM234" s="31">
        <f>AM232</f>
        <v>2.7E-2</v>
      </c>
      <c r="AN234" s="31">
        <f>AN232</f>
        <v>3</v>
      </c>
      <c r="AO234" s="31"/>
      <c r="AP234" s="31"/>
      <c r="AQ234" s="32">
        <f>AM234*I234*0.1+AL234</f>
        <v>0.750135</v>
      </c>
      <c r="AR234" s="32">
        <f>0.1*AQ234</f>
        <v>7.5013500000000011E-2</v>
      </c>
      <c r="AS234" s="33">
        <f>AJ234*3+0.25*AK234</f>
        <v>0</v>
      </c>
      <c r="AT234" s="33">
        <f>SUM(AQ234:AS234)/4</f>
        <v>0.20628712500000002</v>
      </c>
      <c r="AU234" s="32">
        <f>1333*J232*POWER(10,-6)</f>
        <v>6.6650000000000007E-5</v>
      </c>
      <c r="AV234" s="33">
        <f>AU234+AT234+AS234+AR234+AQ234</f>
        <v>1.031502275</v>
      </c>
      <c r="AW234" s="34">
        <f t="shared" si="262"/>
        <v>0</v>
      </c>
      <c r="AX234" s="34">
        <f t="shared" si="263"/>
        <v>0</v>
      </c>
      <c r="AY234" s="34">
        <f t="shared" si="264"/>
        <v>9.5063249663999978E-6</v>
      </c>
      <c r="AZ234" s="289">
        <f>AW234/[1]DB!$B$23</f>
        <v>0</v>
      </c>
      <c r="BA234" s="289">
        <f>AX234/[1]DB!$B$23</f>
        <v>0</v>
      </c>
    </row>
    <row r="235" spans="1:53" x14ac:dyDescent="0.3">
      <c r="A235" s="8" t="s">
        <v>825</v>
      </c>
      <c r="B235" s="8" t="str">
        <f>B232</f>
        <v>Технологический трубопровод КС «Раевка» «Линия выкида газа от КС», попутный нефтяной газ</v>
      </c>
      <c r="C235" s="78" t="s">
        <v>108</v>
      </c>
      <c r="D235" s="9" t="s">
        <v>26</v>
      </c>
      <c r="E235" s="66">
        <f>E232</f>
        <v>2.9999999999999999E-7</v>
      </c>
      <c r="F235" s="67">
        <f>F232</f>
        <v>400</v>
      </c>
      <c r="G235" s="8">
        <v>0.60799999999999998</v>
      </c>
      <c r="H235" s="10">
        <f t="shared" ref="H235:H236" si="265">E235*F235*G235</f>
        <v>7.2959999999999993E-5</v>
      </c>
      <c r="I235" s="61">
        <f>I232</f>
        <v>0.05</v>
      </c>
      <c r="J235" s="70">
        <v>0</v>
      </c>
      <c r="K235" s="73" t="s">
        <v>126</v>
      </c>
      <c r="L235" s="77">
        <v>45390</v>
      </c>
      <c r="M235" s="31" t="str">
        <f t="shared" ref="M235:M236" si="266">A235</f>
        <v>C168</v>
      </c>
      <c r="N235" s="31" t="str">
        <f t="shared" ref="N235:N236" si="267">B235</f>
        <v>Технологический трубопровод КС «Раевка» «Линия выкида газа от КС», попутный нефтяной газ</v>
      </c>
      <c r="O235" s="31" t="str">
        <f t="shared" ref="O235:O236" si="268">D235</f>
        <v>Полное-ликвидация</v>
      </c>
      <c r="P235" s="31" t="s">
        <v>46</v>
      </c>
      <c r="Q235" s="31" t="s">
        <v>46</v>
      </c>
      <c r="R235" s="31" t="s">
        <v>46</v>
      </c>
      <c r="S235" s="31" t="s">
        <v>46</v>
      </c>
      <c r="T235" s="31" t="s">
        <v>46</v>
      </c>
      <c r="U235" s="31" t="s">
        <v>46</v>
      </c>
      <c r="V235" s="31" t="s">
        <v>46</v>
      </c>
      <c r="W235" s="31" t="s">
        <v>46</v>
      </c>
      <c r="X235" s="31" t="s">
        <v>46</v>
      </c>
      <c r="Y235" s="31" t="s">
        <v>46</v>
      </c>
      <c r="Z235" s="31" t="s">
        <v>46</v>
      </c>
      <c r="AA235" s="31" t="s">
        <v>46</v>
      </c>
      <c r="AB235" s="31" t="s">
        <v>46</v>
      </c>
      <c r="AC235" s="31" t="s">
        <v>46</v>
      </c>
      <c r="AD235" s="31" t="s">
        <v>46</v>
      </c>
      <c r="AE235" s="31" t="s">
        <v>46</v>
      </c>
      <c r="AF235" s="31" t="s">
        <v>46</v>
      </c>
      <c r="AG235" s="31" t="s">
        <v>46</v>
      </c>
      <c r="AH235" s="31" t="s">
        <v>46</v>
      </c>
      <c r="AI235" s="31" t="s">
        <v>46</v>
      </c>
      <c r="AJ235" s="31">
        <v>0</v>
      </c>
      <c r="AK235" s="31">
        <v>0</v>
      </c>
      <c r="AL235" s="31">
        <f>AL232</f>
        <v>0.75</v>
      </c>
      <c r="AM235" s="31">
        <f>AM232</f>
        <v>2.7E-2</v>
      </c>
      <c r="AN235" s="31">
        <f>AN232</f>
        <v>3</v>
      </c>
      <c r="AO235" s="31"/>
      <c r="AP235" s="31"/>
      <c r="AQ235" s="32">
        <f>AM235*I235*0.1+AL235</f>
        <v>0.750135</v>
      </c>
      <c r="AR235" s="32">
        <f t="shared" ref="AR235:AR236" si="269">0.1*AQ235</f>
        <v>7.5013500000000011E-2</v>
      </c>
      <c r="AS235" s="33">
        <f t="shared" ref="AS235:AS236" si="270">AJ235*3+0.25*AK235</f>
        <v>0</v>
      </c>
      <c r="AT235" s="33">
        <f t="shared" ref="AT235:AT236" si="271">SUM(AQ235:AS235)/4</f>
        <v>0.20628712500000002</v>
      </c>
      <c r="AU235" s="32">
        <f>1333*J233*POWER(10,-6)</f>
        <v>6.6650000000000006E-6</v>
      </c>
      <c r="AV235" s="33">
        <f t="shared" ref="AV235:AV236" si="272">AU235+AT235+AS235+AR235+AQ235</f>
        <v>1.03144229</v>
      </c>
      <c r="AW235" s="34">
        <f t="shared" si="262"/>
        <v>0</v>
      </c>
      <c r="AX235" s="34">
        <f t="shared" si="263"/>
        <v>0</v>
      </c>
      <c r="AY235" s="34">
        <f t="shared" si="264"/>
        <v>7.5254029478399995E-5</v>
      </c>
      <c r="AZ235" s="289">
        <f>AW235/[1]DB!$B$23</f>
        <v>0</v>
      </c>
      <c r="BA235" s="289">
        <f>AX235/[1]DB!$B$23</f>
        <v>0</v>
      </c>
    </row>
    <row r="236" spans="1:53" x14ac:dyDescent="0.3">
      <c r="A236" s="8" t="s">
        <v>826</v>
      </c>
      <c r="B236" s="8" t="str">
        <f>B232</f>
        <v>Технологический трубопровод КС «Раевка» «Линия выкида газа от КС», попутный нефтяной газ</v>
      </c>
      <c r="C236" s="78" t="s">
        <v>133</v>
      </c>
      <c r="D236" s="9" t="s">
        <v>134</v>
      </c>
      <c r="E236" s="65">
        <v>1.9999999999999999E-6</v>
      </c>
      <c r="F236" s="67">
        <f>F232</f>
        <v>400</v>
      </c>
      <c r="G236" s="8">
        <v>3.5000000000000003E-2</v>
      </c>
      <c r="H236" s="10">
        <f t="shared" si="265"/>
        <v>2.8E-5</v>
      </c>
      <c r="I236" s="61">
        <f>0.15*I232</f>
        <v>7.4999999999999997E-3</v>
      </c>
      <c r="J236" s="68">
        <f>I236</f>
        <v>7.4999999999999997E-3</v>
      </c>
      <c r="K236" s="73" t="s">
        <v>127</v>
      </c>
      <c r="L236" s="77">
        <v>3</v>
      </c>
      <c r="M236" s="31" t="str">
        <f t="shared" si="266"/>
        <v>C169</v>
      </c>
      <c r="N236" s="31" t="str">
        <f t="shared" si="267"/>
        <v>Технологический трубопровод КС «Раевка» «Линия выкида газа от КС», попутный нефтяной газ</v>
      </c>
      <c r="O236" s="31" t="str">
        <f t="shared" si="268"/>
        <v>Частичное-факел</v>
      </c>
      <c r="P236" s="31" t="s">
        <v>46</v>
      </c>
      <c r="Q236" s="31" t="s">
        <v>46</v>
      </c>
      <c r="R236" s="31" t="s">
        <v>46</v>
      </c>
      <c r="S236" s="31" t="s">
        <v>46</v>
      </c>
      <c r="T236" s="31" t="s">
        <v>46</v>
      </c>
      <c r="U236" s="31" t="s">
        <v>46</v>
      </c>
      <c r="V236" s="31" t="s">
        <v>46</v>
      </c>
      <c r="W236" s="31" t="s">
        <v>46</v>
      </c>
      <c r="X236" s="31" t="s">
        <v>46</v>
      </c>
      <c r="Y236" s="31">
        <v>8</v>
      </c>
      <c r="Z236" s="31">
        <v>2</v>
      </c>
      <c r="AA236" s="31" t="s">
        <v>46</v>
      </c>
      <c r="AB236" s="31" t="s">
        <v>46</v>
      </c>
      <c r="AC236" s="31" t="s">
        <v>46</v>
      </c>
      <c r="AD236" s="31" t="s">
        <v>46</v>
      </c>
      <c r="AE236" s="31" t="s">
        <v>46</v>
      </c>
      <c r="AF236" s="31" t="s">
        <v>46</v>
      </c>
      <c r="AG236" s="31" t="s">
        <v>46</v>
      </c>
      <c r="AH236" s="31" t="s">
        <v>46</v>
      </c>
      <c r="AI236" s="31" t="s">
        <v>46</v>
      </c>
      <c r="AJ236" s="31">
        <v>0</v>
      </c>
      <c r="AK236" s="31">
        <v>2</v>
      </c>
      <c r="AL236" s="31">
        <f>0.1*$AL$2</f>
        <v>7.5000000000000011E-2</v>
      </c>
      <c r="AM236" s="31">
        <f>AM232</f>
        <v>2.7E-2</v>
      </c>
      <c r="AN236" s="31">
        <f>ROUNDUP(AN232/3,0)</f>
        <v>1</v>
      </c>
      <c r="AO236" s="31"/>
      <c r="AP236" s="31"/>
      <c r="AQ236" s="32">
        <f>AM236*I236+AL236</f>
        <v>7.5202500000000005E-2</v>
      </c>
      <c r="AR236" s="32">
        <f t="shared" si="269"/>
        <v>7.5202500000000009E-3</v>
      </c>
      <c r="AS236" s="33">
        <f t="shared" si="270"/>
        <v>0.5</v>
      </c>
      <c r="AT236" s="33">
        <f t="shared" si="271"/>
        <v>0.14568068750000002</v>
      </c>
      <c r="AU236" s="32">
        <f>10068.2*J236*POWER(10,-6)</f>
        <v>7.5511499999999997E-5</v>
      </c>
      <c r="AV236" s="33">
        <f t="shared" si="272"/>
        <v>0.7284789490000001</v>
      </c>
      <c r="AW236" s="34">
        <f t="shared" si="262"/>
        <v>0</v>
      </c>
      <c r="AX236" s="34">
        <f t="shared" si="263"/>
        <v>5.5999999999999999E-5</v>
      </c>
      <c r="AY236" s="34">
        <f t="shared" si="264"/>
        <v>2.0397410572000004E-5</v>
      </c>
      <c r="AZ236" s="289">
        <f>AW236/[1]DB!$B$23</f>
        <v>0</v>
      </c>
      <c r="BA236" s="289">
        <f>AX236/[1]DB!$B$23</f>
        <v>6.7469879518072289E-8</v>
      </c>
    </row>
    <row r="237" spans="1:53" x14ac:dyDescent="0.3">
      <c r="A237" s="8" t="s">
        <v>827</v>
      </c>
      <c r="B237" s="8" t="str">
        <f>B232</f>
        <v>Технологический трубопровод КС «Раевка» «Линия выкида газа от КС», попутный нефтяной газ</v>
      </c>
      <c r="C237" s="78" t="s">
        <v>135</v>
      </c>
      <c r="D237" s="9" t="s">
        <v>136</v>
      </c>
      <c r="E237" s="66">
        <f>E236</f>
        <v>1.9999999999999999E-6</v>
      </c>
      <c r="F237" s="67">
        <f>F233</f>
        <v>400</v>
      </c>
      <c r="G237" s="8">
        <v>8.3000000000000001E-3</v>
      </c>
      <c r="H237" s="10">
        <f>E237*F237*G237</f>
        <v>6.6399999999999991E-6</v>
      </c>
      <c r="I237" s="61">
        <f>I236</f>
        <v>7.4999999999999997E-3</v>
      </c>
      <c r="J237" s="68">
        <f>I237</f>
        <v>7.4999999999999997E-3</v>
      </c>
      <c r="K237" s="72" t="s">
        <v>138</v>
      </c>
      <c r="L237" s="129">
        <v>4</v>
      </c>
      <c r="M237" s="31" t="str">
        <f>A237</f>
        <v>C170</v>
      </c>
      <c r="N237" s="31" t="str">
        <f>B237</f>
        <v>Технологический трубопровод КС «Раевка» «Линия выкида газа от КС», попутный нефтяной газ</v>
      </c>
      <c r="O237" s="31" t="str">
        <f>D237</f>
        <v>Частичное-взрыв</v>
      </c>
      <c r="P237" s="31" t="s">
        <v>46</v>
      </c>
      <c r="Q237" s="31" t="s">
        <v>46</v>
      </c>
      <c r="R237" s="31" t="s">
        <v>46</v>
      </c>
      <c r="S237" s="31" t="s">
        <v>46</v>
      </c>
      <c r="T237" s="31">
        <v>0</v>
      </c>
      <c r="U237" s="31">
        <v>0</v>
      </c>
      <c r="V237" s="31">
        <v>14.6</v>
      </c>
      <c r="W237" s="31">
        <v>49.6</v>
      </c>
      <c r="X237" s="31">
        <v>72.099999999999994</v>
      </c>
      <c r="Y237" s="31" t="s">
        <v>46</v>
      </c>
      <c r="Z237" s="31" t="s">
        <v>46</v>
      </c>
      <c r="AA237" s="31" t="s">
        <v>46</v>
      </c>
      <c r="AB237" s="31" t="s">
        <v>46</v>
      </c>
      <c r="AC237" s="31" t="s">
        <v>46</v>
      </c>
      <c r="AD237" s="31" t="s">
        <v>46</v>
      </c>
      <c r="AE237" s="31" t="s">
        <v>46</v>
      </c>
      <c r="AF237" s="31" t="s">
        <v>46</v>
      </c>
      <c r="AG237" s="31" t="s">
        <v>46</v>
      </c>
      <c r="AH237" s="31" t="s">
        <v>46</v>
      </c>
      <c r="AI237" s="31" t="s">
        <v>46</v>
      </c>
      <c r="AJ237" s="31">
        <v>0</v>
      </c>
      <c r="AK237" s="31">
        <v>1</v>
      </c>
      <c r="AL237" s="31">
        <f>0.1*$AL$2</f>
        <v>7.5000000000000011E-2</v>
      </c>
      <c r="AM237" s="31">
        <f>AM232</f>
        <v>2.7E-2</v>
      </c>
      <c r="AN237" s="31">
        <f>AN236</f>
        <v>1</v>
      </c>
      <c r="AO237" s="31"/>
      <c r="AP237" s="31"/>
      <c r="AQ237" s="32">
        <f>AM237*I237+AL237</f>
        <v>7.5202500000000005E-2</v>
      </c>
      <c r="AR237" s="32">
        <f>0.1*AQ237</f>
        <v>7.5202500000000009E-3</v>
      </c>
      <c r="AS237" s="33">
        <f>AJ237*3+0.25*AK237</f>
        <v>0.25</v>
      </c>
      <c r="AT237" s="33">
        <f>SUM(AQ237:AS237)/4</f>
        <v>8.3180687500000003E-2</v>
      </c>
      <c r="AU237" s="32">
        <f>10068.2*J237*POWER(10,-6)*10</f>
        <v>7.55115E-4</v>
      </c>
      <c r="AV237" s="33">
        <f>AU237+AT237+AS237+AR237+AQ237</f>
        <v>0.4166585525</v>
      </c>
      <c r="AW237" s="34">
        <f t="shared" si="262"/>
        <v>0</v>
      </c>
      <c r="AX237" s="34">
        <f t="shared" si="263"/>
        <v>6.6399999999999991E-6</v>
      </c>
      <c r="AY237" s="34">
        <f t="shared" si="264"/>
        <v>2.7666127885999997E-6</v>
      </c>
      <c r="AZ237" s="289">
        <f>AW237/[1]DB!$B$23</f>
        <v>0</v>
      </c>
      <c r="BA237" s="289">
        <f>AX237/[1]DB!$B$23</f>
        <v>7.9999999999999988E-9</v>
      </c>
    </row>
    <row r="238" spans="1:53" x14ac:dyDescent="0.3">
      <c r="A238" s="8" t="s">
        <v>828</v>
      </c>
      <c r="B238" s="8" t="str">
        <f>B232</f>
        <v>Технологический трубопровод КС «Раевка» «Линия выкида газа от КС», попутный нефтяной газ</v>
      </c>
      <c r="C238" s="78" t="s">
        <v>110</v>
      </c>
      <c r="D238" s="9" t="s">
        <v>112</v>
      </c>
      <c r="E238" s="66">
        <f>E236</f>
        <v>1.9999999999999999E-6</v>
      </c>
      <c r="F238" s="67">
        <f>F232</f>
        <v>400</v>
      </c>
      <c r="G238" s="8">
        <v>2.64E-2</v>
      </c>
      <c r="H238" s="10">
        <f t="shared" ref="H238:H239" si="273">E238*F238*G238</f>
        <v>2.1119999999999998E-5</v>
      </c>
      <c r="I238" s="61">
        <f>0.15*I232</f>
        <v>7.4999999999999997E-3</v>
      </c>
      <c r="J238" s="68">
        <f>J234*0.15</f>
        <v>7.4999999999999997E-3</v>
      </c>
      <c r="K238" s="334" t="s">
        <v>466</v>
      </c>
      <c r="L238" s="287" t="s">
        <v>639</v>
      </c>
      <c r="M238" s="31" t="str">
        <f t="shared" ref="M238:M239" si="274">A238</f>
        <v>C171</v>
      </c>
      <c r="N238" s="31" t="str">
        <f t="shared" ref="N238:N239" si="275">B238</f>
        <v>Технологический трубопровод КС «Раевка» «Линия выкида газа от КС», попутный нефтяной газ</v>
      </c>
      <c r="O238" s="31" t="str">
        <f t="shared" ref="O238:O239" si="276">D238</f>
        <v>Частичное-пожар-вспышка</v>
      </c>
      <c r="P238" s="31" t="s">
        <v>46</v>
      </c>
      <c r="Q238" s="31" t="s">
        <v>46</v>
      </c>
      <c r="R238" s="31" t="s">
        <v>46</v>
      </c>
      <c r="S238" s="31" t="s">
        <v>46</v>
      </c>
      <c r="T238" s="31" t="s">
        <v>46</v>
      </c>
      <c r="U238" s="31" t="s">
        <v>46</v>
      </c>
      <c r="V238" s="31" t="s">
        <v>46</v>
      </c>
      <c r="W238" s="31" t="s">
        <v>46</v>
      </c>
      <c r="X238" s="31" t="s">
        <v>46</v>
      </c>
      <c r="Y238" s="31" t="s">
        <v>46</v>
      </c>
      <c r="Z238" s="31" t="s">
        <v>46</v>
      </c>
      <c r="AA238" s="31">
        <v>6.67</v>
      </c>
      <c r="AB238" s="31">
        <v>8</v>
      </c>
      <c r="AC238" s="31" t="s">
        <v>46</v>
      </c>
      <c r="AD238" s="31" t="s">
        <v>46</v>
      </c>
      <c r="AE238" s="31" t="s">
        <v>46</v>
      </c>
      <c r="AF238" s="31" t="s">
        <v>46</v>
      </c>
      <c r="AG238" s="31" t="s">
        <v>46</v>
      </c>
      <c r="AH238" s="31" t="s">
        <v>46</v>
      </c>
      <c r="AI238" s="31" t="s">
        <v>46</v>
      </c>
      <c r="AJ238" s="31">
        <v>0</v>
      </c>
      <c r="AK238" s="31">
        <v>1</v>
      </c>
      <c r="AL238" s="31">
        <f>0.1*$AL$2</f>
        <v>7.5000000000000011E-2</v>
      </c>
      <c r="AM238" s="31">
        <f>AM232</f>
        <v>2.7E-2</v>
      </c>
      <c r="AN238" s="31">
        <f>ROUNDUP(AN232/3,0)</f>
        <v>1</v>
      </c>
      <c r="AO238" s="31"/>
      <c r="AP238" s="31"/>
      <c r="AQ238" s="32">
        <f>AM238*I238+AL238</f>
        <v>7.5202500000000005E-2</v>
      </c>
      <c r="AR238" s="32">
        <f t="shared" ref="AR238:AR239" si="277">0.1*AQ238</f>
        <v>7.5202500000000009E-3</v>
      </c>
      <c r="AS238" s="33">
        <f t="shared" ref="AS238:AS239" si="278">AJ238*3+0.25*AK238</f>
        <v>0.25</v>
      </c>
      <c r="AT238" s="33">
        <f t="shared" ref="AT238:AT239" si="279">SUM(AQ238:AS238)/4</f>
        <v>8.3180687500000003E-2</v>
      </c>
      <c r="AU238" s="32">
        <f>10068.2*J238*POWER(10,-6)*10</f>
        <v>7.55115E-4</v>
      </c>
      <c r="AV238" s="33">
        <f t="shared" ref="AV238:AV239" si="280">AU238+AT238+AS238+AR238+AQ238</f>
        <v>0.4166585525</v>
      </c>
      <c r="AW238" s="34">
        <f t="shared" si="262"/>
        <v>0</v>
      </c>
      <c r="AX238" s="34">
        <f t="shared" si="263"/>
        <v>2.1119999999999998E-5</v>
      </c>
      <c r="AY238" s="34">
        <f t="shared" si="264"/>
        <v>8.799828628799999E-6</v>
      </c>
      <c r="AZ238" s="289">
        <f>AW238/[1]DB!$B$23</f>
        <v>0</v>
      </c>
      <c r="BA238" s="289">
        <f>AX238/[1]DB!$B$23</f>
        <v>2.5445783132530119E-8</v>
      </c>
    </row>
    <row r="239" spans="1:53" ht="15" thickBot="1" x14ac:dyDescent="0.35">
      <c r="A239" s="8" t="s">
        <v>829</v>
      </c>
      <c r="B239" s="8" t="str">
        <f>B232</f>
        <v>Технологический трубопровод КС «Раевка» «Линия выкида газа от КС», попутный нефтяной газ</v>
      </c>
      <c r="C239" s="78" t="s">
        <v>111</v>
      </c>
      <c r="D239" s="9" t="s">
        <v>27</v>
      </c>
      <c r="E239" s="66">
        <f>E236</f>
        <v>1.9999999999999999E-6</v>
      </c>
      <c r="F239" s="67">
        <f>F232</f>
        <v>400</v>
      </c>
      <c r="G239" s="8">
        <v>0.93030000000000002</v>
      </c>
      <c r="H239" s="10">
        <f t="shared" si="273"/>
        <v>7.4423999999999996E-4</v>
      </c>
      <c r="I239" s="61">
        <f>0.15*I232</f>
        <v>7.4999999999999997E-3</v>
      </c>
      <c r="J239" s="70">
        <v>0</v>
      </c>
      <c r="K239" s="74"/>
      <c r="L239" s="75"/>
      <c r="M239" s="31" t="str">
        <f t="shared" si="274"/>
        <v>C172</v>
      </c>
      <c r="N239" s="31" t="str">
        <f t="shared" si="275"/>
        <v>Технологический трубопровод КС «Раевка» «Линия выкида газа от КС», попутный нефтяной газ</v>
      </c>
      <c r="O239" s="31" t="str">
        <f t="shared" si="276"/>
        <v>Частичное-ликвидация</v>
      </c>
      <c r="P239" s="31" t="s">
        <v>46</v>
      </c>
      <c r="Q239" s="31" t="s">
        <v>46</v>
      </c>
      <c r="R239" s="31" t="s">
        <v>46</v>
      </c>
      <c r="S239" s="31" t="s">
        <v>46</v>
      </c>
      <c r="T239" s="31" t="s">
        <v>46</v>
      </c>
      <c r="U239" s="31" t="s">
        <v>46</v>
      </c>
      <c r="V239" s="31" t="s">
        <v>46</v>
      </c>
      <c r="W239" s="31" t="s">
        <v>46</v>
      </c>
      <c r="X239" s="31" t="s">
        <v>46</v>
      </c>
      <c r="Y239" s="31" t="s">
        <v>46</v>
      </c>
      <c r="Z239" s="31" t="s">
        <v>46</v>
      </c>
      <c r="AA239" s="31" t="s">
        <v>46</v>
      </c>
      <c r="AB239" s="31" t="s">
        <v>46</v>
      </c>
      <c r="AC239" s="31" t="s">
        <v>46</v>
      </c>
      <c r="AD239" s="31" t="s">
        <v>46</v>
      </c>
      <c r="AE239" s="31" t="s">
        <v>46</v>
      </c>
      <c r="AF239" s="31" t="s">
        <v>46</v>
      </c>
      <c r="AG239" s="31" t="s">
        <v>46</v>
      </c>
      <c r="AH239" s="31" t="s">
        <v>46</v>
      </c>
      <c r="AI239" s="31" t="s">
        <v>46</v>
      </c>
      <c r="AJ239" s="31">
        <v>0</v>
      </c>
      <c r="AK239" s="31">
        <v>0</v>
      </c>
      <c r="AL239" s="31">
        <f>0.1*$AL$2</f>
        <v>7.5000000000000011E-2</v>
      </c>
      <c r="AM239" s="31">
        <f>AM232</f>
        <v>2.7E-2</v>
      </c>
      <c r="AN239" s="31">
        <f>ROUNDUP(AN232/3,0)</f>
        <v>1</v>
      </c>
      <c r="AO239" s="31"/>
      <c r="AP239" s="31"/>
      <c r="AQ239" s="32">
        <f>AM239*I239*0.1+AL239</f>
        <v>7.5020250000000011E-2</v>
      </c>
      <c r="AR239" s="32">
        <f t="shared" si="277"/>
        <v>7.5020250000000016E-3</v>
      </c>
      <c r="AS239" s="33">
        <f t="shared" si="278"/>
        <v>0</v>
      </c>
      <c r="AT239" s="33">
        <f t="shared" si="279"/>
        <v>2.0630568750000002E-2</v>
      </c>
      <c r="AU239" s="32">
        <f>1333*J238*POWER(10,-6)</f>
        <v>9.9975000000000004E-6</v>
      </c>
      <c r="AV239" s="33">
        <f t="shared" si="280"/>
        <v>0.10316284125000001</v>
      </c>
      <c r="AW239" s="34">
        <f t="shared" si="262"/>
        <v>0</v>
      </c>
      <c r="AX239" s="34">
        <f t="shared" si="263"/>
        <v>0</v>
      </c>
      <c r="AY239" s="34">
        <f t="shared" si="264"/>
        <v>7.6777912971899998E-5</v>
      </c>
      <c r="AZ239" s="289">
        <f>AW239/[1]DB!$B$23</f>
        <v>0</v>
      </c>
      <c r="BA239" s="289">
        <f>AX239/[1]DB!$B$23</f>
        <v>0</v>
      </c>
    </row>
    <row r="240" spans="1:53" x14ac:dyDescent="0.3">
      <c r="A240" s="12"/>
      <c r="B240" s="12"/>
      <c r="C240" s="31"/>
      <c r="D240" s="166"/>
      <c r="E240" s="167"/>
      <c r="F240" s="168"/>
      <c r="G240" s="12"/>
      <c r="H240" s="34"/>
      <c r="I240" s="33"/>
      <c r="J240" s="12"/>
      <c r="K240" s="12"/>
      <c r="L240" s="12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2"/>
      <c r="AR240" s="32"/>
      <c r="AS240" s="33"/>
      <c r="AT240" s="33"/>
      <c r="AU240" s="32"/>
      <c r="AV240" s="33"/>
      <c r="AW240" s="34"/>
      <c r="AX240" s="34"/>
      <c r="AY240" s="34"/>
    </row>
    <row r="241" spans="1:53" ht="15" thickBot="1" x14ac:dyDescent="0.35"/>
    <row r="242" spans="1:53" ht="18" customHeight="1" x14ac:dyDescent="0.3">
      <c r="A242" s="8" t="s">
        <v>830</v>
      </c>
      <c r="B242" s="62" t="s">
        <v>711</v>
      </c>
      <c r="C242" s="78" t="s">
        <v>129</v>
      </c>
      <c r="D242" s="9" t="s">
        <v>130</v>
      </c>
      <c r="E242" s="65">
        <v>2.9999999999999999E-7</v>
      </c>
      <c r="F242" s="62">
        <v>309</v>
      </c>
      <c r="G242" s="8">
        <v>0.2</v>
      </c>
      <c r="H242" s="10">
        <f>E242*F242*G242</f>
        <v>1.8539999999999999E-5</v>
      </c>
      <c r="I242" s="63">
        <v>0.09</v>
      </c>
      <c r="J242" s="68">
        <f>I242</f>
        <v>0.09</v>
      </c>
      <c r="K242" s="71" t="s">
        <v>122</v>
      </c>
      <c r="L242" s="76">
        <v>0</v>
      </c>
      <c r="M242" s="31" t="str">
        <f t="shared" ref="M242:M243" si="281">A242</f>
        <v>C173</v>
      </c>
      <c r="N242" s="31" t="str">
        <f t="shared" ref="N242:N243" si="282">B242</f>
        <v>Газопровод «1 ступень УПН  - РГ Раевка», попутный нефтяной газ</v>
      </c>
      <c r="O242" s="31" t="str">
        <f t="shared" ref="O242:O243" si="283">D242</f>
        <v>Полное-факел</v>
      </c>
      <c r="P242" s="31" t="s">
        <v>46</v>
      </c>
      <c r="Q242" s="31" t="s">
        <v>46</v>
      </c>
      <c r="R242" s="31" t="s">
        <v>46</v>
      </c>
      <c r="S242" s="31" t="s">
        <v>46</v>
      </c>
      <c r="T242" s="31" t="s">
        <v>46</v>
      </c>
      <c r="U242" s="31" t="s">
        <v>46</v>
      </c>
      <c r="V242" s="31" t="s">
        <v>46</v>
      </c>
      <c r="W242" s="31" t="s">
        <v>46</v>
      </c>
      <c r="X242" s="31" t="s">
        <v>46</v>
      </c>
      <c r="Y242" s="31">
        <v>13</v>
      </c>
      <c r="Z242" s="31">
        <v>2</v>
      </c>
      <c r="AA242" s="31" t="s">
        <v>46</v>
      </c>
      <c r="AB242" s="31" t="s">
        <v>46</v>
      </c>
      <c r="AC242" s="31" t="s">
        <v>46</v>
      </c>
      <c r="AD242" s="31" t="s">
        <v>46</v>
      </c>
      <c r="AE242" s="31" t="s">
        <v>46</v>
      </c>
      <c r="AF242" s="31" t="s">
        <v>46</v>
      </c>
      <c r="AG242" s="31" t="s">
        <v>46</v>
      </c>
      <c r="AH242" s="31" t="s">
        <v>46</v>
      </c>
      <c r="AI242" s="31" t="s">
        <v>46</v>
      </c>
      <c r="AJ242" s="12">
        <v>1</v>
      </c>
      <c r="AK242" s="12">
        <v>2</v>
      </c>
      <c r="AL242" s="64">
        <v>0.75</v>
      </c>
      <c r="AM242" s="64">
        <v>2.7E-2</v>
      </c>
      <c r="AN242" s="64">
        <v>3</v>
      </c>
      <c r="AO242" s="31"/>
      <c r="AP242" s="31"/>
      <c r="AQ242" s="32">
        <f>AM242*I242+AL242</f>
        <v>0.75243000000000004</v>
      </c>
      <c r="AR242" s="32">
        <f>0.1*AQ242</f>
        <v>7.5243000000000004E-2</v>
      </c>
      <c r="AS242" s="33">
        <f>AJ242*3+0.25*AK242</f>
        <v>3.5</v>
      </c>
      <c r="AT242" s="33">
        <f>SUM(AQ242:AS242)/4</f>
        <v>1.08191825</v>
      </c>
      <c r="AU242" s="32">
        <f>10068.2*J242*POWER(10,-6)</f>
        <v>9.0613800000000002E-4</v>
      </c>
      <c r="AV242" s="33">
        <f t="shared" ref="AV242:AV243" si="284">AU242+AT242+AS242+AR242+AQ242</f>
        <v>5.4104973880000005</v>
      </c>
      <c r="AW242" s="34">
        <f>AJ242*H242</f>
        <v>1.8539999999999999E-5</v>
      </c>
      <c r="AX242" s="34">
        <f>H242*AK242</f>
        <v>3.7079999999999997E-5</v>
      </c>
      <c r="AY242" s="34">
        <f>H242*AV242</f>
        <v>1.0031062157352E-4</v>
      </c>
      <c r="AZ242" s="289">
        <f>AW242/[1]DB!$B$23</f>
        <v>2.2337349397590359E-8</v>
      </c>
      <c r="BA242" s="289">
        <f>AX242/[1]DB!$B$23</f>
        <v>4.4674698795180718E-8</v>
      </c>
    </row>
    <row r="243" spans="1:53" x14ac:dyDescent="0.3">
      <c r="A243" s="8" t="s">
        <v>831</v>
      </c>
      <c r="B243" s="8" t="str">
        <f>B242</f>
        <v>Газопровод «1 ступень УПН  - РГ Раевка», попутный нефтяной газ</v>
      </c>
      <c r="C243" s="78" t="s">
        <v>107</v>
      </c>
      <c r="D243" s="9" t="s">
        <v>28</v>
      </c>
      <c r="E243" s="66">
        <f>E242</f>
        <v>2.9999999999999999E-7</v>
      </c>
      <c r="F243" s="67">
        <f>F242</f>
        <v>309</v>
      </c>
      <c r="G243" s="8">
        <v>0.1152</v>
      </c>
      <c r="H243" s="10">
        <f t="shared" ref="H243" si="285">E243*F243*G243</f>
        <v>1.0679039999999998E-5</v>
      </c>
      <c r="I243" s="61">
        <f>I242</f>
        <v>0.09</v>
      </c>
      <c r="J243" s="79">
        <f>0.1*I242</f>
        <v>8.9999999999999993E-3</v>
      </c>
      <c r="K243" s="73" t="s">
        <v>123</v>
      </c>
      <c r="L243" s="77">
        <v>1</v>
      </c>
      <c r="M243" s="31" t="str">
        <f t="shared" si="281"/>
        <v>C174</v>
      </c>
      <c r="N243" s="31" t="str">
        <f t="shared" si="282"/>
        <v>Газопровод «1 ступень УПН  - РГ Раевка», попутный нефтяной газ</v>
      </c>
      <c r="O243" s="31" t="str">
        <f t="shared" si="283"/>
        <v>Полное-взрыв</v>
      </c>
      <c r="P243" s="31" t="s">
        <v>46</v>
      </c>
      <c r="Q243" s="31" t="s">
        <v>46</v>
      </c>
      <c r="R243" s="31" t="s">
        <v>46</v>
      </c>
      <c r="S243" s="31" t="s">
        <v>46</v>
      </c>
      <c r="T243" s="31">
        <v>0</v>
      </c>
      <c r="U243" s="31">
        <v>0</v>
      </c>
      <c r="V243" s="31">
        <v>15.6</v>
      </c>
      <c r="W243" s="31">
        <v>52.6</v>
      </c>
      <c r="X243" s="31">
        <v>76.599999999999994</v>
      </c>
      <c r="Y243" s="31" t="s">
        <v>46</v>
      </c>
      <c r="Z243" s="31" t="s">
        <v>46</v>
      </c>
      <c r="AA243" s="31" t="s">
        <v>46</v>
      </c>
      <c r="AB243" s="31" t="s">
        <v>46</v>
      </c>
      <c r="AC243" s="31" t="s">
        <v>46</v>
      </c>
      <c r="AD243" s="31" t="s">
        <v>46</v>
      </c>
      <c r="AE243" s="31" t="s">
        <v>46</v>
      </c>
      <c r="AF243" s="31" t="s">
        <v>46</v>
      </c>
      <c r="AG243" s="31" t="s">
        <v>46</v>
      </c>
      <c r="AH243" s="31" t="s">
        <v>46</v>
      </c>
      <c r="AI243" s="31" t="s">
        <v>46</v>
      </c>
      <c r="AJ243" s="12">
        <v>1</v>
      </c>
      <c r="AK243" s="12">
        <v>2</v>
      </c>
      <c r="AL243" s="31">
        <f>AL242</f>
        <v>0.75</v>
      </c>
      <c r="AM243" s="31">
        <f>AM242</f>
        <v>2.7E-2</v>
      </c>
      <c r="AN243" s="31">
        <f>AN242</f>
        <v>3</v>
      </c>
      <c r="AO243" s="31"/>
      <c r="AP243" s="31"/>
      <c r="AQ243" s="32">
        <f>AM243*I243+AL243</f>
        <v>0.75243000000000004</v>
      </c>
      <c r="AR243" s="32">
        <f t="shared" ref="AR243" si="286">0.1*AQ243</f>
        <v>7.5243000000000004E-2</v>
      </c>
      <c r="AS243" s="33">
        <f t="shared" ref="AS243" si="287">AJ243*3+0.25*AK243</f>
        <v>3.5</v>
      </c>
      <c r="AT243" s="33">
        <f t="shared" ref="AT243" si="288">SUM(AQ243:AS243)/4</f>
        <v>1.08191825</v>
      </c>
      <c r="AU243" s="32">
        <f>10068.2*J243*POWER(10,-6)*10</f>
        <v>9.0613799999999991E-4</v>
      </c>
      <c r="AV243" s="33">
        <f t="shared" si="284"/>
        <v>5.4104973880000005</v>
      </c>
      <c r="AW243" s="34">
        <f t="shared" ref="AW243:AW249" si="289">AJ243*H243</f>
        <v>1.0679039999999998E-5</v>
      </c>
      <c r="AX243" s="34">
        <f t="shared" ref="AX243:AX249" si="290">H243*AK243</f>
        <v>2.1358079999999997E-5</v>
      </c>
      <c r="AY243" s="34">
        <f t="shared" ref="AY243:AY249" si="291">H243*AV243</f>
        <v>5.7778918026347515E-5</v>
      </c>
      <c r="AZ243" s="289">
        <f>AW243/[1]DB!$B$23</f>
        <v>1.2866313253012046E-8</v>
      </c>
      <c r="BA243" s="289">
        <f>AX243/[1]DB!$B$23</f>
        <v>2.5732626506024093E-8</v>
      </c>
    </row>
    <row r="244" spans="1:53" x14ac:dyDescent="0.3">
      <c r="A244" s="8" t="s">
        <v>832</v>
      </c>
      <c r="B244" s="8" t="str">
        <f>B242</f>
        <v>Газопровод «1 ступень УПН  - РГ Раевка», попутный нефтяной газ</v>
      </c>
      <c r="C244" s="78" t="s">
        <v>131</v>
      </c>
      <c r="D244" s="9" t="s">
        <v>132</v>
      </c>
      <c r="E244" s="66">
        <f>E242</f>
        <v>2.9999999999999999E-7</v>
      </c>
      <c r="F244" s="67">
        <f>F242</f>
        <v>309</v>
      </c>
      <c r="G244" s="8">
        <v>7.6799999999999993E-2</v>
      </c>
      <c r="H244" s="10">
        <f>E244*F244*G244</f>
        <v>7.1193599999999989E-6</v>
      </c>
      <c r="I244" s="61">
        <f>I242</f>
        <v>0.09</v>
      </c>
      <c r="J244" s="68">
        <f>I242</f>
        <v>0.09</v>
      </c>
      <c r="K244" s="73" t="s">
        <v>124</v>
      </c>
      <c r="L244" s="77">
        <v>0</v>
      </c>
      <c r="M244" s="31" t="str">
        <f>A244</f>
        <v>C175</v>
      </c>
      <c r="N244" s="31" t="str">
        <f>B244</f>
        <v>Газопровод «1 ступень УПН  - РГ Раевка», попутный нефтяной газ</v>
      </c>
      <c r="O244" s="31" t="str">
        <f>D244</f>
        <v>Полное-вспышка</v>
      </c>
      <c r="P244" s="31" t="s">
        <v>46</v>
      </c>
      <c r="Q244" s="31" t="s">
        <v>46</v>
      </c>
      <c r="R244" s="31" t="s">
        <v>46</v>
      </c>
      <c r="S244" s="31" t="s">
        <v>46</v>
      </c>
      <c r="T244" s="31" t="s">
        <v>46</v>
      </c>
      <c r="U244" s="31" t="s">
        <v>46</v>
      </c>
      <c r="V244" s="31" t="s">
        <v>46</v>
      </c>
      <c r="W244" s="31" t="s">
        <v>46</v>
      </c>
      <c r="X244" s="31" t="s">
        <v>46</v>
      </c>
      <c r="Y244" s="31" t="s">
        <v>46</v>
      </c>
      <c r="Z244" s="31" t="s">
        <v>46</v>
      </c>
      <c r="AA244" s="31">
        <v>15.14</v>
      </c>
      <c r="AB244" s="31">
        <v>18.170000000000002</v>
      </c>
      <c r="AC244" s="31" t="s">
        <v>46</v>
      </c>
      <c r="AD244" s="31" t="s">
        <v>46</v>
      </c>
      <c r="AE244" s="31" t="s">
        <v>46</v>
      </c>
      <c r="AF244" s="31" t="s">
        <v>46</v>
      </c>
      <c r="AG244" s="31" t="s">
        <v>46</v>
      </c>
      <c r="AH244" s="31" t="s">
        <v>46</v>
      </c>
      <c r="AI244" s="31" t="s">
        <v>46</v>
      </c>
      <c r="AJ244" s="31">
        <v>0</v>
      </c>
      <c r="AK244" s="31">
        <v>0</v>
      </c>
      <c r="AL244" s="31">
        <f>AL242</f>
        <v>0.75</v>
      </c>
      <c r="AM244" s="31">
        <f>AM242</f>
        <v>2.7E-2</v>
      </c>
      <c r="AN244" s="31">
        <f>AN242</f>
        <v>3</v>
      </c>
      <c r="AO244" s="31"/>
      <c r="AP244" s="31"/>
      <c r="AQ244" s="32">
        <f>AM244*I244*0.1+AL244</f>
        <v>0.75024299999999999</v>
      </c>
      <c r="AR244" s="32">
        <f>0.1*AQ244</f>
        <v>7.5024300000000002E-2</v>
      </c>
      <c r="AS244" s="33">
        <f>AJ244*3+0.25*AK244</f>
        <v>0</v>
      </c>
      <c r="AT244" s="33">
        <f>SUM(AQ244:AS244)/4</f>
        <v>0.20631682500000001</v>
      </c>
      <c r="AU244" s="32">
        <f>1333*J242*POWER(10,-6)</f>
        <v>1.1996999999999999E-4</v>
      </c>
      <c r="AV244" s="33">
        <f>AU244+AT244+AS244+AR244+AQ244</f>
        <v>1.031704095</v>
      </c>
      <c r="AW244" s="34">
        <f t="shared" si="289"/>
        <v>0</v>
      </c>
      <c r="AX244" s="34">
        <f t="shared" si="290"/>
        <v>0</v>
      </c>
      <c r="AY244" s="34">
        <f t="shared" si="291"/>
        <v>7.3450728657791995E-6</v>
      </c>
      <c r="AZ244" s="289">
        <f>AW244/[1]DB!$B$23</f>
        <v>0</v>
      </c>
      <c r="BA244" s="289">
        <f>AX244/[1]DB!$B$23</f>
        <v>0</v>
      </c>
    </row>
    <row r="245" spans="1:53" x14ac:dyDescent="0.3">
      <c r="A245" s="8" t="s">
        <v>833</v>
      </c>
      <c r="B245" s="8" t="str">
        <f>B242</f>
        <v>Газопровод «1 ступень УПН  - РГ Раевка», попутный нефтяной газ</v>
      </c>
      <c r="C245" s="78" t="s">
        <v>108</v>
      </c>
      <c r="D245" s="9" t="s">
        <v>26</v>
      </c>
      <c r="E245" s="66">
        <f>E242</f>
        <v>2.9999999999999999E-7</v>
      </c>
      <c r="F245" s="67">
        <f>F242</f>
        <v>309</v>
      </c>
      <c r="G245" s="8">
        <v>0.60799999999999998</v>
      </c>
      <c r="H245" s="10">
        <f t="shared" ref="H245:H246" si="292">E245*F245*G245</f>
        <v>5.6361599999999992E-5</v>
      </c>
      <c r="I245" s="61">
        <f>I242</f>
        <v>0.09</v>
      </c>
      <c r="J245" s="70">
        <v>0</v>
      </c>
      <c r="K245" s="73" t="s">
        <v>126</v>
      </c>
      <c r="L245" s="77">
        <v>45390</v>
      </c>
      <c r="M245" s="31" t="str">
        <f t="shared" ref="M245:M246" si="293">A245</f>
        <v>C176</v>
      </c>
      <c r="N245" s="31" t="str">
        <f t="shared" ref="N245:N246" si="294">B245</f>
        <v>Газопровод «1 ступень УПН  - РГ Раевка», попутный нефтяной газ</v>
      </c>
      <c r="O245" s="31" t="str">
        <f t="shared" ref="O245:O246" si="295">D245</f>
        <v>Полное-ликвидация</v>
      </c>
      <c r="P245" s="31" t="s">
        <v>46</v>
      </c>
      <c r="Q245" s="31" t="s">
        <v>46</v>
      </c>
      <c r="R245" s="31" t="s">
        <v>46</v>
      </c>
      <c r="S245" s="31" t="s">
        <v>46</v>
      </c>
      <c r="T245" s="31" t="s">
        <v>46</v>
      </c>
      <c r="U245" s="31" t="s">
        <v>46</v>
      </c>
      <c r="V245" s="31" t="s">
        <v>46</v>
      </c>
      <c r="W245" s="31" t="s">
        <v>46</v>
      </c>
      <c r="X245" s="31" t="s">
        <v>46</v>
      </c>
      <c r="Y245" s="31" t="s">
        <v>46</v>
      </c>
      <c r="Z245" s="31" t="s">
        <v>46</v>
      </c>
      <c r="AA245" s="31" t="s">
        <v>46</v>
      </c>
      <c r="AB245" s="31" t="s">
        <v>46</v>
      </c>
      <c r="AC245" s="31" t="s">
        <v>46</v>
      </c>
      <c r="AD245" s="31" t="s">
        <v>46</v>
      </c>
      <c r="AE245" s="31" t="s">
        <v>46</v>
      </c>
      <c r="AF245" s="31" t="s">
        <v>46</v>
      </c>
      <c r="AG245" s="31" t="s">
        <v>46</v>
      </c>
      <c r="AH245" s="31" t="s">
        <v>46</v>
      </c>
      <c r="AI245" s="31" t="s">
        <v>46</v>
      </c>
      <c r="AJ245" s="31">
        <v>0</v>
      </c>
      <c r="AK245" s="31">
        <v>0</v>
      </c>
      <c r="AL245" s="31">
        <f>AL242</f>
        <v>0.75</v>
      </c>
      <c r="AM245" s="31">
        <f>AM242</f>
        <v>2.7E-2</v>
      </c>
      <c r="AN245" s="31">
        <f>AN242</f>
        <v>3</v>
      </c>
      <c r="AO245" s="31"/>
      <c r="AP245" s="31"/>
      <c r="AQ245" s="32">
        <f>AM245*I245*0.1+AL245</f>
        <v>0.75024299999999999</v>
      </c>
      <c r="AR245" s="32">
        <f t="shared" ref="AR245:AR246" si="296">0.1*AQ245</f>
        <v>7.5024300000000002E-2</v>
      </c>
      <c r="AS245" s="33">
        <f t="shared" ref="AS245:AS246" si="297">AJ245*3+0.25*AK245</f>
        <v>0</v>
      </c>
      <c r="AT245" s="33">
        <f t="shared" ref="AT245:AT246" si="298">SUM(AQ245:AS245)/4</f>
        <v>0.20631682500000001</v>
      </c>
      <c r="AU245" s="32">
        <f>1333*J243*POWER(10,-6)</f>
        <v>1.1996999999999999E-5</v>
      </c>
      <c r="AV245" s="33">
        <f t="shared" ref="AV245:AV246" si="299">AU245+AT245+AS245+AR245+AQ245</f>
        <v>1.0315961220000001</v>
      </c>
      <c r="AW245" s="34">
        <f t="shared" si="289"/>
        <v>0</v>
      </c>
      <c r="AX245" s="34">
        <f t="shared" si="290"/>
        <v>0</v>
      </c>
      <c r="AY245" s="34">
        <f t="shared" si="291"/>
        <v>5.8142407989715193E-5</v>
      </c>
      <c r="AZ245" s="289">
        <f>AW245/[1]DB!$B$23</f>
        <v>0</v>
      </c>
      <c r="BA245" s="289">
        <f>AX245/[1]DB!$B$23</f>
        <v>0</v>
      </c>
    </row>
    <row r="246" spans="1:53" x14ac:dyDescent="0.3">
      <c r="A246" s="8" t="s">
        <v>834</v>
      </c>
      <c r="B246" s="8" t="str">
        <f>B242</f>
        <v>Газопровод «1 ступень УПН  - РГ Раевка», попутный нефтяной газ</v>
      </c>
      <c r="C246" s="78" t="s">
        <v>133</v>
      </c>
      <c r="D246" s="9" t="s">
        <v>134</v>
      </c>
      <c r="E246" s="65">
        <v>1.9999999999999999E-6</v>
      </c>
      <c r="F246" s="67">
        <f>F242</f>
        <v>309</v>
      </c>
      <c r="G246" s="8">
        <v>3.5000000000000003E-2</v>
      </c>
      <c r="H246" s="10">
        <f t="shared" si="292"/>
        <v>2.1630000000000001E-5</v>
      </c>
      <c r="I246" s="61">
        <f>0.15*I242</f>
        <v>1.35E-2</v>
      </c>
      <c r="J246" s="68">
        <f>I246</f>
        <v>1.35E-2</v>
      </c>
      <c r="K246" s="73" t="s">
        <v>127</v>
      </c>
      <c r="L246" s="77">
        <v>3</v>
      </c>
      <c r="M246" s="31" t="str">
        <f t="shared" si="293"/>
        <v>C177</v>
      </c>
      <c r="N246" s="31" t="str">
        <f t="shared" si="294"/>
        <v>Газопровод «1 ступень УПН  - РГ Раевка», попутный нефтяной газ</v>
      </c>
      <c r="O246" s="31" t="str">
        <f t="shared" si="295"/>
        <v>Частичное-факел</v>
      </c>
      <c r="P246" s="31" t="s">
        <v>46</v>
      </c>
      <c r="Q246" s="31" t="s">
        <v>46</v>
      </c>
      <c r="R246" s="31" t="s">
        <v>46</v>
      </c>
      <c r="S246" s="31" t="s">
        <v>46</v>
      </c>
      <c r="T246" s="31" t="s">
        <v>46</v>
      </c>
      <c r="U246" s="31" t="s">
        <v>46</v>
      </c>
      <c r="V246" s="31" t="s">
        <v>46</v>
      </c>
      <c r="W246" s="31" t="s">
        <v>46</v>
      </c>
      <c r="X246" s="31" t="s">
        <v>46</v>
      </c>
      <c r="Y246" s="31">
        <v>8</v>
      </c>
      <c r="Z246" s="31">
        <v>2</v>
      </c>
      <c r="AA246" s="31" t="s">
        <v>46</v>
      </c>
      <c r="AB246" s="31" t="s">
        <v>46</v>
      </c>
      <c r="AC246" s="31" t="s">
        <v>46</v>
      </c>
      <c r="AD246" s="31" t="s">
        <v>46</v>
      </c>
      <c r="AE246" s="31" t="s">
        <v>46</v>
      </c>
      <c r="AF246" s="31" t="s">
        <v>46</v>
      </c>
      <c r="AG246" s="31" t="s">
        <v>46</v>
      </c>
      <c r="AH246" s="31" t="s">
        <v>46</v>
      </c>
      <c r="AI246" s="31" t="s">
        <v>46</v>
      </c>
      <c r="AJ246" s="31">
        <v>0</v>
      </c>
      <c r="AK246" s="31">
        <v>2</v>
      </c>
      <c r="AL246" s="31">
        <f>0.1*$AL$2</f>
        <v>7.5000000000000011E-2</v>
      </c>
      <c r="AM246" s="31">
        <f>AM242</f>
        <v>2.7E-2</v>
      </c>
      <c r="AN246" s="31">
        <f>ROUNDUP(AN242/3,0)</f>
        <v>1</v>
      </c>
      <c r="AO246" s="31"/>
      <c r="AP246" s="31"/>
      <c r="AQ246" s="32">
        <f>AM246*I246+AL246</f>
        <v>7.5364500000000015E-2</v>
      </c>
      <c r="AR246" s="32">
        <f t="shared" si="296"/>
        <v>7.5364500000000018E-3</v>
      </c>
      <c r="AS246" s="33">
        <f t="shared" si="297"/>
        <v>0.5</v>
      </c>
      <c r="AT246" s="33">
        <f t="shared" si="298"/>
        <v>0.14572523749999999</v>
      </c>
      <c r="AU246" s="32">
        <f>10068.2*J246*POWER(10,-6)</f>
        <v>1.3592070000000001E-4</v>
      </c>
      <c r="AV246" s="33">
        <f t="shared" si="299"/>
        <v>0.72876210820000009</v>
      </c>
      <c r="AW246" s="34">
        <f t="shared" si="289"/>
        <v>0</v>
      </c>
      <c r="AX246" s="34">
        <f t="shared" si="290"/>
        <v>4.3260000000000003E-5</v>
      </c>
      <c r="AY246" s="34">
        <f t="shared" si="291"/>
        <v>1.5763124400366003E-5</v>
      </c>
      <c r="AZ246" s="289">
        <f>AW246/[1]DB!$B$23</f>
        <v>0</v>
      </c>
      <c r="BA246" s="289">
        <f>AX246/[1]DB!$B$23</f>
        <v>5.2120481927710848E-8</v>
      </c>
    </row>
    <row r="247" spans="1:53" x14ac:dyDescent="0.3">
      <c r="A247" s="8" t="s">
        <v>835</v>
      </c>
      <c r="B247" s="8" t="str">
        <f>B242</f>
        <v>Газопровод «1 ступень УПН  - РГ Раевка», попутный нефтяной газ</v>
      </c>
      <c r="C247" s="78" t="s">
        <v>135</v>
      </c>
      <c r="D247" s="9" t="s">
        <v>136</v>
      </c>
      <c r="E247" s="66">
        <f>E246</f>
        <v>1.9999999999999999E-6</v>
      </c>
      <c r="F247" s="67">
        <f>F243</f>
        <v>309</v>
      </c>
      <c r="G247" s="8">
        <v>8.3000000000000001E-3</v>
      </c>
      <c r="H247" s="10">
        <f>E247*F247*G247</f>
        <v>5.1293999999999995E-6</v>
      </c>
      <c r="I247" s="61">
        <f>I246</f>
        <v>1.35E-2</v>
      </c>
      <c r="J247" s="68">
        <f>I247</f>
        <v>1.35E-2</v>
      </c>
      <c r="K247" s="72" t="s">
        <v>138</v>
      </c>
      <c r="L247" s="129">
        <v>4</v>
      </c>
      <c r="M247" s="31" t="str">
        <f>A247</f>
        <v>C178</v>
      </c>
      <c r="N247" s="31" t="str">
        <f>B247</f>
        <v>Газопровод «1 ступень УПН  - РГ Раевка», попутный нефтяной газ</v>
      </c>
      <c r="O247" s="31" t="str">
        <f>D247</f>
        <v>Частичное-взрыв</v>
      </c>
      <c r="P247" s="31" t="s">
        <v>46</v>
      </c>
      <c r="Q247" s="31" t="s">
        <v>46</v>
      </c>
      <c r="R247" s="31" t="s">
        <v>46</v>
      </c>
      <c r="S247" s="31" t="s">
        <v>46</v>
      </c>
      <c r="T247" s="31">
        <v>0</v>
      </c>
      <c r="U247" s="31">
        <v>0</v>
      </c>
      <c r="V247" s="31">
        <v>18.100000000000001</v>
      </c>
      <c r="W247" s="31">
        <v>60.1</v>
      </c>
      <c r="X247" s="31">
        <v>87.6</v>
      </c>
      <c r="Y247" s="31" t="s">
        <v>46</v>
      </c>
      <c r="Z247" s="31" t="s">
        <v>46</v>
      </c>
      <c r="AA247" s="31" t="s">
        <v>46</v>
      </c>
      <c r="AB247" s="31" t="s">
        <v>46</v>
      </c>
      <c r="AC247" s="31" t="s">
        <v>46</v>
      </c>
      <c r="AD247" s="31" t="s">
        <v>46</v>
      </c>
      <c r="AE247" s="31" t="s">
        <v>46</v>
      </c>
      <c r="AF247" s="31" t="s">
        <v>46</v>
      </c>
      <c r="AG247" s="31" t="s">
        <v>46</v>
      </c>
      <c r="AH247" s="31" t="s">
        <v>46</v>
      </c>
      <c r="AI247" s="31" t="s">
        <v>46</v>
      </c>
      <c r="AJ247" s="31">
        <v>0</v>
      </c>
      <c r="AK247" s="31">
        <v>1</v>
      </c>
      <c r="AL247" s="31">
        <f>0.1*$AL$2</f>
        <v>7.5000000000000011E-2</v>
      </c>
      <c r="AM247" s="31">
        <f>AM242</f>
        <v>2.7E-2</v>
      </c>
      <c r="AN247" s="31">
        <f>AN246</f>
        <v>1</v>
      </c>
      <c r="AO247" s="31"/>
      <c r="AP247" s="31"/>
      <c r="AQ247" s="32">
        <f>AM247*I247+AL247</f>
        <v>7.5364500000000015E-2</v>
      </c>
      <c r="AR247" s="32">
        <f>0.1*AQ247</f>
        <v>7.5364500000000018E-3</v>
      </c>
      <c r="AS247" s="33">
        <f>AJ247*3+0.25*AK247</f>
        <v>0.25</v>
      </c>
      <c r="AT247" s="33">
        <f>SUM(AQ247:AS247)/4</f>
        <v>8.3225237500000007E-2</v>
      </c>
      <c r="AU247" s="32">
        <f>10068.2*J247*POWER(10,-6)*10</f>
        <v>1.3592070000000001E-3</v>
      </c>
      <c r="AV247" s="33">
        <f>AU247+AT247+AS247+AR247+AQ247</f>
        <v>0.41748539450000005</v>
      </c>
      <c r="AW247" s="34">
        <f t="shared" si="289"/>
        <v>0</v>
      </c>
      <c r="AX247" s="34">
        <f t="shared" si="290"/>
        <v>5.1293999999999995E-6</v>
      </c>
      <c r="AY247" s="34">
        <f t="shared" si="291"/>
        <v>2.1414495825483001E-6</v>
      </c>
      <c r="AZ247" s="289">
        <f>AW247/[1]DB!$B$23</f>
        <v>0</v>
      </c>
      <c r="BA247" s="289">
        <f>AX247/[1]DB!$B$23</f>
        <v>6.1799999999999998E-9</v>
      </c>
    </row>
    <row r="248" spans="1:53" x14ac:dyDescent="0.3">
      <c r="A248" s="8" t="s">
        <v>836</v>
      </c>
      <c r="B248" s="8" t="str">
        <f>B242</f>
        <v>Газопровод «1 ступень УПН  - РГ Раевка», попутный нефтяной газ</v>
      </c>
      <c r="C248" s="78" t="s">
        <v>110</v>
      </c>
      <c r="D248" s="9" t="s">
        <v>112</v>
      </c>
      <c r="E248" s="66">
        <f>E246</f>
        <v>1.9999999999999999E-6</v>
      </c>
      <c r="F248" s="67">
        <f>F242</f>
        <v>309</v>
      </c>
      <c r="G248" s="8">
        <v>2.64E-2</v>
      </c>
      <c r="H248" s="10">
        <f t="shared" ref="H248:H249" si="300">E248*F248*G248</f>
        <v>1.6315199999999999E-5</v>
      </c>
      <c r="I248" s="61">
        <f>0.15*I242</f>
        <v>1.35E-2</v>
      </c>
      <c r="J248" s="68">
        <f>J244*0.15</f>
        <v>1.35E-2</v>
      </c>
      <c r="K248" s="334" t="s">
        <v>466</v>
      </c>
      <c r="L248" s="287" t="s">
        <v>639</v>
      </c>
      <c r="M248" s="31" t="str">
        <f t="shared" ref="M248:M249" si="301">A248</f>
        <v>C179</v>
      </c>
      <c r="N248" s="31" t="str">
        <f t="shared" ref="N248:N249" si="302">B248</f>
        <v>Газопровод «1 ступень УПН  - РГ Раевка», попутный нефтяной газ</v>
      </c>
      <c r="O248" s="31" t="str">
        <f t="shared" ref="O248:O249" si="303">D248</f>
        <v>Частичное-пожар-вспышка</v>
      </c>
      <c r="P248" s="31" t="s">
        <v>46</v>
      </c>
      <c r="Q248" s="31" t="s">
        <v>46</v>
      </c>
      <c r="R248" s="31" t="s">
        <v>46</v>
      </c>
      <c r="S248" s="31" t="s">
        <v>46</v>
      </c>
      <c r="T248" s="31" t="s">
        <v>46</v>
      </c>
      <c r="U248" s="31" t="s">
        <v>46</v>
      </c>
      <c r="V248" s="31" t="s">
        <v>46</v>
      </c>
      <c r="W248" s="31" t="s">
        <v>46</v>
      </c>
      <c r="X248" s="31" t="s">
        <v>46</v>
      </c>
      <c r="Y248" s="31" t="s">
        <v>46</v>
      </c>
      <c r="Z248" s="31" t="s">
        <v>46</v>
      </c>
      <c r="AA248" s="31">
        <v>8.1</v>
      </c>
      <c r="AB248" s="31">
        <v>9.7200000000000006</v>
      </c>
      <c r="AC248" s="31" t="s">
        <v>46</v>
      </c>
      <c r="AD248" s="31" t="s">
        <v>46</v>
      </c>
      <c r="AE248" s="31" t="s">
        <v>46</v>
      </c>
      <c r="AF248" s="31" t="s">
        <v>46</v>
      </c>
      <c r="AG248" s="31" t="s">
        <v>46</v>
      </c>
      <c r="AH248" s="31" t="s">
        <v>46</v>
      </c>
      <c r="AI248" s="31" t="s">
        <v>46</v>
      </c>
      <c r="AJ248" s="31">
        <v>0</v>
      </c>
      <c r="AK248" s="31">
        <v>1</v>
      </c>
      <c r="AL248" s="31">
        <f>0.1*$AL$2</f>
        <v>7.5000000000000011E-2</v>
      </c>
      <c r="AM248" s="31">
        <f>AM242</f>
        <v>2.7E-2</v>
      </c>
      <c r="AN248" s="31">
        <f>ROUNDUP(AN242/3,0)</f>
        <v>1</v>
      </c>
      <c r="AO248" s="31"/>
      <c r="AP248" s="31"/>
      <c r="AQ248" s="32">
        <f>AM248*I248+AL248</f>
        <v>7.5364500000000015E-2</v>
      </c>
      <c r="AR248" s="32">
        <f t="shared" ref="AR248:AR249" si="304">0.1*AQ248</f>
        <v>7.5364500000000018E-3</v>
      </c>
      <c r="AS248" s="33">
        <f t="shared" ref="AS248:AS249" si="305">AJ248*3+0.25*AK248</f>
        <v>0.25</v>
      </c>
      <c r="AT248" s="33">
        <f t="shared" ref="AT248:AT249" si="306">SUM(AQ248:AS248)/4</f>
        <v>8.3225237500000007E-2</v>
      </c>
      <c r="AU248" s="32">
        <f>10068.2*J248*POWER(10,-6)*10</f>
        <v>1.3592070000000001E-3</v>
      </c>
      <c r="AV248" s="33">
        <f t="shared" ref="AV248:AV249" si="307">AU248+AT248+AS248+AR248+AQ248</f>
        <v>0.41748539450000005</v>
      </c>
      <c r="AW248" s="34">
        <f t="shared" si="289"/>
        <v>0</v>
      </c>
      <c r="AX248" s="34">
        <f t="shared" si="290"/>
        <v>1.6315199999999999E-5</v>
      </c>
      <c r="AY248" s="34">
        <f t="shared" si="291"/>
        <v>6.8113577083464009E-6</v>
      </c>
      <c r="AZ248" s="289">
        <f>AW248/[1]DB!$B$23</f>
        <v>0</v>
      </c>
      <c r="BA248" s="289">
        <f>AX248/[1]DB!$B$23</f>
        <v>1.9656867469879516E-8</v>
      </c>
    </row>
    <row r="249" spans="1:53" ht="15" thickBot="1" x14ac:dyDescent="0.35">
      <c r="A249" s="8" t="s">
        <v>837</v>
      </c>
      <c r="B249" s="8" t="str">
        <f>B242</f>
        <v>Газопровод «1 ступень УПН  - РГ Раевка», попутный нефтяной газ</v>
      </c>
      <c r="C249" s="78" t="s">
        <v>111</v>
      </c>
      <c r="D249" s="9" t="s">
        <v>27</v>
      </c>
      <c r="E249" s="66">
        <f>E246</f>
        <v>1.9999999999999999E-6</v>
      </c>
      <c r="F249" s="67">
        <f>F242</f>
        <v>309</v>
      </c>
      <c r="G249" s="8">
        <v>0.93030000000000002</v>
      </c>
      <c r="H249" s="10">
        <f t="shared" si="300"/>
        <v>5.7492539999999992E-4</v>
      </c>
      <c r="I249" s="61">
        <f>0.15*I242</f>
        <v>1.35E-2</v>
      </c>
      <c r="J249" s="70">
        <v>0</v>
      </c>
      <c r="K249" s="74"/>
      <c r="L249" s="75"/>
      <c r="M249" s="31" t="str">
        <f t="shared" si="301"/>
        <v>C180</v>
      </c>
      <c r="N249" s="31" t="str">
        <f t="shared" si="302"/>
        <v>Газопровод «1 ступень УПН  - РГ Раевка», попутный нефтяной газ</v>
      </c>
      <c r="O249" s="31" t="str">
        <f t="shared" si="303"/>
        <v>Частичное-ликвидация</v>
      </c>
      <c r="P249" s="31" t="s">
        <v>46</v>
      </c>
      <c r="Q249" s="31" t="s">
        <v>46</v>
      </c>
      <c r="R249" s="31" t="s">
        <v>46</v>
      </c>
      <c r="S249" s="31" t="s">
        <v>46</v>
      </c>
      <c r="T249" s="31" t="s">
        <v>46</v>
      </c>
      <c r="U249" s="31" t="s">
        <v>46</v>
      </c>
      <c r="V249" s="31" t="s">
        <v>46</v>
      </c>
      <c r="W249" s="31" t="s">
        <v>46</v>
      </c>
      <c r="X249" s="31" t="s">
        <v>46</v>
      </c>
      <c r="Y249" s="31" t="s">
        <v>46</v>
      </c>
      <c r="Z249" s="31" t="s">
        <v>46</v>
      </c>
      <c r="AA249" s="31" t="s">
        <v>46</v>
      </c>
      <c r="AB249" s="31" t="s">
        <v>46</v>
      </c>
      <c r="AC249" s="31" t="s">
        <v>46</v>
      </c>
      <c r="AD249" s="31" t="s">
        <v>46</v>
      </c>
      <c r="AE249" s="31" t="s">
        <v>46</v>
      </c>
      <c r="AF249" s="31" t="s">
        <v>46</v>
      </c>
      <c r="AG249" s="31" t="s">
        <v>46</v>
      </c>
      <c r="AH249" s="31" t="s">
        <v>46</v>
      </c>
      <c r="AI249" s="31" t="s">
        <v>46</v>
      </c>
      <c r="AJ249" s="31">
        <v>0</v>
      </c>
      <c r="AK249" s="31">
        <v>0</v>
      </c>
      <c r="AL249" s="31">
        <f>0.1*$AL$2</f>
        <v>7.5000000000000011E-2</v>
      </c>
      <c r="AM249" s="31">
        <f>AM242</f>
        <v>2.7E-2</v>
      </c>
      <c r="AN249" s="31">
        <f>ROUNDUP(AN242/3,0)</f>
        <v>1</v>
      </c>
      <c r="AO249" s="31"/>
      <c r="AP249" s="31"/>
      <c r="AQ249" s="32">
        <f>AM249*I249*0.1+AL249</f>
        <v>7.5036450000000005E-2</v>
      </c>
      <c r="AR249" s="32">
        <f t="shared" si="304"/>
        <v>7.5036450000000006E-3</v>
      </c>
      <c r="AS249" s="33">
        <f t="shared" si="305"/>
        <v>0</v>
      </c>
      <c r="AT249" s="33">
        <f t="shared" si="306"/>
        <v>2.0635023750000002E-2</v>
      </c>
      <c r="AU249" s="32">
        <f>1333*J248*POWER(10,-6)</f>
        <v>1.7995499999999997E-5</v>
      </c>
      <c r="AV249" s="33">
        <f t="shared" si="307"/>
        <v>0.10319311425000001</v>
      </c>
      <c r="AW249" s="34">
        <f t="shared" si="289"/>
        <v>0</v>
      </c>
      <c r="AX249" s="34">
        <f t="shared" si="290"/>
        <v>0</v>
      </c>
      <c r="AY249" s="34">
        <f t="shared" si="291"/>
        <v>5.9328342487426947E-5</v>
      </c>
      <c r="AZ249" s="289">
        <f>AW249/[1]DB!$B$23</f>
        <v>0</v>
      </c>
      <c r="BA249" s="289">
        <f>AX249/[1]DB!$B$23</f>
        <v>0</v>
      </c>
    </row>
    <row r="250" spans="1:53" x14ac:dyDescent="0.3">
      <c r="A250" s="12"/>
      <c r="B250" s="12"/>
      <c r="C250" s="31"/>
      <c r="D250" s="166"/>
      <c r="E250" s="167"/>
      <c r="F250" s="168"/>
      <c r="G250" s="12"/>
      <c r="H250" s="34"/>
      <c r="I250" s="33"/>
      <c r="J250" s="12"/>
      <c r="K250" s="12"/>
      <c r="L250" s="12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2"/>
      <c r="AR250" s="32"/>
      <c r="AS250" s="33"/>
      <c r="AT250" s="33"/>
      <c r="AU250" s="32"/>
      <c r="AV250" s="33"/>
      <c r="AW250" s="34"/>
      <c r="AX250" s="34"/>
      <c r="AY250" s="34"/>
    </row>
    <row r="251" spans="1:53" ht="15" thickBot="1" x14ac:dyDescent="0.35"/>
    <row r="252" spans="1:53" s="139" customFormat="1" ht="18" customHeight="1" x14ac:dyDescent="0.3">
      <c r="A252" s="130" t="s">
        <v>838</v>
      </c>
      <c r="B252" s="131" t="s">
        <v>720</v>
      </c>
      <c r="C252" s="13" t="s">
        <v>129</v>
      </c>
      <c r="D252" s="132" t="s">
        <v>243</v>
      </c>
      <c r="E252" s="133">
        <v>9.9999999999999995E-7</v>
      </c>
      <c r="F252" s="131">
        <v>2</v>
      </c>
      <c r="G252" s="130">
        <v>0.2</v>
      </c>
      <c r="H252" s="134">
        <f>E252*F252*G252</f>
        <v>3.9999999999999998E-7</v>
      </c>
      <c r="I252" s="135">
        <v>0.5</v>
      </c>
      <c r="J252" s="136">
        <f>I252</f>
        <v>0.5</v>
      </c>
      <c r="K252" s="137" t="s">
        <v>122</v>
      </c>
      <c r="L252" s="138">
        <v>0</v>
      </c>
      <c r="M252" s="139" t="str">
        <f t="shared" ref="M252:N259" si="308">A252</f>
        <v>C181</v>
      </c>
      <c r="N252" s="139" t="str">
        <f t="shared" si="308"/>
        <v>Сепаратор газовый ГС-1,2,нефть, попутный нефтяной газ</v>
      </c>
      <c r="O252" s="139" t="str">
        <f t="shared" ref="O252:O259" si="309">D252</f>
        <v>Полное-факельное горение</v>
      </c>
      <c r="P252" s="139" t="s">
        <v>46</v>
      </c>
      <c r="Q252" s="139" t="s">
        <v>46</v>
      </c>
      <c r="R252" s="139" t="s">
        <v>46</v>
      </c>
      <c r="S252" s="139" t="s">
        <v>46</v>
      </c>
      <c r="T252" s="139" t="s">
        <v>46</v>
      </c>
      <c r="U252" s="139" t="s">
        <v>46</v>
      </c>
      <c r="V252" s="139" t="s">
        <v>46</v>
      </c>
      <c r="W252" s="139" t="s">
        <v>46</v>
      </c>
      <c r="X252" s="139" t="s">
        <v>46</v>
      </c>
      <c r="Y252" s="139">
        <v>44</v>
      </c>
      <c r="Z252" s="139">
        <v>7</v>
      </c>
      <c r="AA252" s="139" t="s">
        <v>46</v>
      </c>
      <c r="AB252" s="139" t="s">
        <v>46</v>
      </c>
      <c r="AC252" s="139" t="s">
        <v>46</v>
      </c>
      <c r="AD252" s="139" t="s">
        <v>46</v>
      </c>
      <c r="AE252" s="139" t="s">
        <v>46</v>
      </c>
      <c r="AF252" s="139" t="s">
        <v>46</v>
      </c>
      <c r="AG252" s="139" t="s">
        <v>46</v>
      </c>
      <c r="AH252" s="139" t="s">
        <v>46</v>
      </c>
      <c r="AI252" s="139" t="s">
        <v>46</v>
      </c>
      <c r="AJ252" s="140">
        <v>1</v>
      </c>
      <c r="AK252" s="140">
        <v>2</v>
      </c>
      <c r="AL252" s="141">
        <v>0.75</v>
      </c>
      <c r="AM252" s="141">
        <v>2.7E-2</v>
      </c>
      <c r="AN252" s="141">
        <v>3</v>
      </c>
      <c r="AQ252" s="142">
        <f>AM252*I252+AL252</f>
        <v>0.76349999999999996</v>
      </c>
      <c r="AR252" s="142">
        <f>0.1*AQ252</f>
        <v>7.6350000000000001E-2</v>
      </c>
      <c r="AS252" s="143">
        <f>AJ252*3+0.25*AK252</f>
        <v>3.5</v>
      </c>
      <c r="AT252" s="143">
        <f>SUM(AQ252:AS252)/4</f>
        <v>1.0849625000000001</v>
      </c>
      <c r="AU252" s="142">
        <f>10068.2*J252*POWER(10,-6)</f>
        <v>5.0341000000000006E-3</v>
      </c>
      <c r="AV252" s="143">
        <f t="shared" ref="AV252:AV259" si="310">AU252+AT252+AS252+AR252+AQ252</f>
        <v>5.4298465999999994</v>
      </c>
      <c r="AW252" s="144">
        <f>AJ252*H252</f>
        <v>3.9999999999999998E-7</v>
      </c>
      <c r="AX252" s="144">
        <f>H252*AK252</f>
        <v>7.9999999999999996E-7</v>
      </c>
      <c r="AY252" s="144">
        <f>H252*AV252</f>
        <v>2.1719386399999995E-6</v>
      </c>
      <c r="AZ252" s="289">
        <f>AW252/[1]DB!$B$23</f>
        <v>4.8192771084337344E-10</v>
      </c>
      <c r="BA252" s="289">
        <f>AX252/[1]DB!$B$23</f>
        <v>9.6385542168674688E-10</v>
      </c>
    </row>
    <row r="253" spans="1:53" s="139" customFormat="1" x14ac:dyDescent="0.3">
      <c r="A253" s="130" t="s">
        <v>839</v>
      </c>
      <c r="B253" s="130" t="str">
        <f>B252</f>
        <v>Сепаратор газовый ГС-1,2,нефть, попутный нефтяной газ</v>
      </c>
      <c r="C253" s="13" t="s">
        <v>107</v>
      </c>
      <c r="D253" s="132" t="s">
        <v>28</v>
      </c>
      <c r="E253" s="145">
        <f>E252</f>
        <v>9.9999999999999995E-7</v>
      </c>
      <c r="F253" s="146">
        <f>F252</f>
        <v>2</v>
      </c>
      <c r="G253" s="130">
        <v>0.1152</v>
      </c>
      <c r="H253" s="134">
        <f t="shared" ref="H253:H259" si="311">E253*F253*G253</f>
        <v>2.3039999999999997E-7</v>
      </c>
      <c r="I253" s="147">
        <f>I252</f>
        <v>0.5</v>
      </c>
      <c r="J253" s="192">
        <f>0.1*I252</f>
        <v>0.05</v>
      </c>
      <c r="K253" s="148" t="s">
        <v>123</v>
      </c>
      <c r="L253" s="149">
        <v>0</v>
      </c>
      <c r="M253" s="139" t="str">
        <f t="shared" si="308"/>
        <v>C182</v>
      </c>
      <c r="N253" s="139" t="str">
        <f t="shared" si="308"/>
        <v>Сепаратор газовый ГС-1,2,нефть, попутный нефтяной газ</v>
      </c>
      <c r="O253" s="139" t="str">
        <f t="shared" si="309"/>
        <v>Полное-взрыв</v>
      </c>
      <c r="P253" s="139" t="s">
        <v>46</v>
      </c>
      <c r="Q253" s="139" t="s">
        <v>46</v>
      </c>
      <c r="R253" s="139" t="s">
        <v>46</v>
      </c>
      <c r="S253" s="139" t="s">
        <v>46</v>
      </c>
      <c r="T253" s="139">
        <v>0</v>
      </c>
      <c r="U253" s="139">
        <v>0</v>
      </c>
      <c r="V253" s="139">
        <v>28.1</v>
      </c>
      <c r="W253" s="139">
        <v>93.1</v>
      </c>
      <c r="X253" s="139">
        <v>136.1</v>
      </c>
      <c r="Y253" s="139" t="s">
        <v>46</v>
      </c>
      <c r="Z253" s="139" t="s">
        <v>46</v>
      </c>
      <c r="AA253" s="139" t="s">
        <v>46</v>
      </c>
      <c r="AB253" s="139" t="s">
        <v>46</v>
      </c>
      <c r="AC253" s="139" t="s">
        <v>46</v>
      </c>
      <c r="AD253" s="139" t="s">
        <v>46</v>
      </c>
      <c r="AE253" s="139" t="s">
        <v>46</v>
      </c>
      <c r="AF253" s="139" t="s">
        <v>46</v>
      </c>
      <c r="AG253" s="139" t="s">
        <v>46</v>
      </c>
      <c r="AH253" s="139" t="s">
        <v>46</v>
      </c>
      <c r="AI253" s="139" t="s">
        <v>46</v>
      </c>
      <c r="AJ253" s="140">
        <v>1</v>
      </c>
      <c r="AK253" s="140">
        <v>2</v>
      </c>
      <c r="AL253" s="139">
        <f>AL252</f>
        <v>0.75</v>
      </c>
      <c r="AM253" s="139">
        <f>AM252</f>
        <v>2.7E-2</v>
      </c>
      <c r="AN253" s="139">
        <f>AN252</f>
        <v>3</v>
      </c>
      <c r="AQ253" s="142">
        <f>AM253*I253+AL253</f>
        <v>0.76349999999999996</v>
      </c>
      <c r="AR253" s="142">
        <f t="shared" ref="AR253:AR259" si="312">0.1*AQ253</f>
        <v>7.6350000000000001E-2</v>
      </c>
      <c r="AS253" s="143">
        <f t="shared" ref="AS253:AS259" si="313">AJ253*3+0.25*AK253</f>
        <v>3.5</v>
      </c>
      <c r="AT253" s="143">
        <f t="shared" ref="AT253:AT259" si="314">SUM(AQ253:AS253)/4</f>
        <v>1.0849625000000001</v>
      </c>
      <c r="AU253" s="142">
        <f>10068.2*J253*POWER(10,-6)*10</f>
        <v>5.0341000000000006E-3</v>
      </c>
      <c r="AV253" s="143">
        <f t="shared" si="310"/>
        <v>5.4298465999999994</v>
      </c>
      <c r="AW253" s="144">
        <f t="shared" ref="AW253:AW259" si="315">AJ253*H253</f>
        <v>2.3039999999999997E-7</v>
      </c>
      <c r="AX253" s="144">
        <f t="shared" ref="AX253:AX259" si="316">H253*AK253</f>
        <v>4.6079999999999994E-7</v>
      </c>
      <c r="AY253" s="144">
        <f t="shared" ref="AY253:AY259" si="317">H253*AV253</f>
        <v>1.2510366566399996E-6</v>
      </c>
      <c r="AZ253" s="289">
        <f>AW253/[1]DB!$B$23</f>
        <v>2.7759036144578311E-10</v>
      </c>
      <c r="BA253" s="289">
        <f>AX253/[1]DB!$B$23</f>
        <v>5.5518072289156621E-10</v>
      </c>
    </row>
    <row r="254" spans="1:53" s="139" customFormat="1" x14ac:dyDescent="0.3">
      <c r="A254" s="130" t="s">
        <v>840</v>
      </c>
      <c r="B254" s="130" t="str">
        <f>B252</f>
        <v>Сепаратор газовый ГС-1,2,нефть, попутный нефтяной газ</v>
      </c>
      <c r="C254" s="13" t="s">
        <v>242</v>
      </c>
      <c r="D254" s="132" t="s">
        <v>241</v>
      </c>
      <c r="E254" s="145">
        <f>E252</f>
        <v>9.9999999999999995E-7</v>
      </c>
      <c r="F254" s="146">
        <f>F252</f>
        <v>2</v>
      </c>
      <c r="G254" s="130">
        <v>7.6799999999999993E-2</v>
      </c>
      <c r="H254" s="134">
        <f t="shared" si="311"/>
        <v>1.5359999999999997E-7</v>
      </c>
      <c r="I254" s="147">
        <f>I252</f>
        <v>0.5</v>
      </c>
      <c r="J254" s="136">
        <f>0.6*I252</f>
        <v>0.3</v>
      </c>
      <c r="K254" s="148" t="s">
        <v>124</v>
      </c>
      <c r="L254" s="149">
        <v>15</v>
      </c>
      <c r="M254" s="139" t="str">
        <f t="shared" si="308"/>
        <v>C183</v>
      </c>
      <c r="N254" s="139" t="str">
        <f t="shared" si="308"/>
        <v>Сепаратор газовый ГС-1,2,нефть, попутный нефтяной газ</v>
      </c>
      <c r="O254" s="139" t="str">
        <f t="shared" si="309"/>
        <v>Полное-огненный шар</v>
      </c>
      <c r="P254" s="139" t="s">
        <v>46</v>
      </c>
      <c r="Q254" s="139" t="s">
        <v>46</v>
      </c>
      <c r="R254" s="139" t="s">
        <v>46</v>
      </c>
      <c r="S254" s="139" t="s">
        <v>46</v>
      </c>
      <c r="T254" s="139" t="s">
        <v>46</v>
      </c>
      <c r="U254" s="139" t="s">
        <v>46</v>
      </c>
      <c r="V254" s="139" t="s">
        <v>46</v>
      </c>
      <c r="W254" s="139" t="s">
        <v>46</v>
      </c>
      <c r="X254" s="139" t="s">
        <v>46</v>
      </c>
      <c r="Y254" s="139" t="s">
        <v>46</v>
      </c>
      <c r="Z254" s="139" t="s">
        <v>46</v>
      </c>
      <c r="AA254" s="139" t="s">
        <v>46</v>
      </c>
      <c r="AB254" s="139" t="s">
        <v>46</v>
      </c>
      <c r="AC254" s="139" t="s">
        <v>46</v>
      </c>
      <c r="AD254" s="139" t="s">
        <v>46</v>
      </c>
      <c r="AE254" s="139">
        <v>1</v>
      </c>
      <c r="AF254" s="139">
        <v>17.5</v>
      </c>
      <c r="AG254" s="139">
        <v>27</v>
      </c>
      <c r="AH254" s="139">
        <v>40.5</v>
      </c>
      <c r="AI254" s="139" t="s">
        <v>46</v>
      </c>
      <c r="AJ254" s="139">
        <v>0</v>
      </c>
      <c r="AK254" s="139">
        <v>0</v>
      </c>
      <c r="AL254" s="139">
        <f>AL252</f>
        <v>0.75</v>
      </c>
      <c r="AM254" s="139">
        <f>AM252</f>
        <v>2.7E-2</v>
      </c>
      <c r="AN254" s="139">
        <f>AN252</f>
        <v>3</v>
      </c>
      <c r="AQ254" s="142">
        <f>AM254*I254*0.1+AL254</f>
        <v>0.75134999999999996</v>
      </c>
      <c r="AR254" s="142">
        <f t="shared" si="312"/>
        <v>7.5135000000000007E-2</v>
      </c>
      <c r="AS254" s="143">
        <f t="shared" si="313"/>
        <v>0</v>
      </c>
      <c r="AT254" s="143">
        <f t="shared" si="314"/>
        <v>0.20662124999999998</v>
      </c>
      <c r="AU254" s="142">
        <f>1333*J252*POWER(10,-6)</f>
        <v>6.6649999999999999E-4</v>
      </c>
      <c r="AV254" s="143">
        <f t="shared" si="310"/>
        <v>1.0337727499999998</v>
      </c>
      <c r="AW254" s="144">
        <f t="shared" si="315"/>
        <v>0</v>
      </c>
      <c r="AX254" s="144">
        <f t="shared" si="316"/>
        <v>0</v>
      </c>
      <c r="AY254" s="144">
        <f t="shared" si="317"/>
        <v>1.5878749439999995E-7</v>
      </c>
      <c r="AZ254" s="289">
        <f>AW254/[1]DB!$B$23</f>
        <v>0</v>
      </c>
      <c r="BA254" s="289">
        <f>AX254/[1]DB!$B$23</f>
        <v>0</v>
      </c>
    </row>
    <row r="255" spans="1:53" s="139" customFormat="1" x14ac:dyDescent="0.3">
      <c r="A255" s="130" t="s">
        <v>841</v>
      </c>
      <c r="B255" s="130" t="str">
        <f>B252</f>
        <v>Сепаратор газовый ГС-1,2,нефть, попутный нефтяной газ</v>
      </c>
      <c r="C255" s="13" t="s">
        <v>108</v>
      </c>
      <c r="D255" s="132" t="s">
        <v>26</v>
      </c>
      <c r="E255" s="145">
        <f>E252</f>
        <v>9.9999999999999995E-7</v>
      </c>
      <c r="F255" s="146">
        <f>F252</f>
        <v>2</v>
      </c>
      <c r="G255" s="130">
        <v>0.60799999999999998</v>
      </c>
      <c r="H255" s="134">
        <f t="shared" si="311"/>
        <v>1.2159999999999999E-6</v>
      </c>
      <c r="I255" s="147">
        <f>I252</f>
        <v>0.5</v>
      </c>
      <c r="J255" s="150">
        <v>0</v>
      </c>
      <c r="K255" s="148" t="s">
        <v>126</v>
      </c>
      <c r="L255" s="149">
        <v>45390</v>
      </c>
      <c r="M255" s="139" t="str">
        <f t="shared" si="308"/>
        <v>C184</v>
      </c>
      <c r="N255" s="139" t="str">
        <f t="shared" si="308"/>
        <v>Сепаратор газовый ГС-1,2,нефть, попутный нефтяной газ</v>
      </c>
      <c r="O255" s="139" t="str">
        <f t="shared" si="309"/>
        <v>Полное-ликвидация</v>
      </c>
      <c r="P255" s="139" t="s">
        <v>46</v>
      </c>
      <c r="Q255" s="139" t="s">
        <v>46</v>
      </c>
      <c r="R255" s="139" t="s">
        <v>46</v>
      </c>
      <c r="S255" s="139" t="s">
        <v>46</v>
      </c>
      <c r="T255" s="139" t="s">
        <v>46</v>
      </c>
      <c r="U255" s="139" t="s">
        <v>46</v>
      </c>
      <c r="V255" s="139" t="s">
        <v>46</v>
      </c>
      <c r="W255" s="139" t="s">
        <v>46</v>
      </c>
      <c r="X255" s="139" t="s">
        <v>46</v>
      </c>
      <c r="Y255" s="139" t="s">
        <v>46</v>
      </c>
      <c r="Z255" s="139" t="s">
        <v>46</v>
      </c>
      <c r="AA255" s="139" t="s">
        <v>46</v>
      </c>
      <c r="AB255" s="139" t="s">
        <v>46</v>
      </c>
      <c r="AC255" s="139" t="s">
        <v>46</v>
      </c>
      <c r="AD255" s="139" t="s">
        <v>46</v>
      </c>
      <c r="AE255" s="139" t="s">
        <v>46</v>
      </c>
      <c r="AF255" s="139" t="s">
        <v>46</v>
      </c>
      <c r="AG255" s="139" t="s">
        <v>46</v>
      </c>
      <c r="AH255" s="139" t="s">
        <v>46</v>
      </c>
      <c r="AI255" s="139" t="s">
        <v>46</v>
      </c>
      <c r="AJ255" s="139">
        <v>0</v>
      </c>
      <c r="AK255" s="139">
        <v>0</v>
      </c>
      <c r="AL255" s="139">
        <f>AL252</f>
        <v>0.75</v>
      </c>
      <c r="AM255" s="139">
        <f>AM252</f>
        <v>2.7E-2</v>
      </c>
      <c r="AN255" s="139">
        <f>AN252</f>
        <v>3</v>
      </c>
      <c r="AQ255" s="142">
        <f>AM255*I255*0.1+AL255</f>
        <v>0.75134999999999996</v>
      </c>
      <c r="AR255" s="142">
        <f t="shared" si="312"/>
        <v>7.5135000000000007E-2</v>
      </c>
      <c r="AS255" s="143">
        <f t="shared" si="313"/>
        <v>0</v>
      </c>
      <c r="AT255" s="143">
        <f t="shared" si="314"/>
        <v>0.20662124999999998</v>
      </c>
      <c r="AU255" s="142">
        <f>1333*J253*POWER(10,-6)</f>
        <v>6.6650000000000007E-5</v>
      </c>
      <c r="AV255" s="143">
        <f t="shared" si="310"/>
        <v>1.0331728999999998</v>
      </c>
      <c r="AW255" s="144">
        <f t="shared" si="315"/>
        <v>0</v>
      </c>
      <c r="AX255" s="144">
        <f t="shared" si="316"/>
        <v>0</v>
      </c>
      <c r="AY255" s="144">
        <f t="shared" si="317"/>
        <v>1.2563382463999996E-6</v>
      </c>
      <c r="AZ255" s="289">
        <f>AW255/[1]DB!$B$23</f>
        <v>0</v>
      </c>
      <c r="BA255" s="289">
        <f>AX255/[1]DB!$B$23</f>
        <v>0</v>
      </c>
    </row>
    <row r="256" spans="1:53" s="139" customFormat="1" x14ac:dyDescent="0.3">
      <c r="A256" s="130" t="s">
        <v>842</v>
      </c>
      <c r="B256" s="130" t="str">
        <f>B252</f>
        <v>Сепаратор газовый ГС-1,2,нефть, попутный нефтяной газ</v>
      </c>
      <c r="C256" s="13" t="s">
        <v>133</v>
      </c>
      <c r="D256" s="132" t="s">
        <v>134</v>
      </c>
      <c r="E256" s="133">
        <v>1.0000000000000001E-5</v>
      </c>
      <c r="F256" s="146">
        <f>F252</f>
        <v>2</v>
      </c>
      <c r="G256" s="130">
        <v>3.5000000000000003E-2</v>
      </c>
      <c r="H256" s="134">
        <f t="shared" si="311"/>
        <v>7.0000000000000007E-7</v>
      </c>
      <c r="I256" s="147">
        <f>0.15*I252</f>
        <v>7.4999999999999997E-2</v>
      </c>
      <c r="J256" s="136">
        <f>I256</f>
        <v>7.4999999999999997E-2</v>
      </c>
      <c r="K256" s="148" t="s">
        <v>127</v>
      </c>
      <c r="L256" s="149">
        <v>3</v>
      </c>
      <c r="M256" s="139" t="str">
        <f t="shared" si="308"/>
        <v>C185</v>
      </c>
      <c r="N256" s="139" t="str">
        <f t="shared" si="308"/>
        <v>Сепаратор газовый ГС-1,2,нефть, попутный нефтяной газ</v>
      </c>
      <c r="O256" s="139" t="str">
        <f t="shared" si="309"/>
        <v>Частичное-факел</v>
      </c>
      <c r="P256" s="139" t="s">
        <v>46</v>
      </c>
      <c r="Q256" s="139" t="s">
        <v>46</v>
      </c>
      <c r="R256" s="139" t="s">
        <v>46</v>
      </c>
      <c r="S256" s="139" t="s">
        <v>46</v>
      </c>
      <c r="T256" s="139" t="s">
        <v>46</v>
      </c>
      <c r="U256" s="139" t="s">
        <v>46</v>
      </c>
      <c r="V256" s="139" t="s">
        <v>46</v>
      </c>
      <c r="W256" s="139" t="s">
        <v>46</v>
      </c>
      <c r="X256" s="139" t="s">
        <v>46</v>
      </c>
      <c r="Y256" s="139">
        <v>28</v>
      </c>
      <c r="Z256" s="139">
        <v>5</v>
      </c>
      <c r="AA256" s="139" t="s">
        <v>46</v>
      </c>
      <c r="AB256" s="139" t="s">
        <v>46</v>
      </c>
      <c r="AC256" s="139" t="s">
        <v>46</v>
      </c>
      <c r="AD256" s="139" t="s">
        <v>46</v>
      </c>
      <c r="AE256" s="139" t="s">
        <v>46</v>
      </c>
      <c r="AF256" s="139" t="s">
        <v>46</v>
      </c>
      <c r="AG256" s="139" t="s">
        <v>46</v>
      </c>
      <c r="AH256" s="139" t="s">
        <v>46</v>
      </c>
      <c r="AI256" s="139" t="s">
        <v>46</v>
      </c>
      <c r="AJ256" s="139">
        <v>0</v>
      </c>
      <c r="AK256" s="139">
        <v>2</v>
      </c>
      <c r="AL256" s="139">
        <f>0.1*$AL$2</f>
        <v>7.5000000000000011E-2</v>
      </c>
      <c r="AM256" s="139">
        <f>AM252</f>
        <v>2.7E-2</v>
      </c>
      <c r="AN256" s="139">
        <f>ROUNDUP(AN252/3,0)</f>
        <v>1</v>
      </c>
      <c r="AQ256" s="142">
        <f>AM256*I256+AL256</f>
        <v>7.702500000000001E-2</v>
      </c>
      <c r="AR256" s="142">
        <f t="shared" si="312"/>
        <v>7.702500000000001E-3</v>
      </c>
      <c r="AS256" s="143">
        <f t="shared" si="313"/>
        <v>0.5</v>
      </c>
      <c r="AT256" s="143">
        <f t="shared" si="314"/>
        <v>0.14618187500000002</v>
      </c>
      <c r="AU256" s="142">
        <f>10068.2*J256*POWER(10,-6)</f>
        <v>7.55115E-4</v>
      </c>
      <c r="AV256" s="143">
        <f t="shared" si="310"/>
        <v>0.73166449000000011</v>
      </c>
      <c r="AW256" s="144">
        <f t="shared" si="315"/>
        <v>0</v>
      </c>
      <c r="AX256" s="144">
        <f t="shared" si="316"/>
        <v>1.4000000000000001E-6</v>
      </c>
      <c r="AY256" s="144">
        <f t="shared" si="317"/>
        <v>5.1216514300000013E-7</v>
      </c>
      <c r="AZ256" s="289">
        <f>AW256/[1]DB!$B$23</f>
        <v>0</v>
      </c>
      <c r="BA256" s="289">
        <f>AX256/[1]DB!$B$23</f>
        <v>1.6867469879518074E-9</v>
      </c>
    </row>
    <row r="257" spans="1:53" s="139" customFormat="1" x14ac:dyDescent="0.3">
      <c r="A257" s="130" t="s">
        <v>843</v>
      </c>
      <c r="B257" s="130" t="str">
        <f>B252</f>
        <v>Сепаратор газовый ГС-1,2,нефть, попутный нефтяной газ</v>
      </c>
      <c r="C257" s="13" t="s">
        <v>135</v>
      </c>
      <c r="D257" s="132" t="s">
        <v>136</v>
      </c>
      <c r="E257" s="145">
        <f>E256</f>
        <v>1.0000000000000001E-5</v>
      </c>
      <c r="F257" s="146">
        <v>1</v>
      </c>
      <c r="G257" s="130">
        <v>8.3000000000000001E-3</v>
      </c>
      <c r="H257" s="134">
        <f t="shared" si="311"/>
        <v>8.3000000000000002E-8</v>
      </c>
      <c r="I257" s="147">
        <f>I256</f>
        <v>7.4999999999999997E-2</v>
      </c>
      <c r="J257" s="136">
        <v>0.01</v>
      </c>
      <c r="K257" s="151" t="s">
        <v>138</v>
      </c>
      <c r="L257" s="152">
        <v>19</v>
      </c>
      <c r="M257" s="139" t="str">
        <f t="shared" si="308"/>
        <v>C186</v>
      </c>
      <c r="N257" s="139" t="str">
        <f t="shared" si="308"/>
        <v>Сепаратор газовый ГС-1,2,нефть, попутный нефтяной газ</v>
      </c>
      <c r="O257" s="139" t="str">
        <f t="shared" si="309"/>
        <v>Частичное-взрыв</v>
      </c>
      <c r="P257" s="139" t="s">
        <v>46</v>
      </c>
      <c r="Q257" s="139" t="s">
        <v>46</v>
      </c>
      <c r="R257" s="139" t="s">
        <v>46</v>
      </c>
      <c r="S257" s="139" t="s">
        <v>46</v>
      </c>
      <c r="T257" s="139">
        <v>0</v>
      </c>
      <c r="U257" s="139">
        <v>0</v>
      </c>
      <c r="V257" s="139">
        <v>16.100000000000001</v>
      </c>
      <c r="W257" s="139">
        <v>54.6</v>
      </c>
      <c r="X257" s="139">
        <v>79.599999999999994</v>
      </c>
      <c r="Y257" s="139" t="s">
        <v>46</v>
      </c>
      <c r="Z257" s="139" t="s">
        <v>46</v>
      </c>
      <c r="AA257" s="139" t="s">
        <v>46</v>
      </c>
      <c r="AB257" s="139" t="s">
        <v>46</v>
      </c>
      <c r="AC257" s="139" t="s">
        <v>46</v>
      </c>
      <c r="AD257" s="139" t="s">
        <v>46</v>
      </c>
      <c r="AE257" s="139" t="s">
        <v>46</v>
      </c>
      <c r="AF257" s="139" t="s">
        <v>46</v>
      </c>
      <c r="AG257" s="139" t="s">
        <v>46</v>
      </c>
      <c r="AH257" s="139" t="s">
        <v>46</v>
      </c>
      <c r="AI257" s="139" t="s">
        <v>46</v>
      </c>
      <c r="AJ257" s="139">
        <v>0</v>
      </c>
      <c r="AK257" s="139">
        <v>1</v>
      </c>
      <c r="AL257" s="139">
        <f>0.1*$AL$2</f>
        <v>7.5000000000000011E-2</v>
      </c>
      <c r="AM257" s="139">
        <f>AM252</f>
        <v>2.7E-2</v>
      </c>
      <c r="AN257" s="139">
        <f>AN256</f>
        <v>1</v>
      </c>
      <c r="AQ257" s="142">
        <f>AM257*I257+AL257</f>
        <v>7.702500000000001E-2</v>
      </c>
      <c r="AR257" s="142">
        <f t="shared" si="312"/>
        <v>7.702500000000001E-3</v>
      </c>
      <c r="AS257" s="143">
        <f t="shared" si="313"/>
        <v>0.25</v>
      </c>
      <c r="AT257" s="143">
        <f t="shared" si="314"/>
        <v>8.3681875000000003E-2</v>
      </c>
      <c r="AU257" s="142">
        <f>10068.2*J257*POWER(10,-6)*10</f>
        <v>1.0068200000000001E-3</v>
      </c>
      <c r="AV257" s="143">
        <f t="shared" si="310"/>
        <v>0.41941619499999999</v>
      </c>
      <c r="AW257" s="144">
        <f t="shared" si="315"/>
        <v>0</v>
      </c>
      <c r="AX257" s="144">
        <f t="shared" si="316"/>
        <v>8.3000000000000002E-8</v>
      </c>
      <c r="AY257" s="144">
        <f t="shared" si="317"/>
        <v>3.4811544184999997E-8</v>
      </c>
      <c r="AZ257" s="289">
        <f>AW257/[1]DB!$B$23</f>
        <v>0</v>
      </c>
      <c r="BA257" s="289">
        <f>AX257/[1]DB!$B$23</f>
        <v>1E-10</v>
      </c>
    </row>
    <row r="258" spans="1:53" s="139" customFormat="1" x14ac:dyDescent="0.3">
      <c r="A258" s="130" t="s">
        <v>844</v>
      </c>
      <c r="B258" s="130" t="str">
        <f>B252</f>
        <v>Сепаратор газовый ГС-1,2,нефть, попутный нефтяной газ</v>
      </c>
      <c r="C258" s="13" t="s">
        <v>110</v>
      </c>
      <c r="D258" s="132" t="s">
        <v>112</v>
      </c>
      <c r="E258" s="145">
        <f>E256</f>
        <v>1.0000000000000001E-5</v>
      </c>
      <c r="F258" s="146">
        <f>F252</f>
        <v>2</v>
      </c>
      <c r="G258" s="130">
        <v>2.64E-2</v>
      </c>
      <c r="H258" s="134">
        <f t="shared" si="311"/>
        <v>5.2800000000000007E-7</v>
      </c>
      <c r="I258" s="147">
        <f>0.15*I252</f>
        <v>7.4999999999999997E-2</v>
      </c>
      <c r="J258" s="136">
        <f>J254*0.15</f>
        <v>4.4999999999999998E-2</v>
      </c>
      <c r="K258" s="334" t="s">
        <v>466</v>
      </c>
      <c r="L258" s="287" t="s">
        <v>639</v>
      </c>
      <c r="M258" s="139" t="str">
        <f t="shared" si="308"/>
        <v>C187</v>
      </c>
      <c r="N258" s="139" t="str">
        <f t="shared" si="308"/>
        <v>Сепаратор газовый ГС-1,2,нефть, попутный нефтяной газ</v>
      </c>
      <c r="O258" s="139" t="str">
        <f t="shared" si="309"/>
        <v>Частичное-пожар-вспышка</v>
      </c>
      <c r="P258" s="139" t="s">
        <v>46</v>
      </c>
      <c r="Q258" s="139" t="s">
        <v>46</v>
      </c>
      <c r="R258" s="139" t="s">
        <v>46</v>
      </c>
      <c r="S258" s="139" t="s">
        <v>46</v>
      </c>
      <c r="T258" s="139" t="s">
        <v>46</v>
      </c>
      <c r="U258" s="139" t="s">
        <v>46</v>
      </c>
      <c r="V258" s="139" t="s">
        <v>46</v>
      </c>
      <c r="W258" s="139" t="s">
        <v>46</v>
      </c>
      <c r="X258" s="139" t="s">
        <v>46</v>
      </c>
      <c r="Y258" s="139" t="s">
        <v>46</v>
      </c>
      <c r="Z258" s="139" t="s">
        <v>46</v>
      </c>
      <c r="AA258" s="139">
        <v>12.05</v>
      </c>
      <c r="AB258" s="139">
        <v>14.46</v>
      </c>
      <c r="AC258" s="139" t="s">
        <v>46</v>
      </c>
      <c r="AD258" s="139" t="s">
        <v>46</v>
      </c>
      <c r="AE258" s="139" t="s">
        <v>46</v>
      </c>
      <c r="AF258" s="139" t="s">
        <v>46</v>
      </c>
      <c r="AG258" s="139" t="s">
        <v>46</v>
      </c>
      <c r="AH258" s="139" t="s">
        <v>46</v>
      </c>
      <c r="AI258" s="139" t="s">
        <v>46</v>
      </c>
      <c r="AJ258" s="139">
        <v>0</v>
      </c>
      <c r="AK258" s="139">
        <v>1</v>
      </c>
      <c r="AL258" s="139">
        <f>0.1*$AL$2</f>
        <v>7.5000000000000011E-2</v>
      </c>
      <c r="AM258" s="139">
        <f>AM252</f>
        <v>2.7E-2</v>
      </c>
      <c r="AN258" s="139">
        <f>ROUNDUP(AN252/3,0)</f>
        <v>1</v>
      </c>
      <c r="AQ258" s="142">
        <f>AM258*I258+AL258</f>
        <v>7.702500000000001E-2</v>
      </c>
      <c r="AR258" s="142">
        <f t="shared" si="312"/>
        <v>7.702500000000001E-3</v>
      </c>
      <c r="AS258" s="143">
        <f t="shared" si="313"/>
        <v>0.25</v>
      </c>
      <c r="AT258" s="143">
        <f t="shared" si="314"/>
        <v>8.3681875000000003E-2</v>
      </c>
      <c r="AU258" s="142">
        <f>10068.2*J258*POWER(10,-6)*10</f>
        <v>4.5306900000000004E-3</v>
      </c>
      <c r="AV258" s="143">
        <f t="shared" si="310"/>
        <v>0.42294006500000003</v>
      </c>
      <c r="AW258" s="144">
        <f t="shared" si="315"/>
        <v>0</v>
      </c>
      <c r="AX258" s="144">
        <f t="shared" si="316"/>
        <v>5.2800000000000007E-7</v>
      </c>
      <c r="AY258" s="144">
        <f t="shared" si="317"/>
        <v>2.2331235432000004E-7</v>
      </c>
      <c r="AZ258" s="289">
        <f>AW258/[1]DB!$B$23</f>
        <v>0</v>
      </c>
      <c r="BA258" s="289">
        <f>AX258/[1]DB!$B$23</f>
        <v>6.3614457831325307E-10</v>
      </c>
    </row>
    <row r="259" spans="1:53" s="139" customFormat="1" ht="15" thickBot="1" x14ac:dyDescent="0.35">
      <c r="A259" s="130" t="s">
        <v>845</v>
      </c>
      <c r="B259" s="130" t="str">
        <f>B252</f>
        <v>Сепаратор газовый ГС-1,2,нефть, попутный нефтяной газ</v>
      </c>
      <c r="C259" s="13" t="s">
        <v>111</v>
      </c>
      <c r="D259" s="132" t="s">
        <v>27</v>
      </c>
      <c r="E259" s="145">
        <f>E256</f>
        <v>1.0000000000000001E-5</v>
      </c>
      <c r="F259" s="146">
        <f>F252</f>
        <v>2</v>
      </c>
      <c r="G259" s="130">
        <v>0.93030000000000002</v>
      </c>
      <c r="H259" s="134">
        <f t="shared" si="311"/>
        <v>1.8606000000000001E-5</v>
      </c>
      <c r="I259" s="147">
        <f>0.15*I252</f>
        <v>7.4999999999999997E-2</v>
      </c>
      <c r="J259" s="150">
        <v>0</v>
      </c>
      <c r="K259" s="153"/>
      <c r="L259" s="154"/>
      <c r="M259" s="139" t="str">
        <f t="shared" si="308"/>
        <v>C188</v>
      </c>
      <c r="N259" s="139" t="str">
        <f t="shared" si="308"/>
        <v>Сепаратор газовый ГС-1,2,нефть, попутный нефтяной газ</v>
      </c>
      <c r="O259" s="139" t="str">
        <f t="shared" si="309"/>
        <v>Частичное-ликвидация</v>
      </c>
      <c r="P259" s="139" t="s">
        <v>46</v>
      </c>
      <c r="Q259" s="139" t="s">
        <v>46</v>
      </c>
      <c r="R259" s="139" t="s">
        <v>46</v>
      </c>
      <c r="S259" s="139" t="s">
        <v>46</v>
      </c>
      <c r="T259" s="139" t="s">
        <v>46</v>
      </c>
      <c r="U259" s="139" t="s">
        <v>46</v>
      </c>
      <c r="V259" s="139" t="s">
        <v>46</v>
      </c>
      <c r="W259" s="139" t="s">
        <v>46</v>
      </c>
      <c r="X259" s="139" t="s">
        <v>46</v>
      </c>
      <c r="Y259" s="139" t="s">
        <v>46</v>
      </c>
      <c r="Z259" s="139" t="s">
        <v>46</v>
      </c>
      <c r="AA259" s="139" t="s">
        <v>46</v>
      </c>
      <c r="AB259" s="139" t="s">
        <v>46</v>
      </c>
      <c r="AC259" s="139" t="s">
        <v>46</v>
      </c>
      <c r="AD259" s="139" t="s">
        <v>46</v>
      </c>
      <c r="AE259" s="139" t="s">
        <v>46</v>
      </c>
      <c r="AF259" s="139" t="s">
        <v>46</v>
      </c>
      <c r="AG259" s="139" t="s">
        <v>46</v>
      </c>
      <c r="AH259" s="139" t="s">
        <v>46</v>
      </c>
      <c r="AI259" s="139" t="s">
        <v>46</v>
      </c>
      <c r="AJ259" s="139">
        <v>0</v>
      </c>
      <c r="AK259" s="139">
        <v>0</v>
      </c>
      <c r="AL259" s="139">
        <f>0.1*$AL$2</f>
        <v>7.5000000000000011E-2</v>
      </c>
      <c r="AM259" s="139">
        <f>AM252</f>
        <v>2.7E-2</v>
      </c>
      <c r="AN259" s="139">
        <f>ROUNDUP(AN252/3,0)</f>
        <v>1</v>
      </c>
      <c r="AQ259" s="142">
        <f>AM259*I259*0.1+AL259</f>
        <v>7.5202500000000005E-2</v>
      </c>
      <c r="AR259" s="142">
        <f t="shared" si="312"/>
        <v>7.5202500000000009E-3</v>
      </c>
      <c r="AS259" s="143">
        <f t="shared" si="313"/>
        <v>0</v>
      </c>
      <c r="AT259" s="143">
        <f t="shared" si="314"/>
        <v>2.0680687500000003E-2</v>
      </c>
      <c r="AU259" s="142">
        <f>1333*J258*POWER(10,-6)</f>
        <v>5.9984999999999996E-5</v>
      </c>
      <c r="AV259" s="143">
        <f t="shared" si="310"/>
        <v>0.10346342250000001</v>
      </c>
      <c r="AW259" s="144">
        <f t="shared" si="315"/>
        <v>0</v>
      </c>
      <c r="AX259" s="144">
        <f t="shared" si="316"/>
        <v>0</v>
      </c>
      <c r="AY259" s="144">
        <f t="shared" si="317"/>
        <v>1.9250404390350003E-6</v>
      </c>
      <c r="AZ259" s="289">
        <f>AW259/[1]DB!$B$23</f>
        <v>0</v>
      </c>
      <c r="BA259" s="289">
        <f>AX259/[1]DB!$B$23</f>
        <v>0</v>
      </c>
    </row>
    <row r="260" spans="1:53" s="139" customFormat="1" x14ac:dyDescent="0.3">
      <c r="A260" s="130"/>
      <c r="B260" s="193"/>
      <c r="C260" s="193"/>
      <c r="D260" s="193"/>
      <c r="E260" s="194"/>
      <c r="F260" s="146"/>
      <c r="G260" s="193"/>
      <c r="H260" s="195"/>
      <c r="I260" s="196"/>
      <c r="J260" s="196"/>
      <c r="K260" s="193"/>
      <c r="L260" s="193"/>
      <c r="M260" s="197"/>
      <c r="N260" s="197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  <c r="AA260" s="197"/>
      <c r="AB260" s="197"/>
      <c r="AC260" s="197"/>
      <c r="AD260" s="197"/>
      <c r="AE260" s="197"/>
      <c r="AF260" s="197"/>
      <c r="AG260" s="197"/>
      <c r="AH260" s="197"/>
      <c r="AI260" s="197"/>
      <c r="AJ260" s="197"/>
      <c r="AK260" s="197"/>
      <c r="AL260" s="197"/>
      <c r="AM260" s="197"/>
      <c r="AN260" s="197"/>
      <c r="AO260" s="197"/>
      <c r="AP260" s="197"/>
      <c r="AQ260" s="198"/>
      <c r="AR260" s="198"/>
      <c r="AS260" s="199"/>
      <c r="AT260" s="199"/>
      <c r="AU260" s="198"/>
      <c r="AV260" s="199"/>
      <c r="AW260" s="200"/>
      <c r="AX260" s="200"/>
      <c r="AY260" s="200"/>
      <c r="AZ260" s="289"/>
      <c r="BA260" s="289"/>
    </row>
    <row r="261" spans="1:53" ht="15" thickBot="1" x14ac:dyDescent="0.35"/>
    <row r="262" spans="1:53" ht="18" customHeight="1" x14ac:dyDescent="0.3">
      <c r="A262" s="8" t="s">
        <v>846</v>
      </c>
      <c r="B262" s="62" t="s">
        <v>721</v>
      </c>
      <c r="C262" s="78" t="s">
        <v>129</v>
      </c>
      <c r="D262" s="9" t="s">
        <v>130</v>
      </c>
      <c r="E262" s="65">
        <v>2.9999999999999999E-7</v>
      </c>
      <c r="F262" s="62">
        <v>250</v>
      </c>
      <c r="G262" s="8">
        <v>0.2</v>
      </c>
      <c r="H262" s="10">
        <f>E262*F262*G262</f>
        <v>1.4999999999999999E-5</v>
      </c>
      <c r="I262" s="63">
        <v>0.09</v>
      </c>
      <c r="J262" s="68">
        <f>I262</f>
        <v>0.09</v>
      </c>
      <c r="K262" s="71" t="s">
        <v>122</v>
      </c>
      <c r="L262" s="76">
        <v>0</v>
      </c>
      <c r="M262" s="31" t="str">
        <f t="shared" ref="M262:M263" si="318">A262</f>
        <v>C189</v>
      </c>
      <c r="N262" s="31" t="str">
        <f t="shared" ref="N262:N263" si="319">B262</f>
        <v>Газопровод наружный,  природный газ</v>
      </c>
      <c r="O262" s="31" t="str">
        <f t="shared" ref="O262:O263" si="320">D262</f>
        <v>Полное-факел</v>
      </c>
      <c r="P262" s="31" t="s">
        <v>46</v>
      </c>
      <c r="Q262" s="31" t="s">
        <v>46</v>
      </c>
      <c r="R262" s="31" t="s">
        <v>46</v>
      </c>
      <c r="S262" s="31" t="s">
        <v>46</v>
      </c>
      <c r="T262" s="31" t="s">
        <v>46</v>
      </c>
      <c r="U262" s="31" t="s">
        <v>46</v>
      </c>
      <c r="V262" s="31" t="s">
        <v>46</v>
      </c>
      <c r="W262" s="31" t="s">
        <v>46</v>
      </c>
      <c r="X262" s="31" t="s">
        <v>46</v>
      </c>
      <c r="Y262" s="31">
        <v>13</v>
      </c>
      <c r="Z262" s="31">
        <v>2</v>
      </c>
      <c r="AA262" s="31" t="s">
        <v>46</v>
      </c>
      <c r="AB262" s="31" t="s">
        <v>46</v>
      </c>
      <c r="AC262" s="31" t="s">
        <v>46</v>
      </c>
      <c r="AD262" s="31" t="s">
        <v>46</v>
      </c>
      <c r="AE262" s="31" t="s">
        <v>46</v>
      </c>
      <c r="AF262" s="31" t="s">
        <v>46</v>
      </c>
      <c r="AG262" s="31" t="s">
        <v>46</v>
      </c>
      <c r="AH262" s="31" t="s">
        <v>46</v>
      </c>
      <c r="AI262" s="31" t="s">
        <v>46</v>
      </c>
      <c r="AJ262" s="12">
        <v>1</v>
      </c>
      <c r="AK262" s="12">
        <v>2</v>
      </c>
      <c r="AL262" s="64">
        <v>0.75</v>
      </c>
      <c r="AM262" s="64">
        <v>2.7E-2</v>
      </c>
      <c r="AN262" s="64">
        <v>3</v>
      </c>
      <c r="AO262" s="31"/>
      <c r="AP262" s="31"/>
      <c r="AQ262" s="32">
        <f>AM262*I262+AL262</f>
        <v>0.75243000000000004</v>
      </c>
      <c r="AR262" s="32">
        <f>0.1*AQ262</f>
        <v>7.5243000000000004E-2</v>
      </c>
      <c r="AS262" s="33">
        <f>AJ262*3+0.25*AK262</f>
        <v>3.5</v>
      </c>
      <c r="AT262" s="33">
        <f>SUM(AQ262:AS262)/4</f>
        <v>1.08191825</v>
      </c>
      <c r="AU262" s="32">
        <f>10068.2*J262*POWER(10,-6)</f>
        <v>9.0613800000000002E-4</v>
      </c>
      <c r="AV262" s="33">
        <f t="shared" ref="AV262:AV263" si="321">AU262+AT262+AS262+AR262+AQ262</f>
        <v>5.4104973880000005</v>
      </c>
      <c r="AW262" s="34">
        <f>AJ262*H262</f>
        <v>1.4999999999999999E-5</v>
      </c>
      <c r="AX262" s="34">
        <f>H262*AK262</f>
        <v>2.9999999999999997E-5</v>
      </c>
      <c r="AY262" s="34">
        <f>H262*AV262</f>
        <v>8.1157460819999993E-5</v>
      </c>
      <c r="AZ262" s="289">
        <f>AW262/[1]DB!$B$23</f>
        <v>1.8072289156626504E-8</v>
      </c>
      <c r="BA262" s="289">
        <f>AX262/[1]DB!$B$23</f>
        <v>3.6144578313253008E-8</v>
      </c>
    </row>
    <row r="263" spans="1:53" x14ac:dyDescent="0.3">
      <c r="A263" s="8" t="s">
        <v>847</v>
      </c>
      <c r="B263" s="8" t="str">
        <f>B262</f>
        <v>Газопровод наружный,  природный газ</v>
      </c>
      <c r="C263" s="78" t="s">
        <v>107</v>
      </c>
      <c r="D263" s="9" t="s">
        <v>28</v>
      </c>
      <c r="E263" s="66">
        <f>E262</f>
        <v>2.9999999999999999E-7</v>
      </c>
      <c r="F263" s="67">
        <f>F262</f>
        <v>250</v>
      </c>
      <c r="G263" s="8">
        <v>0.1152</v>
      </c>
      <c r="H263" s="10">
        <f t="shared" ref="H263" si="322">E263*F263*G263</f>
        <v>8.6399999999999986E-6</v>
      </c>
      <c r="I263" s="61">
        <f>I262</f>
        <v>0.09</v>
      </c>
      <c r="J263" s="79">
        <f>0.1*I262</f>
        <v>8.9999999999999993E-3</v>
      </c>
      <c r="K263" s="73" t="s">
        <v>123</v>
      </c>
      <c r="L263" s="77">
        <v>1</v>
      </c>
      <c r="M263" s="31" t="str">
        <f t="shared" si="318"/>
        <v>C190</v>
      </c>
      <c r="N263" s="31" t="str">
        <f t="shared" si="319"/>
        <v>Газопровод наружный,  природный газ</v>
      </c>
      <c r="O263" s="31" t="str">
        <f t="shared" si="320"/>
        <v>Полное-взрыв</v>
      </c>
      <c r="P263" s="31" t="s">
        <v>46</v>
      </c>
      <c r="Q263" s="31" t="s">
        <v>46</v>
      </c>
      <c r="R263" s="31" t="s">
        <v>46</v>
      </c>
      <c r="S263" s="31" t="s">
        <v>46</v>
      </c>
      <c r="T263" s="31">
        <v>0</v>
      </c>
      <c r="U263" s="31">
        <v>0</v>
      </c>
      <c r="V263" s="31">
        <v>15.6</v>
      </c>
      <c r="W263" s="31">
        <v>52.6</v>
      </c>
      <c r="X263" s="31">
        <v>76.599999999999994</v>
      </c>
      <c r="Y263" s="31" t="s">
        <v>46</v>
      </c>
      <c r="Z263" s="31" t="s">
        <v>46</v>
      </c>
      <c r="AA263" s="31" t="s">
        <v>46</v>
      </c>
      <c r="AB263" s="31" t="s">
        <v>46</v>
      </c>
      <c r="AC263" s="31" t="s">
        <v>46</v>
      </c>
      <c r="AD263" s="31" t="s">
        <v>46</v>
      </c>
      <c r="AE263" s="31" t="s">
        <v>46</v>
      </c>
      <c r="AF263" s="31" t="s">
        <v>46</v>
      </c>
      <c r="AG263" s="31" t="s">
        <v>46</v>
      </c>
      <c r="AH263" s="31" t="s">
        <v>46</v>
      </c>
      <c r="AI263" s="31" t="s">
        <v>46</v>
      </c>
      <c r="AJ263" s="12">
        <v>1</v>
      </c>
      <c r="AK263" s="12">
        <v>2</v>
      </c>
      <c r="AL263" s="31">
        <f>AL262</f>
        <v>0.75</v>
      </c>
      <c r="AM263" s="31">
        <f>AM262</f>
        <v>2.7E-2</v>
      </c>
      <c r="AN263" s="31">
        <f>AN262</f>
        <v>3</v>
      </c>
      <c r="AO263" s="31"/>
      <c r="AP263" s="31"/>
      <c r="AQ263" s="32">
        <f>AM263*I263+AL263</f>
        <v>0.75243000000000004</v>
      </c>
      <c r="AR263" s="32">
        <f t="shared" ref="AR263" si="323">0.1*AQ263</f>
        <v>7.5243000000000004E-2</v>
      </c>
      <c r="AS263" s="33">
        <f t="shared" ref="AS263" si="324">AJ263*3+0.25*AK263</f>
        <v>3.5</v>
      </c>
      <c r="AT263" s="33">
        <f t="shared" ref="AT263" si="325">SUM(AQ263:AS263)/4</f>
        <v>1.08191825</v>
      </c>
      <c r="AU263" s="32">
        <f>10068.2*J263*POWER(10,-6)*10</f>
        <v>9.0613799999999991E-4</v>
      </c>
      <c r="AV263" s="33">
        <f t="shared" si="321"/>
        <v>5.4104973880000005</v>
      </c>
      <c r="AW263" s="34">
        <f t="shared" ref="AW263:AW269" si="326">AJ263*H263</f>
        <v>8.6399999999999986E-6</v>
      </c>
      <c r="AX263" s="34">
        <f t="shared" ref="AX263:AX269" si="327">H263*AK263</f>
        <v>1.7279999999999997E-5</v>
      </c>
      <c r="AY263" s="34">
        <f t="shared" ref="AY263:AY269" si="328">H263*AV263</f>
        <v>4.6746697432319995E-5</v>
      </c>
      <c r="AZ263" s="289">
        <f>AW263/[1]DB!$B$23</f>
        <v>1.0409638554216866E-8</v>
      </c>
      <c r="BA263" s="289">
        <f>AX263/[1]DB!$B$23</f>
        <v>2.0819277108433732E-8</v>
      </c>
    </row>
    <row r="264" spans="1:53" x14ac:dyDescent="0.3">
      <c r="A264" s="8" t="s">
        <v>848</v>
      </c>
      <c r="B264" s="8" t="str">
        <f>B262</f>
        <v>Газопровод наружный,  природный газ</v>
      </c>
      <c r="C264" s="78" t="s">
        <v>131</v>
      </c>
      <c r="D264" s="9" t="s">
        <v>132</v>
      </c>
      <c r="E264" s="66">
        <f>E262</f>
        <v>2.9999999999999999E-7</v>
      </c>
      <c r="F264" s="67">
        <f>F262</f>
        <v>250</v>
      </c>
      <c r="G264" s="8">
        <v>7.6799999999999993E-2</v>
      </c>
      <c r="H264" s="10">
        <f>E264*F264*G264</f>
        <v>5.7599999999999991E-6</v>
      </c>
      <c r="I264" s="61">
        <f>I262</f>
        <v>0.09</v>
      </c>
      <c r="J264" s="68">
        <f>I262</f>
        <v>0.09</v>
      </c>
      <c r="K264" s="73" t="s">
        <v>124</v>
      </c>
      <c r="L264" s="77">
        <v>0</v>
      </c>
      <c r="M264" s="31" t="str">
        <f>A264</f>
        <v>C191</v>
      </c>
      <c r="N264" s="31" t="str">
        <f>B264</f>
        <v>Газопровод наружный,  природный газ</v>
      </c>
      <c r="O264" s="31" t="str">
        <f>D264</f>
        <v>Полное-вспышка</v>
      </c>
      <c r="P264" s="31" t="s">
        <v>46</v>
      </c>
      <c r="Q264" s="31" t="s">
        <v>46</v>
      </c>
      <c r="R264" s="31" t="s">
        <v>46</v>
      </c>
      <c r="S264" s="31" t="s">
        <v>46</v>
      </c>
      <c r="T264" s="31" t="s">
        <v>46</v>
      </c>
      <c r="U264" s="31" t="s">
        <v>46</v>
      </c>
      <c r="V264" s="31" t="s">
        <v>46</v>
      </c>
      <c r="W264" s="31" t="s">
        <v>46</v>
      </c>
      <c r="X264" s="31" t="s">
        <v>46</v>
      </c>
      <c r="Y264" s="31" t="s">
        <v>46</v>
      </c>
      <c r="Z264" s="31" t="s">
        <v>46</v>
      </c>
      <c r="AA264" s="31">
        <v>15.14</v>
      </c>
      <c r="AB264" s="31">
        <v>18.170000000000002</v>
      </c>
      <c r="AC264" s="31" t="s">
        <v>46</v>
      </c>
      <c r="AD264" s="31" t="s">
        <v>46</v>
      </c>
      <c r="AE264" s="31" t="s">
        <v>46</v>
      </c>
      <c r="AF264" s="31" t="s">
        <v>46</v>
      </c>
      <c r="AG264" s="31" t="s">
        <v>46</v>
      </c>
      <c r="AH264" s="31" t="s">
        <v>46</v>
      </c>
      <c r="AI264" s="31" t="s">
        <v>46</v>
      </c>
      <c r="AJ264" s="31">
        <v>0</v>
      </c>
      <c r="AK264" s="31">
        <v>0</v>
      </c>
      <c r="AL264" s="31">
        <f>AL262</f>
        <v>0.75</v>
      </c>
      <c r="AM264" s="31">
        <f>AM262</f>
        <v>2.7E-2</v>
      </c>
      <c r="AN264" s="31">
        <f>AN262</f>
        <v>3</v>
      </c>
      <c r="AO264" s="31"/>
      <c r="AP264" s="31"/>
      <c r="AQ264" s="32">
        <f>AM264*I264*0.1+AL264</f>
        <v>0.75024299999999999</v>
      </c>
      <c r="AR264" s="32">
        <f>0.1*AQ264</f>
        <v>7.5024300000000002E-2</v>
      </c>
      <c r="AS264" s="33">
        <f>AJ264*3+0.25*AK264</f>
        <v>0</v>
      </c>
      <c r="AT264" s="33">
        <f>SUM(AQ264:AS264)/4</f>
        <v>0.20631682500000001</v>
      </c>
      <c r="AU264" s="32">
        <f>1333*J262*POWER(10,-6)</f>
        <v>1.1996999999999999E-4</v>
      </c>
      <c r="AV264" s="33">
        <f>AU264+AT264+AS264+AR264+AQ264</f>
        <v>1.031704095</v>
      </c>
      <c r="AW264" s="34">
        <f t="shared" si="326"/>
        <v>0</v>
      </c>
      <c r="AX264" s="34">
        <f t="shared" si="327"/>
        <v>0</v>
      </c>
      <c r="AY264" s="34">
        <f t="shared" si="328"/>
        <v>5.9426155871999993E-6</v>
      </c>
      <c r="AZ264" s="289">
        <f>AW264/[1]DB!$B$23</f>
        <v>0</v>
      </c>
      <c r="BA264" s="289">
        <f>AX264/[1]DB!$B$23</f>
        <v>0</v>
      </c>
    </row>
    <row r="265" spans="1:53" x14ac:dyDescent="0.3">
      <c r="A265" s="8" t="s">
        <v>849</v>
      </c>
      <c r="B265" s="8" t="str">
        <f>B262</f>
        <v>Газопровод наружный,  природный газ</v>
      </c>
      <c r="C265" s="78" t="s">
        <v>108</v>
      </c>
      <c r="D265" s="9" t="s">
        <v>26</v>
      </c>
      <c r="E265" s="66">
        <f>E262</f>
        <v>2.9999999999999999E-7</v>
      </c>
      <c r="F265" s="67">
        <f>F262</f>
        <v>250</v>
      </c>
      <c r="G265" s="8">
        <v>0.60799999999999998</v>
      </c>
      <c r="H265" s="10">
        <f t="shared" ref="H265:H266" si="329">E265*F265*G265</f>
        <v>4.5599999999999997E-5</v>
      </c>
      <c r="I265" s="61">
        <f>I262</f>
        <v>0.09</v>
      </c>
      <c r="J265" s="70">
        <v>0</v>
      </c>
      <c r="K265" s="73" t="s">
        <v>126</v>
      </c>
      <c r="L265" s="77">
        <v>45390</v>
      </c>
      <c r="M265" s="31" t="str">
        <f t="shared" ref="M265:M266" si="330">A265</f>
        <v>C192</v>
      </c>
      <c r="N265" s="31" t="str">
        <f t="shared" ref="N265:N266" si="331">B265</f>
        <v>Газопровод наружный,  природный газ</v>
      </c>
      <c r="O265" s="31" t="str">
        <f t="shared" ref="O265:O266" si="332">D265</f>
        <v>Полное-ликвидация</v>
      </c>
      <c r="P265" s="31" t="s">
        <v>46</v>
      </c>
      <c r="Q265" s="31" t="s">
        <v>46</v>
      </c>
      <c r="R265" s="31" t="s">
        <v>46</v>
      </c>
      <c r="S265" s="31" t="s">
        <v>46</v>
      </c>
      <c r="T265" s="31" t="s">
        <v>46</v>
      </c>
      <c r="U265" s="31" t="s">
        <v>46</v>
      </c>
      <c r="V265" s="31" t="s">
        <v>46</v>
      </c>
      <c r="W265" s="31" t="s">
        <v>46</v>
      </c>
      <c r="X265" s="31" t="s">
        <v>46</v>
      </c>
      <c r="Y265" s="31" t="s">
        <v>46</v>
      </c>
      <c r="Z265" s="31" t="s">
        <v>46</v>
      </c>
      <c r="AA265" s="31" t="s">
        <v>46</v>
      </c>
      <c r="AB265" s="31" t="s">
        <v>46</v>
      </c>
      <c r="AC265" s="31" t="s">
        <v>46</v>
      </c>
      <c r="AD265" s="31" t="s">
        <v>46</v>
      </c>
      <c r="AE265" s="31" t="s">
        <v>46</v>
      </c>
      <c r="AF265" s="31" t="s">
        <v>46</v>
      </c>
      <c r="AG265" s="31" t="s">
        <v>46</v>
      </c>
      <c r="AH265" s="31" t="s">
        <v>46</v>
      </c>
      <c r="AI265" s="31" t="s">
        <v>46</v>
      </c>
      <c r="AJ265" s="31">
        <v>0</v>
      </c>
      <c r="AK265" s="31">
        <v>0</v>
      </c>
      <c r="AL265" s="31">
        <f>AL262</f>
        <v>0.75</v>
      </c>
      <c r="AM265" s="31">
        <f>AM262</f>
        <v>2.7E-2</v>
      </c>
      <c r="AN265" s="31">
        <f>AN262</f>
        <v>3</v>
      </c>
      <c r="AO265" s="31"/>
      <c r="AP265" s="31"/>
      <c r="AQ265" s="32">
        <f>AM265*I265*0.1+AL265</f>
        <v>0.75024299999999999</v>
      </c>
      <c r="AR265" s="32">
        <f t="shared" ref="AR265:AR266" si="333">0.1*AQ265</f>
        <v>7.5024300000000002E-2</v>
      </c>
      <c r="AS265" s="33">
        <f t="shared" ref="AS265:AS266" si="334">AJ265*3+0.25*AK265</f>
        <v>0</v>
      </c>
      <c r="AT265" s="33">
        <f t="shared" ref="AT265:AT266" si="335">SUM(AQ265:AS265)/4</f>
        <v>0.20631682500000001</v>
      </c>
      <c r="AU265" s="32">
        <f>1333*J263*POWER(10,-6)</f>
        <v>1.1996999999999999E-5</v>
      </c>
      <c r="AV265" s="33">
        <f t="shared" ref="AV265:AV266" si="336">AU265+AT265+AS265+AR265+AQ265</f>
        <v>1.0315961220000001</v>
      </c>
      <c r="AW265" s="34">
        <f t="shared" si="326"/>
        <v>0</v>
      </c>
      <c r="AX265" s="34">
        <f t="shared" si="327"/>
        <v>0</v>
      </c>
      <c r="AY265" s="34">
        <f t="shared" si="328"/>
        <v>4.7040783163199998E-5</v>
      </c>
      <c r="AZ265" s="289">
        <f>AW265/[1]DB!$B$23</f>
        <v>0</v>
      </c>
      <c r="BA265" s="289">
        <f>AX265/[1]DB!$B$23</f>
        <v>0</v>
      </c>
    </row>
    <row r="266" spans="1:53" x14ac:dyDescent="0.3">
      <c r="A266" s="8" t="s">
        <v>850</v>
      </c>
      <c r="B266" s="8" t="str">
        <f>B262</f>
        <v>Газопровод наружный,  природный газ</v>
      </c>
      <c r="C266" s="78" t="s">
        <v>133</v>
      </c>
      <c r="D266" s="9" t="s">
        <v>134</v>
      </c>
      <c r="E266" s="65">
        <v>1.9999999999999999E-6</v>
      </c>
      <c r="F266" s="67">
        <f>F262</f>
        <v>250</v>
      </c>
      <c r="G266" s="8">
        <v>3.5000000000000003E-2</v>
      </c>
      <c r="H266" s="10">
        <f t="shared" si="329"/>
        <v>1.7500000000000002E-5</v>
      </c>
      <c r="I266" s="61">
        <f>0.15*I262</f>
        <v>1.35E-2</v>
      </c>
      <c r="J266" s="68">
        <f>I266</f>
        <v>1.35E-2</v>
      </c>
      <c r="K266" s="73" t="s">
        <v>127</v>
      </c>
      <c r="L266" s="77">
        <v>3</v>
      </c>
      <c r="M266" s="31" t="str">
        <f t="shared" si="330"/>
        <v>C193</v>
      </c>
      <c r="N266" s="31" t="str">
        <f t="shared" si="331"/>
        <v>Газопровод наружный,  природный газ</v>
      </c>
      <c r="O266" s="31" t="str">
        <f t="shared" si="332"/>
        <v>Частичное-факел</v>
      </c>
      <c r="P266" s="31" t="s">
        <v>46</v>
      </c>
      <c r="Q266" s="31" t="s">
        <v>46</v>
      </c>
      <c r="R266" s="31" t="s">
        <v>46</v>
      </c>
      <c r="S266" s="31" t="s">
        <v>46</v>
      </c>
      <c r="T266" s="31" t="s">
        <v>46</v>
      </c>
      <c r="U266" s="31" t="s">
        <v>46</v>
      </c>
      <c r="V266" s="31" t="s">
        <v>46</v>
      </c>
      <c r="W266" s="31" t="s">
        <v>46</v>
      </c>
      <c r="X266" s="31" t="s">
        <v>46</v>
      </c>
      <c r="Y266" s="31">
        <v>8</v>
      </c>
      <c r="Z266" s="31">
        <v>2</v>
      </c>
      <c r="AA266" s="31" t="s">
        <v>46</v>
      </c>
      <c r="AB266" s="31" t="s">
        <v>46</v>
      </c>
      <c r="AC266" s="31" t="s">
        <v>46</v>
      </c>
      <c r="AD266" s="31" t="s">
        <v>46</v>
      </c>
      <c r="AE266" s="31" t="s">
        <v>46</v>
      </c>
      <c r="AF266" s="31" t="s">
        <v>46</v>
      </c>
      <c r="AG266" s="31" t="s">
        <v>46</v>
      </c>
      <c r="AH266" s="31" t="s">
        <v>46</v>
      </c>
      <c r="AI266" s="31" t="s">
        <v>46</v>
      </c>
      <c r="AJ266" s="31">
        <v>0</v>
      </c>
      <c r="AK266" s="31">
        <v>2</v>
      </c>
      <c r="AL266" s="31">
        <f>0.1*$AL$2</f>
        <v>7.5000000000000011E-2</v>
      </c>
      <c r="AM266" s="31">
        <f>AM262</f>
        <v>2.7E-2</v>
      </c>
      <c r="AN266" s="31">
        <f>ROUNDUP(AN262/3,0)</f>
        <v>1</v>
      </c>
      <c r="AO266" s="31"/>
      <c r="AP266" s="31"/>
      <c r="AQ266" s="32">
        <f>AM266*I266+AL266</f>
        <v>7.5364500000000015E-2</v>
      </c>
      <c r="AR266" s="32">
        <f t="shared" si="333"/>
        <v>7.5364500000000018E-3</v>
      </c>
      <c r="AS266" s="33">
        <f t="shared" si="334"/>
        <v>0.5</v>
      </c>
      <c r="AT266" s="33">
        <f t="shared" si="335"/>
        <v>0.14572523749999999</v>
      </c>
      <c r="AU266" s="32">
        <f>10068.2*J266*POWER(10,-6)</f>
        <v>1.3592070000000001E-4</v>
      </c>
      <c r="AV266" s="33">
        <f t="shared" si="336"/>
        <v>0.72876210820000009</v>
      </c>
      <c r="AW266" s="34">
        <f t="shared" si="326"/>
        <v>0</v>
      </c>
      <c r="AX266" s="34">
        <f t="shared" si="327"/>
        <v>3.5000000000000004E-5</v>
      </c>
      <c r="AY266" s="34">
        <f t="shared" si="328"/>
        <v>1.2753336893500003E-5</v>
      </c>
      <c r="AZ266" s="289">
        <f>AW266/[1]DB!$B$23</f>
        <v>0</v>
      </c>
      <c r="BA266" s="289">
        <f>AX266/[1]DB!$B$23</f>
        <v>4.2168674698795187E-8</v>
      </c>
    </row>
    <row r="267" spans="1:53" x14ac:dyDescent="0.3">
      <c r="A267" s="8" t="s">
        <v>851</v>
      </c>
      <c r="B267" s="8" t="str">
        <f>B262</f>
        <v>Газопровод наружный,  природный газ</v>
      </c>
      <c r="C267" s="78" t="s">
        <v>135</v>
      </c>
      <c r="D267" s="9" t="s">
        <v>136</v>
      </c>
      <c r="E267" s="66">
        <f>E266</f>
        <v>1.9999999999999999E-6</v>
      </c>
      <c r="F267" s="67">
        <f>F263</f>
        <v>250</v>
      </c>
      <c r="G267" s="8">
        <v>8.3000000000000001E-3</v>
      </c>
      <c r="H267" s="10">
        <f>E267*F267*G267</f>
        <v>4.1500000000000001E-6</v>
      </c>
      <c r="I267" s="61">
        <f>I266</f>
        <v>1.35E-2</v>
      </c>
      <c r="J267" s="68">
        <f>I267</f>
        <v>1.35E-2</v>
      </c>
      <c r="K267" s="72" t="s">
        <v>138</v>
      </c>
      <c r="L267" s="129">
        <v>4</v>
      </c>
      <c r="M267" s="31" t="str">
        <f>A267</f>
        <v>C194</v>
      </c>
      <c r="N267" s="31" t="str">
        <f>B267</f>
        <v>Газопровод наружный,  природный газ</v>
      </c>
      <c r="O267" s="31" t="str">
        <f>D267</f>
        <v>Частичное-взрыв</v>
      </c>
      <c r="P267" s="31" t="s">
        <v>46</v>
      </c>
      <c r="Q267" s="31" t="s">
        <v>46</v>
      </c>
      <c r="R267" s="31" t="s">
        <v>46</v>
      </c>
      <c r="S267" s="31" t="s">
        <v>46</v>
      </c>
      <c r="T267" s="31">
        <v>0</v>
      </c>
      <c r="U267" s="31">
        <v>0</v>
      </c>
      <c r="V267" s="31">
        <v>18.100000000000001</v>
      </c>
      <c r="W267" s="31">
        <v>60.1</v>
      </c>
      <c r="X267" s="31">
        <v>87.6</v>
      </c>
      <c r="Y267" s="31" t="s">
        <v>46</v>
      </c>
      <c r="Z267" s="31" t="s">
        <v>46</v>
      </c>
      <c r="AA267" s="31" t="s">
        <v>46</v>
      </c>
      <c r="AB267" s="31" t="s">
        <v>46</v>
      </c>
      <c r="AC267" s="31" t="s">
        <v>46</v>
      </c>
      <c r="AD267" s="31" t="s">
        <v>46</v>
      </c>
      <c r="AE267" s="31" t="s">
        <v>46</v>
      </c>
      <c r="AF267" s="31" t="s">
        <v>46</v>
      </c>
      <c r="AG267" s="31" t="s">
        <v>46</v>
      </c>
      <c r="AH267" s="31" t="s">
        <v>46</v>
      </c>
      <c r="AI267" s="31" t="s">
        <v>46</v>
      </c>
      <c r="AJ267" s="31">
        <v>0</v>
      </c>
      <c r="AK267" s="31">
        <v>1</v>
      </c>
      <c r="AL267" s="31">
        <f>0.1*$AL$2</f>
        <v>7.5000000000000011E-2</v>
      </c>
      <c r="AM267" s="31">
        <f>AM262</f>
        <v>2.7E-2</v>
      </c>
      <c r="AN267" s="31">
        <f>AN266</f>
        <v>1</v>
      </c>
      <c r="AO267" s="31"/>
      <c r="AP267" s="31"/>
      <c r="AQ267" s="32">
        <f>AM267*I267+AL267</f>
        <v>7.5364500000000015E-2</v>
      </c>
      <c r="AR267" s="32">
        <f>0.1*AQ267</f>
        <v>7.5364500000000018E-3</v>
      </c>
      <c r="AS267" s="33">
        <f>AJ267*3+0.25*AK267</f>
        <v>0.25</v>
      </c>
      <c r="AT267" s="33">
        <f>SUM(AQ267:AS267)/4</f>
        <v>8.3225237500000007E-2</v>
      </c>
      <c r="AU267" s="32">
        <f>10068.2*J267*POWER(10,-6)*10</f>
        <v>1.3592070000000001E-3</v>
      </c>
      <c r="AV267" s="33">
        <f>AU267+AT267+AS267+AR267+AQ267</f>
        <v>0.41748539450000005</v>
      </c>
      <c r="AW267" s="34">
        <f t="shared" si="326"/>
        <v>0</v>
      </c>
      <c r="AX267" s="34">
        <f t="shared" si="327"/>
        <v>4.1500000000000001E-6</v>
      </c>
      <c r="AY267" s="34">
        <f t="shared" si="328"/>
        <v>1.7325643871750002E-6</v>
      </c>
      <c r="AZ267" s="289">
        <f>AW267/[1]DB!$B$23</f>
        <v>0</v>
      </c>
      <c r="BA267" s="289">
        <f>AX267/[1]DB!$B$23</f>
        <v>5.0000000000000001E-9</v>
      </c>
    </row>
    <row r="268" spans="1:53" x14ac:dyDescent="0.3">
      <c r="A268" s="8" t="s">
        <v>852</v>
      </c>
      <c r="B268" s="8" t="str">
        <f>B262</f>
        <v>Газопровод наружный,  природный газ</v>
      </c>
      <c r="C268" s="78" t="s">
        <v>110</v>
      </c>
      <c r="D268" s="9" t="s">
        <v>112</v>
      </c>
      <c r="E268" s="66">
        <f>E266</f>
        <v>1.9999999999999999E-6</v>
      </c>
      <c r="F268" s="67">
        <f>F262</f>
        <v>250</v>
      </c>
      <c r="G268" s="8">
        <v>2.64E-2</v>
      </c>
      <c r="H268" s="10">
        <f t="shared" ref="H268:H269" si="337">E268*F268*G268</f>
        <v>1.3200000000000001E-5</v>
      </c>
      <c r="I268" s="61">
        <f>0.15*I262</f>
        <v>1.35E-2</v>
      </c>
      <c r="J268" s="68">
        <f>J264*0.15</f>
        <v>1.35E-2</v>
      </c>
      <c r="K268" s="334" t="s">
        <v>466</v>
      </c>
      <c r="L268" s="287" t="s">
        <v>641</v>
      </c>
      <c r="M268" s="31" t="str">
        <f t="shared" ref="M268:M269" si="338">A268</f>
        <v>C195</v>
      </c>
      <c r="N268" s="31" t="str">
        <f t="shared" ref="N268:N269" si="339">B268</f>
        <v>Газопровод наружный,  природный газ</v>
      </c>
      <c r="O268" s="31" t="str">
        <f t="shared" ref="O268:O269" si="340">D268</f>
        <v>Частичное-пожар-вспышка</v>
      </c>
      <c r="P268" s="31" t="s">
        <v>46</v>
      </c>
      <c r="Q268" s="31" t="s">
        <v>46</v>
      </c>
      <c r="R268" s="31" t="s">
        <v>46</v>
      </c>
      <c r="S268" s="31" t="s">
        <v>46</v>
      </c>
      <c r="T268" s="31" t="s">
        <v>46</v>
      </c>
      <c r="U268" s="31" t="s">
        <v>46</v>
      </c>
      <c r="V268" s="31" t="s">
        <v>46</v>
      </c>
      <c r="W268" s="31" t="s">
        <v>46</v>
      </c>
      <c r="X268" s="31" t="s">
        <v>46</v>
      </c>
      <c r="Y268" s="31" t="s">
        <v>46</v>
      </c>
      <c r="Z268" s="31" t="s">
        <v>46</v>
      </c>
      <c r="AA268" s="31">
        <v>8.1</v>
      </c>
      <c r="AB268" s="31">
        <v>9.7200000000000006</v>
      </c>
      <c r="AC268" s="31" t="s">
        <v>46</v>
      </c>
      <c r="AD268" s="31" t="s">
        <v>46</v>
      </c>
      <c r="AE268" s="31" t="s">
        <v>46</v>
      </c>
      <c r="AF268" s="31" t="s">
        <v>46</v>
      </c>
      <c r="AG268" s="31" t="s">
        <v>46</v>
      </c>
      <c r="AH268" s="31" t="s">
        <v>46</v>
      </c>
      <c r="AI268" s="31" t="s">
        <v>46</v>
      </c>
      <c r="AJ268" s="31">
        <v>0</v>
      </c>
      <c r="AK268" s="31">
        <v>1</v>
      </c>
      <c r="AL268" s="31">
        <f>0.1*$AL$2</f>
        <v>7.5000000000000011E-2</v>
      </c>
      <c r="AM268" s="31">
        <f>AM262</f>
        <v>2.7E-2</v>
      </c>
      <c r="AN268" s="31">
        <f>ROUNDUP(AN262/3,0)</f>
        <v>1</v>
      </c>
      <c r="AO268" s="31"/>
      <c r="AP268" s="31"/>
      <c r="AQ268" s="32">
        <f>AM268*I268+AL268</f>
        <v>7.5364500000000015E-2</v>
      </c>
      <c r="AR268" s="32">
        <f t="shared" ref="AR268:AR269" si="341">0.1*AQ268</f>
        <v>7.5364500000000018E-3</v>
      </c>
      <c r="AS268" s="33">
        <f t="shared" ref="AS268:AS269" si="342">AJ268*3+0.25*AK268</f>
        <v>0.25</v>
      </c>
      <c r="AT268" s="33">
        <f t="shared" ref="AT268:AT269" si="343">SUM(AQ268:AS268)/4</f>
        <v>8.3225237500000007E-2</v>
      </c>
      <c r="AU268" s="32">
        <f>10068.2*J268*POWER(10,-6)*10</f>
        <v>1.3592070000000001E-3</v>
      </c>
      <c r="AV268" s="33">
        <f t="shared" ref="AV268:AV269" si="344">AU268+AT268+AS268+AR268+AQ268</f>
        <v>0.41748539450000005</v>
      </c>
      <c r="AW268" s="34">
        <f t="shared" si="326"/>
        <v>0</v>
      </c>
      <c r="AX268" s="34">
        <f t="shared" si="327"/>
        <v>1.3200000000000001E-5</v>
      </c>
      <c r="AY268" s="34">
        <f t="shared" si="328"/>
        <v>5.5108072074000005E-6</v>
      </c>
      <c r="AZ268" s="289">
        <f>AW268/[1]DB!$B$23</f>
        <v>0</v>
      </c>
      <c r="BA268" s="289">
        <f>AX268/[1]DB!$B$23</f>
        <v>1.5903614457831328E-8</v>
      </c>
    </row>
    <row r="269" spans="1:53" ht="15" thickBot="1" x14ac:dyDescent="0.35">
      <c r="A269" s="8" t="s">
        <v>853</v>
      </c>
      <c r="B269" s="8" t="str">
        <f>B262</f>
        <v>Газопровод наружный,  природный газ</v>
      </c>
      <c r="C269" s="78" t="s">
        <v>111</v>
      </c>
      <c r="D269" s="9" t="s">
        <v>27</v>
      </c>
      <c r="E269" s="66">
        <f>E266</f>
        <v>1.9999999999999999E-6</v>
      </c>
      <c r="F269" s="67">
        <f>F262</f>
        <v>250</v>
      </c>
      <c r="G269" s="8">
        <v>0.93030000000000002</v>
      </c>
      <c r="H269" s="10">
        <f t="shared" si="337"/>
        <v>4.6515E-4</v>
      </c>
      <c r="I269" s="61">
        <f>0.15*I262</f>
        <v>1.35E-2</v>
      </c>
      <c r="J269" s="70">
        <v>0</v>
      </c>
      <c r="K269" s="74"/>
      <c r="L269" s="75"/>
      <c r="M269" s="31" t="str">
        <f t="shared" si="338"/>
        <v>C196</v>
      </c>
      <c r="N269" s="31" t="str">
        <f t="shared" si="339"/>
        <v>Газопровод наружный,  природный газ</v>
      </c>
      <c r="O269" s="31" t="str">
        <f t="shared" si="340"/>
        <v>Частичное-ликвидация</v>
      </c>
      <c r="P269" s="31" t="s">
        <v>46</v>
      </c>
      <c r="Q269" s="31" t="s">
        <v>46</v>
      </c>
      <c r="R269" s="31" t="s">
        <v>46</v>
      </c>
      <c r="S269" s="31" t="s">
        <v>46</v>
      </c>
      <c r="T269" s="31" t="s">
        <v>46</v>
      </c>
      <c r="U269" s="31" t="s">
        <v>46</v>
      </c>
      <c r="V269" s="31" t="s">
        <v>46</v>
      </c>
      <c r="W269" s="31" t="s">
        <v>46</v>
      </c>
      <c r="X269" s="31" t="s">
        <v>46</v>
      </c>
      <c r="Y269" s="31" t="s">
        <v>46</v>
      </c>
      <c r="Z269" s="31" t="s">
        <v>46</v>
      </c>
      <c r="AA269" s="31" t="s">
        <v>46</v>
      </c>
      <c r="AB269" s="31" t="s">
        <v>46</v>
      </c>
      <c r="AC269" s="31" t="s">
        <v>46</v>
      </c>
      <c r="AD269" s="31" t="s">
        <v>46</v>
      </c>
      <c r="AE269" s="31" t="s">
        <v>46</v>
      </c>
      <c r="AF269" s="31" t="s">
        <v>46</v>
      </c>
      <c r="AG269" s="31" t="s">
        <v>46</v>
      </c>
      <c r="AH269" s="31" t="s">
        <v>46</v>
      </c>
      <c r="AI269" s="31" t="s">
        <v>46</v>
      </c>
      <c r="AJ269" s="31">
        <v>0</v>
      </c>
      <c r="AK269" s="31">
        <v>0</v>
      </c>
      <c r="AL269" s="31">
        <f>0.1*$AL$2</f>
        <v>7.5000000000000011E-2</v>
      </c>
      <c r="AM269" s="31">
        <f>AM262</f>
        <v>2.7E-2</v>
      </c>
      <c r="AN269" s="31">
        <f>ROUNDUP(AN262/3,0)</f>
        <v>1</v>
      </c>
      <c r="AO269" s="31"/>
      <c r="AP269" s="31"/>
      <c r="AQ269" s="32">
        <f>AM269*I269*0.1+AL269</f>
        <v>7.5036450000000005E-2</v>
      </c>
      <c r="AR269" s="32">
        <f t="shared" si="341"/>
        <v>7.5036450000000006E-3</v>
      </c>
      <c r="AS269" s="33">
        <f t="shared" si="342"/>
        <v>0</v>
      </c>
      <c r="AT269" s="33">
        <f t="shared" si="343"/>
        <v>2.0635023750000002E-2</v>
      </c>
      <c r="AU269" s="32">
        <f>1333*J268*POWER(10,-6)</f>
        <v>1.7995499999999997E-5</v>
      </c>
      <c r="AV269" s="33">
        <f t="shared" si="344"/>
        <v>0.10319311425000001</v>
      </c>
      <c r="AW269" s="34">
        <f t="shared" si="326"/>
        <v>0</v>
      </c>
      <c r="AX269" s="34">
        <f t="shared" si="327"/>
        <v>0</v>
      </c>
      <c r="AY269" s="34">
        <f t="shared" si="328"/>
        <v>4.8000277093387502E-5</v>
      </c>
      <c r="AZ269" s="289">
        <f>AW269/[1]DB!$B$23</f>
        <v>0</v>
      </c>
      <c r="BA269" s="289">
        <f>AX269/[1]DB!$B$23</f>
        <v>0</v>
      </c>
    </row>
    <row r="270" spans="1:53" x14ac:dyDescent="0.3">
      <c r="A270" s="12"/>
      <c r="B270" s="12"/>
      <c r="C270" s="31"/>
      <c r="D270" s="166"/>
      <c r="E270" s="167"/>
      <c r="F270" s="168"/>
      <c r="G270" s="12"/>
      <c r="H270" s="34"/>
      <c r="I270" s="33"/>
      <c r="J270" s="12"/>
      <c r="K270" s="12"/>
      <c r="L270" s="12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2"/>
      <c r="AR270" s="32"/>
      <c r="AS270" s="33"/>
      <c r="AT270" s="33"/>
      <c r="AU270" s="32"/>
      <c r="AV270" s="33"/>
      <c r="AW270" s="34"/>
      <c r="AX270" s="34"/>
      <c r="AY270" s="34"/>
    </row>
    <row r="271" spans="1:53" ht="15" thickBot="1" x14ac:dyDescent="0.35"/>
    <row r="272" spans="1:53" ht="18" customHeight="1" x14ac:dyDescent="0.3">
      <c r="A272" s="8" t="s">
        <v>854</v>
      </c>
      <c r="B272" s="62" t="s">
        <v>722</v>
      </c>
      <c r="C272" s="78" t="s">
        <v>129</v>
      </c>
      <c r="D272" s="9" t="s">
        <v>130</v>
      </c>
      <c r="E272" s="65">
        <v>2.9999999999999999E-7</v>
      </c>
      <c r="F272" s="62">
        <v>30</v>
      </c>
      <c r="G272" s="8">
        <v>0.2</v>
      </c>
      <c r="H272" s="10">
        <f>E272*F272*G272</f>
        <v>1.8000000000000001E-6</v>
      </c>
      <c r="I272" s="63">
        <v>0.09</v>
      </c>
      <c r="J272" s="68">
        <f>I272</f>
        <v>0.09</v>
      </c>
      <c r="K272" s="71" t="s">
        <v>122</v>
      </c>
      <c r="L272" s="76">
        <v>0</v>
      </c>
      <c r="M272" s="31" t="str">
        <f t="shared" ref="M272:M273" si="345">A272</f>
        <v>C197</v>
      </c>
      <c r="N272" s="31" t="str">
        <f t="shared" ref="N272:N273" si="346">B272</f>
        <v>Газопровод внутренний,  природный газ</v>
      </c>
      <c r="O272" s="31" t="str">
        <f t="shared" ref="O272:O273" si="347">D272</f>
        <v>Полное-факел</v>
      </c>
      <c r="P272" s="31" t="s">
        <v>46</v>
      </c>
      <c r="Q272" s="31" t="s">
        <v>46</v>
      </c>
      <c r="R272" s="31" t="s">
        <v>46</v>
      </c>
      <c r="S272" s="31" t="s">
        <v>46</v>
      </c>
      <c r="T272" s="31" t="s">
        <v>46</v>
      </c>
      <c r="U272" s="31" t="s">
        <v>46</v>
      </c>
      <c r="V272" s="31" t="s">
        <v>46</v>
      </c>
      <c r="W272" s="31" t="s">
        <v>46</v>
      </c>
      <c r="X272" s="31" t="s">
        <v>46</v>
      </c>
      <c r="Y272" s="31">
        <v>13</v>
      </c>
      <c r="Z272" s="31">
        <v>2</v>
      </c>
      <c r="AA272" s="31" t="s">
        <v>46</v>
      </c>
      <c r="AB272" s="31" t="s">
        <v>46</v>
      </c>
      <c r="AC272" s="31" t="s">
        <v>46</v>
      </c>
      <c r="AD272" s="31" t="s">
        <v>46</v>
      </c>
      <c r="AE272" s="31" t="s">
        <v>46</v>
      </c>
      <c r="AF272" s="31" t="s">
        <v>46</v>
      </c>
      <c r="AG272" s="31" t="s">
        <v>46</v>
      </c>
      <c r="AH272" s="31" t="s">
        <v>46</v>
      </c>
      <c r="AI272" s="31" t="s">
        <v>46</v>
      </c>
      <c r="AJ272" s="12">
        <v>1</v>
      </c>
      <c r="AK272" s="12">
        <v>2</v>
      </c>
      <c r="AL272" s="64">
        <v>0.75</v>
      </c>
      <c r="AM272" s="64">
        <v>2.7E-2</v>
      </c>
      <c r="AN272" s="64">
        <v>3</v>
      </c>
      <c r="AO272" s="31"/>
      <c r="AP272" s="31"/>
      <c r="AQ272" s="32">
        <f>AM272*I272+AL272</f>
        <v>0.75243000000000004</v>
      </c>
      <c r="AR272" s="32">
        <f>0.1*AQ272</f>
        <v>7.5243000000000004E-2</v>
      </c>
      <c r="AS272" s="33">
        <f>AJ272*3+0.25*AK272</f>
        <v>3.5</v>
      </c>
      <c r="AT272" s="33">
        <f>SUM(AQ272:AS272)/4</f>
        <v>1.08191825</v>
      </c>
      <c r="AU272" s="32">
        <f>10068.2*J272*POWER(10,-6)</f>
        <v>9.0613800000000002E-4</v>
      </c>
      <c r="AV272" s="33">
        <f t="shared" ref="AV272:AV273" si="348">AU272+AT272+AS272+AR272+AQ272</f>
        <v>5.4104973880000005</v>
      </c>
      <c r="AW272" s="34">
        <f>AJ272*H272</f>
        <v>1.8000000000000001E-6</v>
      </c>
      <c r="AX272" s="34">
        <f>H272*AK272</f>
        <v>3.6000000000000003E-6</v>
      </c>
      <c r="AY272" s="34">
        <f>H272*AV272</f>
        <v>9.7388952984000009E-6</v>
      </c>
      <c r="AZ272" s="289">
        <f>AW272/[1]DB!$B$23</f>
        <v>2.1686746987951808E-9</v>
      </c>
      <c r="BA272" s="289">
        <f>AX272/[1]DB!$B$23</f>
        <v>4.3373493975903616E-9</v>
      </c>
    </row>
    <row r="273" spans="1:53" x14ac:dyDescent="0.3">
      <c r="A273" s="8" t="s">
        <v>855</v>
      </c>
      <c r="B273" s="8" t="str">
        <f>B272</f>
        <v>Газопровод внутренний,  природный газ</v>
      </c>
      <c r="C273" s="78" t="s">
        <v>107</v>
      </c>
      <c r="D273" s="9" t="s">
        <v>28</v>
      </c>
      <c r="E273" s="66">
        <f>E272</f>
        <v>2.9999999999999999E-7</v>
      </c>
      <c r="F273" s="67">
        <f>F272</f>
        <v>30</v>
      </c>
      <c r="G273" s="8">
        <v>0.1152</v>
      </c>
      <c r="H273" s="10">
        <f t="shared" ref="H273" si="349">E273*F273*G273</f>
        <v>1.0368E-6</v>
      </c>
      <c r="I273" s="61">
        <f>I272</f>
        <v>0.09</v>
      </c>
      <c r="J273" s="79">
        <f>0.5*I272</f>
        <v>4.4999999999999998E-2</v>
      </c>
      <c r="K273" s="73" t="s">
        <v>123</v>
      </c>
      <c r="L273" s="77">
        <v>1</v>
      </c>
      <c r="M273" s="31" t="str">
        <f t="shared" si="345"/>
        <v>C198</v>
      </c>
      <c r="N273" s="31" t="str">
        <f t="shared" si="346"/>
        <v>Газопровод внутренний,  природный газ</v>
      </c>
      <c r="O273" s="31" t="str">
        <f t="shared" si="347"/>
        <v>Полное-взрыв</v>
      </c>
      <c r="P273" s="31" t="s">
        <v>46</v>
      </c>
      <c r="Q273" s="31" t="s">
        <v>46</v>
      </c>
      <c r="R273" s="31" t="s">
        <v>46</v>
      </c>
      <c r="S273" s="31" t="s">
        <v>46</v>
      </c>
      <c r="T273" s="31">
        <v>0</v>
      </c>
      <c r="U273" s="31">
        <v>0</v>
      </c>
      <c r="V273" s="31">
        <v>27.1</v>
      </c>
      <c r="W273" s="31">
        <v>90.1</v>
      </c>
      <c r="X273" s="31">
        <v>131.1</v>
      </c>
      <c r="Y273" s="31" t="s">
        <v>46</v>
      </c>
      <c r="Z273" s="31" t="s">
        <v>46</v>
      </c>
      <c r="AA273" s="31" t="s">
        <v>46</v>
      </c>
      <c r="AB273" s="31" t="s">
        <v>46</v>
      </c>
      <c r="AC273" s="31" t="s">
        <v>46</v>
      </c>
      <c r="AD273" s="31" t="s">
        <v>46</v>
      </c>
      <c r="AE273" s="31" t="s">
        <v>46</v>
      </c>
      <c r="AF273" s="31" t="s">
        <v>46</v>
      </c>
      <c r="AG273" s="31" t="s">
        <v>46</v>
      </c>
      <c r="AH273" s="31" t="s">
        <v>46</v>
      </c>
      <c r="AI273" s="31" t="s">
        <v>46</v>
      </c>
      <c r="AJ273" s="12">
        <v>2</v>
      </c>
      <c r="AK273" s="12">
        <v>2</v>
      </c>
      <c r="AL273" s="31">
        <f>AL272</f>
        <v>0.75</v>
      </c>
      <c r="AM273" s="31">
        <f>AM272</f>
        <v>2.7E-2</v>
      </c>
      <c r="AN273" s="31">
        <f>AN272</f>
        <v>3</v>
      </c>
      <c r="AO273" s="31"/>
      <c r="AP273" s="31"/>
      <c r="AQ273" s="32">
        <f>AM273*I273+AL273</f>
        <v>0.75243000000000004</v>
      </c>
      <c r="AR273" s="32">
        <f t="shared" ref="AR273" si="350">0.1*AQ273</f>
        <v>7.5243000000000004E-2</v>
      </c>
      <c r="AS273" s="33">
        <f t="shared" ref="AS273" si="351">AJ273*3+0.25*AK273</f>
        <v>6.5</v>
      </c>
      <c r="AT273" s="33">
        <f t="shared" ref="AT273" si="352">SUM(AQ273:AS273)/4</f>
        <v>1.83191825</v>
      </c>
      <c r="AU273" s="32">
        <f>10068.2*J273*POWER(10,-6)*10</f>
        <v>4.5306900000000004E-3</v>
      </c>
      <c r="AV273" s="33">
        <f t="shared" si="348"/>
        <v>9.1641219400000011</v>
      </c>
      <c r="AW273" s="34">
        <f t="shared" ref="AW273:AW279" si="353">AJ273*H273</f>
        <v>2.0735999999999999E-6</v>
      </c>
      <c r="AX273" s="34">
        <f t="shared" ref="AX273:AX279" si="354">H273*AK273</f>
        <v>2.0735999999999999E-6</v>
      </c>
      <c r="AY273" s="34">
        <f t="shared" ref="AY273:AY279" si="355">H273*AV273</f>
        <v>9.5013616273920001E-6</v>
      </c>
      <c r="AZ273" s="289">
        <f>AW273/[1]DB!$B$23</f>
        <v>2.498313253012048E-9</v>
      </c>
      <c r="BA273" s="289">
        <f>AX273/[1]DB!$B$23</f>
        <v>2.498313253012048E-9</v>
      </c>
    </row>
    <row r="274" spans="1:53" x14ac:dyDescent="0.3">
      <c r="A274" s="8" t="s">
        <v>856</v>
      </c>
      <c r="B274" s="8" t="str">
        <f>B272</f>
        <v>Газопровод внутренний,  природный газ</v>
      </c>
      <c r="C274" s="78" t="s">
        <v>131</v>
      </c>
      <c r="D274" s="9" t="s">
        <v>132</v>
      </c>
      <c r="E274" s="66">
        <f>E272</f>
        <v>2.9999999999999999E-7</v>
      </c>
      <c r="F274" s="67">
        <f>F272</f>
        <v>30</v>
      </c>
      <c r="G274" s="8">
        <v>7.6799999999999993E-2</v>
      </c>
      <c r="H274" s="10">
        <f>E274*F274*G274</f>
        <v>6.9119999999999994E-7</v>
      </c>
      <c r="I274" s="61">
        <f>I272</f>
        <v>0.09</v>
      </c>
      <c r="J274" s="68">
        <f>I272</f>
        <v>0.09</v>
      </c>
      <c r="K274" s="73" t="s">
        <v>124</v>
      </c>
      <c r="L274" s="77">
        <v>0</v>
      </c>
      <c r="M274" s="31" t="str">
        <f>A274</f>
        <v>C199</v>
      </c>
      <c r="N274" s="31" t="str">
        <f>B274</f>
        <v>Газопровод внутренний,  природный газ</v>
      </c>
      <c r="O274" s="31" t="str">
        <f>D274</f>
        <v>Полное-вспышка</v>
      </c>
      <c r="P274" s="31" t="s">
        <v>46</v>
      </c>
      <c r="Q274" s="31" t="s">
        <v>46</v>
      </c>
      <c r="R274" s="31" t="s">
        <v>46</v>
      </c>
      <c r="S274" s="31" t="s">
        <v>46</v>
      </c>
      <c r="T274" s="31" t="s">
        <v>46</v>
      </c>
      <c r="U274" s="31" t="s">
        <v>46</v>
      </c>
      <c r="V274" s="31" t="s">
        <v>46</v>
      </c>
      <c r="W274" s="31" t="s">
        <v>46</v>
      </c>
      <c r="X274" s="31" t="s">
        <v>46</v>
      </c>
      <c r="Y274" s="31" t="s">
        <v>46</v>
      </c>
      <c r="Z274" s="31" t="s">
        <v>46</v>
      </c>
      <c r="AA274" s="31">
        <v>15.14</v>
      </c>
      <c r="AB274" s="31">
        <v>18.170000000000002</v>
      </c>
      <c r="AC274" s="31" t="s">
        <v>46</v>
      </c>
      <c r="AD274" s="31" t="s">
        <v>46</v>
      </c>
      <c r="AE274" s="31" t="s">
        <v>46</v>
      </c>
      <c r="AF274" s="31" t="s">
        <v>46</v>
      </c>
      <c r="AG274" s="31" t="s">
        <v>46</v>
      </c>
      <c r="AH274" s="31" t="s">
        <v>46</v>
      </c>
      <c r="AI274" s="31" t="s">
        <v>46</v>
      </c>
      <c r="AJ274" s="31">
        <v>0</v>
      </c>
      <c r="AK274" s="31">
        <v>0</v>
      </c>
      <c r="AL274" s="31">
        <f>AL272</f>
        <v>0.75</v>
      </c>
      <c r="AM274" s="31">
        <f>AM272</f>
        <v>2.7E-2</v>
      </c>
      <c r="AN274" s="31">
        <f>AN272</f>
        <v>3</v>
      </c>
      <c r="AO274" s="31"/>
      <c r="AP274" s="31"/>
      <c r="AQ274" s="32">
        <f>AM274*I274*0.1+AL274</f>
        <v>0.75024299999999999</v>
      </c>
      <c r="AR274" s="32">
        <f>0.1*AQ274</f>
        <v>7.5024300000000002E-2</v>
      </c>
      <c r="AS274" s="33">
        <f>AJ274*3+0.25*AK274</f>
        <v>0</v>
      </c>
      <c r="AT274" s="33">
        <f>SUM(AQ274:AS274)/4</f>
        <v>0.20631682500000001</v>
      </c>
      <c r="AU274" s="32">
        <f>1333*J272*POWER(10,-6)</f>
        <v>1.1996999999999999E-4</v>
      </c>
      <c r="AV274" s="33">
        <f>AU274+AT274+AS274+AR274+AQ274</f>
        <v>1.031704095</v>
      </c>
      <c r="AW274" s="34">
        <f t="shared" si="353"/>
        <v>0</v>
      </c>
      <c r="AX274" s="34">
        <f t="shared" si="354"/>
        <v>0</v>
      </c>
      <c r="AY274" s="34">
        <f t="shared" si="355"/>
        <v>7.1311387046400001E-7</v>
      </c>
      <c r="AZ274" s="289">
        <f>AW274/[1]DB!$B$23</f>
        <v>0</v>
      </c>
      <c r="BA274" s="289">
        <f>AX274/[1]DB!$B$23</f>
        <v>0</v>
      </c>
    </row>
    <row r="275" spans="1:53" x14ac:dyDescent="0.3">
      <c r="A275" s="8" t="s">
        <v>857</v>
      </c>
      <c r="B275" s="8" t="str">
        <f>B272</f>
        <v>Газопровод внутренний,  природный газ</v>
      </c>
      <c r="C275" s="78" t="s">
        <v>108</v>
      </c>
      <c r="D275" s="9" t="s">
        <v>26</v>
      </c>
      <c r="E275" s="66">
        <f>E272</f>
        <v>2.9999999999999999E-7</v>
      </c>
      <c r="F275" s="67">
        <f>F272</f>
        <v>30</v>
      </c>
      <c r="G275" s="8">
        <v>0.60799999999999998</v>
      </c>
      <c r="H275" s="10">
        <f t="shared" ref="H275:H276" si="356">E275*F275*G275</f>
        <v>5.4720000000000003E-6</v>
      </c>
      <c r="I275" s="61">
        <f>I272</f>
        <v>0.09</v>
      </c>
      <c r="J275" s="70">
        <v>0</v>
      </c>
      <c r="K275" s="73" t="s">
        <v>126</v>
      </c>
      <c r="L275" s="77">
        <v>45390</v>
      </c>
      <c r="M275" s="31" t="str">
        <f t="shared" ref="M275:M276" si="357">A275</f>
        <v>C200</v>
      </c>
      <c r="N275" s="31" t="str">
        <f t="shared" ref="N275:N276" si="358">B275</f>
        <v>Газопровод внутренний,  природный газ</v>
      </c>
      <c r="O275" s="31" t="str">
        <f t="shared" ref="O275:O276" si="359">D275</f>
        <v>Полное-ликвидация</v>
      </c>
      <c r="P275" s="31" t="s">
        <v>46</v>
      </c>
      <c r="Q275" s="31" t="s">
        <v>46</v>
      </c>
      <c r="R275" s="31" t="s">
        <v>46</v>
      </c>
      <c r="S275" s="31" t="s">
        <v>46</v>
      </c>
      <c r="T275" s="31" t="s">
        <v>46</v>
      </c>
      <c r="U275" s="31" t="s">
        <v>46</v>
      </c>
      <c r="V275" s="31" t="s">
        <v>46</v>
      </c>
      <c r="W275" s="31" t="s">
        <v>46</v>
      </c>
      <c r="X275" s="31" t="s">
        <v>46</v>
      </c>
      <c r="Y275" s="31" t="s">
        <v>46</v>
      </c>
      <c r="Z275" s="31" t="s">
        <v>46</v>
      </c>
      <c r="AA275" s="31" t="s">
        <v>46</v>
      </c>
      <c r="AB275" s="31" t="s">
        <v>46</v>
      </c>
      <c r="AC275" s="31" t="s">
        <v>46</v>
      </c>
      <c r="AD275" s="31" t="s">
        <v>46</v>
      </c>
      <c r="AE275" s="31" t="s">
        <v>46</v>
      </c>
      <c r="AF275" s="31" t="s">
        <v>46</v>
      </c>
      <c r="AG275" s="31" t="s">
        <v>46</v>
      </c>
      <c r="AH275" s="31" t="s">
        <v>46</v>
      </c>
      <c r="AI275" s="31" t="s">
        <v>46</v>
      </c>
      <c r="AJ275" s="31">
        <v>0</v>
      </c>
      <c r="AK275" s="31">
        <v>0</v>
      </c>
      <c r="AL275" s="31">
        <f>AL272</f>
        <v>0.75</v>
      </c>
      <c r="AM275" s="31">
        <f>AM272</f>
        <v>2.7E-2</v>
      </c>
      <c r="AN275" s="31">
        <f>AN272</f>
        <v>3</v>
      </c>
      <c r="AO275" s="31"/>
      <c r="AP275" s="31"/>
      <c r="AQ275" s="32">
        <f>AM275*I275*0.1+AL275</f>
        <v>0.75024299999999999</v>
      </c>
      <c r="AR275" s="32">
        <f t="shared" ref="AR275:AR276" si="360">0.1*AQ275</f>
        <v>7.5024300000000002E-2</v>
      </c>
      <c r="AS275" s="33">
        <f t="shared" ref="AS275:AS276" si="361">AJ275*3+0.25*AK275</f>
        <v>0</v>
      </c>
      <c r="AT275" s="33">
        <f t="shared" ref="AT275:AT276" si="362">SUM(AQ275:AS275)/4</f>
        <v>0.20631682500000001</v>
      </c>
      <c r="AU275" s="32">
        <f>1333*J273*POWER(10,-6)</f>
        <v>5.9984999999999996E-5</v>
      </c>
      <c r="AV275" s="33">
        <f t="shared" ref="AV275:AV276" si="363">AU275+AT275+AS275+AR275+AQ275</f>
        <v>1.03164411</v>
      </c>
      <c r="AW275" s="34">
        <f t="shared" si="353"/>
        <v>0</v>
      </c>
      <c r="AX275" s="34">
        <f t="shared" si="354"/>
        <v>0</v>
      </c>
      <c r="AY275" s="34">
        <f t="shared" si="355"/>
        <v>5.6451565699200007E-6</v>
      </c>
      <c r="AZ275" s="289">
        <f>AW275/[1]DB!$B$23</f>
        <v>0</v>
      </c>
      <c r="BA275" s="289">
        <f>AX275/[1]DB!$B$23</f>
        <v>0</v>
      </c>
    </row>
    <row r="276" spans="1:53" x14ac:dyDescent="0.3">
      <c r="A276" s="8" t="s">
        <v>858</v>
      </c>
      <c r="B276" s="8" t="str">
        <f>B272</f>
        <v>Газопровод внутренний,  природный газ</v>
      </c>
      <c r="C276" s="78" t="s">
        <v>133</v>
      </c>
      <c r="D276" s="9" t="s">
        <v>134</v>
      </c>
      <c r="E276" s="65">
        <v>1.9999999999999999E-6</v>
      </c>
      <c r="F276" s="67">
        <f>F272</f>
        <v>30</v>
      </c>
      <c r="G276" s="8">
        <v>3.5000000000000003E-2</v>
      </c>
      <c r="H276" s="10">
        <f t="shared" si="356"/>
        <v>2.1000000000000002E-6</v>
      </c>
      <c r="I276" s="61">
        <f>0.15*I272</f>
        <v>1.35E-2</v>
      </c>
      <c r="J276" s="68">
        <f>I276</f>
        <v>1.35E-2</v>
      </c>
      <c r="K276" s="73" t="s">
        <v>127</v>
      </c>
      <c r="L276" s="77">
        <v>3</v>
      </c>
      <c r="M276" s="31" t="str">
        <f t="shared" si="357"/>
        <v>C201</v>
      </c>
      <c r="N276" s="31" t="str">
        <f t="shared" si="358"/>
        <v>Газопровод внутренний,  природный газ</v>
      </c>
      <c r="O276" s="31" t="str">
        <f t="shared" si="359"/>
        <v>Частичное-факел</v>
      </c>
      <c r="P276" s="31" t="s">
        <v>46</v>
      </c>
      <c r="Q276" s="31" t="s">
        <v>46</v>
      </c>
      <c r="R276" s="31" t="s">
        <v>46</v>
      </c>
      <c r="S276" s="31" t="s">
        <v>46</v>
      </c>
      <c r="T276" s="31" t="s">
        <v>46</v>
      </c>
      <c r="U276" s="31" t="s">
        <v>46</v>
      </c>
      <c r="V276" s="31" t="s">
        <v>46</v>
      </c>
      <c r="W276" s="31" t="s">
        <v>46</v>
      </c>
      <c r="X276" s="31" t="s">
        <v>46</v>
      </c>
      <c r="Y276" s="31">
        <v>8</v>
      </c>
      <c r="Z276" s="31">
        <v>2</v>
      </c>
      <c r="AA276" s="31" t="s">
        <v>46</v>
      </c>
      <c r="AB276" s="31" t="s">
        <v>46</v>
      </c>
      <c r="AC276" s="31" t="s">
        <v>46</v>
      </c>
      <c r="AD276" s="31" t="s">
        <v>46</v>
      </c>
      <c r="AE276" s="31" t="s">
        <v>46</v>
      </c>
      <c r="AF276" s="31" t="s">
        <v>46</v>
      </c>
      <c r="AG276" s="31" t="s">
        <v>46</v>
      </c>
      <c r="AH276" s="31" t="s">
        <v>46</v>
      </c>
      <c r="AI276" s="31" t="s">
        <v>46</v>
      </c>
      <c r="AJ276" s="31">
        <v>0</v>
      </c>
      <c r="AK276" s="31">
        <v>2</v>
      </c>
      <c r="AL276" s="31">
        <f>0.1*$AL$2</f>
        <v>7.5000000000000011E-2</v>
      </c>
      <c r="AM276" s="31">
        <f>AM272</f>
        <v>2.7E-2</v>
      </c>
      <c r="AN276" s="31">
        <f>ROUNDUP(AN272/3,0)</f>
        <v>1</v>
      </c>
      <c r="AO276" s="31"/>
      <c r="AP276" s="31"/>
      <c r="AQ276" s="32">
        <f>AM276*I276+AL276</f>
        <v>7.5364500000000015E-2</v>
      </c>
      <c r="AR276" s="32">
        <f t="shared" si="360"/>
        <v>7.5364500000000018E-3</v>
      </c>
      <c r="AS276" s="33">
        <f t="shared" si="361"/>
        <v>0.5</v>
      </c>
      <c r="AT276" s="33">
        <f t="shared" si="362"/>
        <v>0.14572523749999999</v>
      </c>
      <c r="AU276" s="32">
        <f>10068.2*J276*POWER(10,-6)</f>
        <v>1.3592070000000001E-4</v>
      </c>
      <c r="AV276" s="33">
        <f t="shared" si="363"/>
        <v>0.72876210820000009</v>
      </c>
      <c r="AW276" s="34">
        <f t="shared" si="353"/>
        <v>0</v>
      </c>
      <c r="AX276" s="34">
        <f t="shared" si="354"/>
        <v>4.2000000000000004E-6</v>
      </c>
      <c r="AY276" s="34">
        <f t="shared" si="355"/>
        <v>1.5304004272200005E-6</v>
      </c>
      <c r="AZ276" s="289">
        <f>AW276/[1]DB!$B$23</f>
        <v>0</v>
      </c>
      <c r="BA276" s="289">
        <f>AX276/[1]DB!$B$23</f>
        <v>5.0602409638554219E-9</v>
      </c>
    </row>
    <row r="277" spans="1:53" x14ac:dyDescent="0.3">
      <c r="A277" s="8" t="s">
        <v>859</v>
      </c>
      <c r="B277" s="8" t="str">
        <f>B272</f>
        <v>Газопровод внутренний,  природный газ</v>
      </c>
      <c r="C277" s="78" t="s">
        <v>135</v>
      </c>
      <c r="D277" s="9" t="s">
        <v>136</v>
      </c>
      <c r="E277" s="66">
        <f>E276</f>
        <v>1.9999999999999999E-6</v>
      </c>
      <c r="F277" s="67">
        <f>F273</f>
        <v>30</v>
      </c>
      <c r="G277" s="8">
        <v>8.3000000000000001E-3</v>
      </c>
      <c r="H277" s="10">
        <f>E277*F277*G277</f>
        <v>4.9799999999999993E-7</v>
      </c>
      <c r="I277" s="61">
        <f>I276</f>
        <v>1.35E-2</v>
      </c>
      <c r="J277" s="68">
        <f>I277</f>
        <v>1.35E-2</v>
      </c>
      <c r="K277" s="72" t="s">
        <v>138</v>
      </c>
      <c r="L277" s="129">
        <v>4</v>
      </c>
      <c r="M277" s="31" t="str">
        <f>A277</f>
        <v>C202</v>
      </c>
      <c r="N277" s="31" t="str">
        <f>B277</f>
        <v>Газопровод внутренний,  природный газ</v>
      </c>
      <c r="O277" s="31" t="str">
        <f>D277</f>
        <v>Частичное-взрыв</v>
      </c>
      <c r="P277" s="31" t="s">
        <v>46</v>
      </c>
      <c r="Q277" s="31" t="s">
        <v>46</v>
      </c>
      <c r="R277" s="31" t="s">
        <v>46</v>
      </c>
      <c r="S277" s="31" t="s">
        <v>46</v>
      </c>
      <c r="T277" s="31">
        <v>0</v>
      </c>
      <c r="U277" s="31">
        <v>0</v>
      </c>
      <c r="V277" s="31">
        <v>18.100000000000001</v>
      </c>
      <c r="W277" s="31">
        <v>60.1</v>
      </c>
      <c r="X277" s="31">
        <v>87.6</v>
      </c>
      <c r="Y277" s="31" t="s">
        <v>46</v>
      </c>
      <c r="Z277" s="31" t="s">
        <v>46</v>
      </c>
      <c r="AA277" s="31" t="s">
        <v>46</v>
      </c>
      <c r="AB277" s="31" t="s">
        <v>46</v>
      </c>
      <c r="AC277" s="31" t="s">
        <v>46</v>
      </c>
      <c r="AD277" s="31" t="s">
        <v>46</v>
      </c>
      <c r="AE277" s="31" t="s">
        <v>46</v>
      </c>
      <c r="AF277" s="31" t="s">
        <v>46</v>
      </c>
      <c r="AG277" s="31" t="s">
        <v>46</v>
      </c>
      <c r="AH277" s="31" t="s">
        <v>46</v>
      </c>
      <c r="AI277" s="31" t="s">
        <v>46</v>
      </c>
      <c r="AJ277" s="31">
        <v>0</v>
      </c>
      <c r="AK277" s="31">
        <v>1</v>
      </c>
      <c r="AL277" s="31">
        <f>0.1*$AL$2</f>
        <v>7.5000000000000011E-2</v>
      </c>
      <c r="AM277" s="31">
        <f>AM272</f>
        <v>2.7E-2</v>
      </c>
      <c r="AN277" s="31">
        <f>AN276</f>
        <v>1</v>
      </c>
      <c r="AO277" s="31"/>
      <c r="AP277" s="31"/>
      <c r="AQ277" s="32">
        <f>AM277*I277+AL277</f>
        <v>7.5364500000000015E-2</v>
      </c>
      <c r="AR277" s="32">
        <f>0.1*AQ277</f>
        <v>7.5364500000000018E-3</v>
      </c>
      <c r="AS277" s="33">
        <f>AJ277*3+0.25*AK277</f>
        <v>0.25</v>
      </c>
      <c r="AT277" s="33">
        <f>SUM(AQ277:AS277)/4</f>
        <v>8.3225237500000007E-2</v>
      </c>
      <c r="AU277" s="32">
        <f>10068.2*J277*POWER(10,-6)*10</f>
        <v>1.3592070000000001E-3</v>
      </c>
      <c r="AV277" s="33">
        <f>AU277+AT277+AS277+AR277+AQ277</f>
        <v>0.41748539450000005</v>
      </c>
      <c r="AW277" s="34">
        <f t="shared" si="353"/>
        <v>0</v>
      </c>
      <c r="AX277" s="34">
        <f t="shared" si="354"/>
        <v>4.9799999999999993E-7</v>
      </c>
      <c r="AY277" s="34">
        <f t="shared" si="355"/>
        <v>2.0790772646100001E-7</v>
      </c>
      <c r="AZ277" s="289">
        <f>AW277/[1]DB!$B$23</f>
        <v>0</v>
      </c>
      <c r="BA277" s="289">
        <f>AX277/[1]DB!$B$23</f>
        <v>5.9999999999999989E-10</v>
      </c>
    </row>
    <row r="278" spans="1:53" x14ac:dyDescent="0.3">
      <c r="A278" s="8" t="s">
        <v>860</v>
      </c>
      <c r="B278" s="8" t="str">
        <f>B272</f>
        <v>Газопровод внутренний,  природный газ</v>
      </c>
      <c r="C278" s="78" t="s">
        <v>110</v>
      </c>
      <c r="D278" s="9" t="s">
        <v>112</v>
      </c>
      <c r="E278" s="66">
        <f>E276</f>
        <v>1.9999999999999999E-6</v>
      </c>
      <c r="F278" s="67">
        <f>F272</f>
        <v>30</v>
      </c>
      <c r="G278" s="8">
        <v>2.64E-2</v>
      </c>
      <c r="H278" s="10">
        <f t="shared" ref="H278:H279" si="364">E278*F278*G278</f>
        <v>1.5839999999999998E-6</v>
      </c>
      <c r="I278" s="61">
        <f>0.15*I272</f>
        <v>1.35E-2</v>
      </c>
      <c r="J278" s="68">
        <f>J274*0.15</f>
        <v>1.35E-2</v>
      </c>
      <c r="K278" s="334" t="s">
        <v>466</v>
      </c>
      <c r="L278" s="287" t="s">
        <v>641</v>
      </c>
      <c r="M278" s="31" t="str">
        <f t="shared" ref="M278:M279" si="365">A278</f>
        <v>C203</v>
      </c>
      <c r="N278" s="31" t="str">
        <f t="shared" ref="N278:N279" si="366">B278</f>
        <v>Газопровод внутренний,  природный газ</v>
      </c>
      <c r="O278" s="31" t="str">
        <f t="shared" ref="O278:O279" si="367">D278</f>
        <v>Частичное-пожар-вспышка</v>
      </c>
      <c r="P278" s="31" t="s">
        <v>46</v>
      </c>
      <c r="Q278" s="31" t="s">
        <v>46</v>
      </c>
      <c r="R278" s="31" t="s">
        <v>46</v>
      </c>
      <c r="S278" s="31" t="s">
        <v>46</v>
      </c>
      <c r="T278" s="31" t="s">
        <v>46</v>
      </c>
      <c r="U278" s="31" t="s">
        <v>46</v>
      </c>
      <c r="V278" s="31" t="s">
        <v>46</v>
      </c>
      <c r="W278" s="31" t="s">
        <v>46</v>
      </c>
      <c r="X278" s="31" t="s">
        <v>46</v>
      </c>
      <c r="Y278" s="31" t="s">
        <v>46</v>
      </c>
      <c r="Z278" s="31" t="s">
        <v>46</v>
      </c>
      <c r="AA278" s="31">
        <v>8.1</v>
      </c>
      <c r="AB278" s="31">
        <v>9.7200000000000006</v>
      </c>
      <c r="AC278" s="31" t="s">
        <v>46</v>
      </c>
      <c r="AD278" s="31" t="s">
        <v>46</v>
      </c>
      <c r="AE278" s="31" t="s">
        <v>46</v>
      </c>
      <c r="AF278" s="31" t="s">
        <v>46</v>
      </c>
      <c r="AG278" s="31" t="s">
        <v>46</v>
      </c>
      <c r="AH278" s="31" t="s">
        <v>46</v>
      </c>
      <c r="AI278" s="31" t="s">
        <v>46</v>
      </c>
      <c r="AJ278" s="31">
        <v>0</v>
      </c>
      <c r="AK278" s="31">
        <v>1</v>
      </c>
      <c r="AL278" s="31">
        <f>0.1*$AL$2</f>
        <v>7.5000000000000011E-2</v>
      </c>
      <c r="AM278" s="31">
        <f>AM272</f>
        <v>2.7E-2</v>
      </c>
      <c r="AN278" s="31">
        <f>ROUNDUP(AN272/3,0)</f>
        <v>1</v>
      </c>
      <c r="AO278" s="31"/>
      <c r="AP278" s="31"/>
      <c r="AQ278" s="32">
        <f>AM278*I278+AL278</f>
        <v>7.5364500000000015E-2</v>
      </c>
      <c r="AR278" s="32">
        <f t="shared" ref="AR278:AR279" si="368">0.1*AQ278</f>
        <v>7.5364500000000018E-3</v>
      </c>
      <c r="AS278" s="33">
        <f t="shared" ref="AS278:AS279" si="369">AJ278*3+0.25*AK278</f>
        <v>0.25</v>
      </c>
      <c r="AT278" s="33">
        <f t="shared" ref="AT278:AT279" si="370">SUM(AQ278:AS278)/4</f>
        <v>8.3225237500000007E-2</v>
      </c>
      <c r="AU278" s="32">
        <f>10068.2*J278*POWER(10,-6)*10</f>
        <v>1.3592070000000001E-3</v>
      </c>
      <c r="AV278" s="33">
        <f t="shared" ref="AV278:AV279" si="371">AU278+AT278+AS278+AR278+AQ278</f>
        <v>0.41748539450000005</v>
      </c>
      <c r="AW278" s="34">
        <f t="shared" si="353"/>
        <v>0</v>
      </c>
      <c r="AX278" s="34">
        <f t="shared" si="354"/>
        <v>1.5839999999999998E-6</v>
      </c>
      <c r="AY278" s="34">
        <f t="shared" si="355"/>
        <v>6.6129686488799999E-7</v>
      </c>
      <c r="AZ278" s="289">
        <f>AW278/[1]DB!$B$23</f>
        <v>0</v>
      </c>
      <c r="BA278" s="289">
        <f>AX278/[1]DB!$B$23</f>
        <v>1.9084337349397589E-9</v>
      </c>
    </row>
    <row r="279" spans="1:53" ht="15" thickBot="1" x14ac:dyDescent="0.35">
      <c r="A279" s="8" t="s">
        <v>861</v>
      </c>
      <c r="B279" s="8" t="str">
        <f>B272</f>
        <v>Газопровод внутренний,  природный газ</v>
      </c>
      <c r="C279" s="78" t="s">
        <v>111</v>
      </c>
      <c r="D279" s="9" t="s">
        <v>27</v>
      </c>
      <c r="E279" s="66">
        <f>E276</f>
        <v>1.9999999999999999E-6</v>
      </c>
      <c r="F279" s="67">
        <f>F272</f>
        <v>30</v>
      </c>
      <c r="G279" s="8">
        <v>0.93030000000000002</v>
      </c>
      <c r="H279" s="10">
        <f t="shared" si="364"/>
        <v>5.5817999999999993E-5</v>
      </c>
      <c r="I279" s="61">
        <f>0.15*I272</f>
        <v>1.35E-2</v>
      </c>
      <c r="J279" s="70">
        <v>0</v>
      </c>
      <c r="K279" s="74"/>
      <c r="L279" s="75"/>
      <c r="M279" s="31" t="str">
        <f t="shared" si="365"/>
        <v>C204</v>
      </c>
      <c r="N279" s="31" t="str">
        <f t="shared" si="366"/>
        <v>Газопровод внутренний,  природный газ</v>
      </c>
      <c r="O279" s="31" t="str">
        <f t="shared" si="367"/>
        <v>Частичное-ликвидация</v>
      </c>
      <c r="P279" s="31" t="s">
        <v>46</v>
      </c>
      <c r="Q279" s="31" t="s">
        <v>46</v>
      </c>
      <c r="R279" s="31" t="s">
        <v>46</v>
      </c>
      <c r="S279" s="31" t="s">
        <v>46</v>
      </c>
      <c r="T279" s="31" t="s">
        <v>46</v>
      </c>
      <c r="U279" s="31" t="s">
        <v>46</v>
      </c>
      <c r="V279" s="31" t="s">
        <v>46</v>
      </c>
      <c r="W279" s="31" t="s">
        <v>46</v>
      </c>
      <c r="X279" s="31" t="s">
        <v>46</v>
      </c>
      <c r="Y279" s="31" t="s">
        <v>46</v>
      </c>
      <c r="Z279" s="31" t="s">
        <v>46</v>
      </c>
      <c r="AA279" s="31" t="s">
        <v>46</v>
      </c>
      <c r="AB279" s="31" t="s">
        <v>46</v>
      </c>
      <c r="AC279" s="31" t="s">
        <v>46</v>
      </c>
      <c r="AD279" s="31" t="s">
        <v>46</v>
      </c>
      <c r="AE279" s="31" t="s">
        <v>46</v>
      </c>
      <c r="AF279" s="31" t="s">
        <v>46</v>
      </c>
      <c r="AG279" s="31" t="s">
        <v>46</v>
      </c>
      <c r="AH279" s="31" t="s">
        <v>46</v>
      </c>
      <c r="AI279" s="31" t="s">
        <v>46</v>
      </c>
      <c r="AJ279" s="31">
        <v>0</v>
      </c>
      <c r="AK279" s="31">
        <v>0</v>
      </c>
      <c r="AL279" s="31">
        <f>0.1*$AL$2</f>
        <v>7.5000000000000011E-2</v>
      </c>
      <c r="AM279" s="31">
        <f>AM272</f>
        <v>2.7E-2</v>
      </c>
      <c r="AN279" s="31">
        <f>ROUNDUP(AN272/3,0)</f>
        <v>1</v>
      </c>
      <c r="AO279" s="31"/>
      <c r="AP279" s="31"/>
      <c r="AQ279" s="32">
        <f>AM279*I279*0.1+AL279</f>
        <v>7.5036450000000005E-2</v>
      </c>
      <c r="AR279" s="32">
        <f t="shared" si="368"/>
        <v>7.5036450000000006E-3</v>
      </c>
      <c r="AS279" s="33">
        <f t="shared" si="369"/>
        <v>0</v>
      </c>
      <c r="AT279" s="33">
        <f t="shared" si="370"/>
        <v>2.0635023750000002E-2</v>
      </c>
      <c r="AU279" s="32">
        <f>1333*J278*POWER(10,-6)</f>
        <v>1.7995499999999997E-5</v>
      </c>
      <c r="AV279" s="33">
        <f t="shared" si="371"/>
        <v>0.10319311425000001</v>
      </c>
      <c r="AW279" s="34">
        <f t="shared" si="353"/>
        <v>0</v>
      </c>
      <c r="AX279" s="34">
        <f t="shared" si="354"/>
        <v>0</v>
      </c>
      <c r="AY279" s="34">
        <f t="shared" si="355"/>
        <v>5.7600332512065002E-6</v>
      </c>
      <c r="AZ279" s="289">
        <f>AW279/[1]DB!$B$23</f>
        <v>0</v>
      </c>
      <c r="BA279" s="289">
        <f>AX279/[1]DB!$B$23</f>
        <v>0</v>
      </c>
    </row>
    <row r="280" spans="1:53" x14ac:dyDescent="0.3">
      <c r="A280" s="12"/>
      <c r="B280" s="12"/>
      <c r="C280" s="31"/>
      <c r="D280" s="166"/>
      <c r="E280" s="167"/>
      <c r="F280" s="168"/>
      <c r="G280" s="12"/>
      <c r="H280" s="34"/>
      <c r="I280" s="33"/>
      <c r="J280" s="12"/>
      <c r="K280" s="12"/>
      <c r="L280" s="12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2"/>
      <c r="AR280" s="32"/>
      <c r="AS280" s="33"/>
      <c r="AT280" s="33"/>
      <c r="AU280" s="32"/>
      <c r="AV280" s="33"/>
      <c r="AW280" s="34"/>
      <c r="AX280" s="34"/>
      <c r="AY280" s="34"/>
    </row>
    <row r="281" spans="1:53" ht="15" thickBot="1" x14ac:dyDescent="0.35"/>
    <row r="282" spans="1:53" s="356" customFormat="1" ht="15" thickBot="1" x14ac:dyDescent="0.35">
      <c r="A282" s="346" t="s">
        <v>18</v>
      </c>
      <c r="B282" s="347" t="s">
        <v>864</v>
      </c>
      <c r="C282" s="348" t="s">
        <v>106</v>
      </c>
      <c r="D282" s="349" t="s">
        <v>25</v>
      </c>
      <c r="E282" s="350">
        <v>1.0000000000000001E-5</v>
      </c>
      <c r="F282" s="347">
        <v>1</v>
      </c>
      <c r="G282" s="346">
        <v>0.2</v>
      </c>
      <c r="H282" s="351">
        <f t="shared" ref="H282:H287" si="372">E282*F282*G282</f>
        <v>2.0000000000000003E-6</v>
      </c>
      <c r="I282" s="352">
        <v>8.75</v>
      </c>
      <c r="J282" s="353">
        <f>I282</f>
        <v>8.75</v>
      </c>
      <c r="K282" s="354" t="s">
        <v>122</v>
      </c>
      <c r="L282" s="355">
        <v>300</v>
      </c>
      <c r="M282" s="356" t="str">
        <f t="shared" ref="M282:N287" si="373">A282</f>
        <v>С1</v>
      </c>
      <c r="N282" s="356" t="str">
        <f t="shared" si="373"/>
        <v>Трубопровод ЛВЖ_откр</v>
      </c>
      <c r="O282" s="356" t="str">
        <f t="shared" ref="O282:O287" si="374">D282</f>
        <v>Полное-пожар</v>
      </c>
      <c r="P282" s="356">
        <v>14</v>
      </c>
      <c r="Q282" s="356">
        <v>19.600000000000001</v>
      </c>
      <c r="R282" s="356">
        <v>28.4</v>
      </c>
      <c r="S282" s="356">
        <v>54.1</v>
      </c>
      <c r="T282" s="356" t="s">
        <v>46</v>
      </c>
      <c r="U282" s="356" t="s">
        <v>46</v>
      </c>
      <c r="V282" s="356" t="s">
        <v>46</v>
      </c>
      <c r="W282" s="356" t="s">
        <v>46</v>
      </c>
      <c r="X282" s="356" t="s">
        <v>46</v>
      </c>
      <c r="Y282" s="356" t="s">
        <v>46</v>
      </c>
      <c r="Z282" s="356" t="s">
        <v>46</v>
      </c>
      <c r="AA282" s="356" t="s">
        <v>46</v>
      </c>
      <c r="AB282" s="356" t="s">
        <v>46</v>
      </c>
      <c r="AC282" s="356" t="s">
        <v>46</v>
      </c>
      <c r="AD282" s="356" t="s">
        <v>46</v>
      </c>
      <c r="AE282" s="356" t="s">
        <v>46</v>
      </c>
      <c r="AF282" s="356" t="s">
        <v>46</v>
      </c>
      <c r="AG282" s="356" t="s">
        <v>46</v>
      </c>
      <c r="AH282" s="356" t="s">
        <v>46</v>
      </c>
      <c r="AI282" s="356" t="s">
        <v>46</v>
      </c>
      <c r="AJ282" s="357">
        <v>1</v>
      </c>
      <c r="AK282" s="357">
        <v>2</v>
      </c>
      <c r="AL282" s="358">
        <v>0.75</v>
      </c>
      <c r="AM282" s="358">
        <v>2.7E-2</v>
      </c>
      <c r="AN282" s="358">
        <v>3</v>
      </c>
      <c r="AQ282" s="359">
        <f>AM282*I282+AL282</f>
        <v>0.98624999999999996</v>
      </c>
      <c r="AR282" s="359">
        <f t="shared" ref="AR282:AR287" si="375">0.1*AQ282</f>
        <v>9.8625000000000004E-2</v>
      </c>
      <c r="AS282" s="360">
        <f t="shared" ref="AS282:AS287" si="376">AJ282*3+0.25*AK282</f>
        <v>3.5</v>
      </c>
      <c r="AT282" s="360">
        <f t="shared" ref="AT282:AT287" si="377">SUM(AQ282:AS282)/4</f>
        <v>1.1462187500000001</v>
      </c>
      <c r="AU282" s="359">
        <f>10068.2*J282*POWER(10,-6)</f>
        <v>8.8096750000000001E-2</v>
      </c>
      <c r="AV282" s="360">
        <f t="shared" ref="AV282:AV287" si="378">AU282+AT282+AS282+AR282+AQ282</f>
        <v>5.8191905000000004</v>
      </c>
      <c r="AW282" s="361">
        <f t="shared" ref="AW282:AW287" si="379">AJ282*H282</f>
        <v>2.0000000000000003E-6</v>
      </c>
      <c r="AX282" s="361">
        <f t="shared" ref="AX282:AX287" si="380">H282*AK282</f>
        <v>4.0000000000000007E-6</v>
      </c>
      <c r="AY282" s="361">
        <f t="shared" ref="AY282:AY287" si="381">H282*AV282</f>
        <v>1.1638381000000003E-5</v>
      </c>
      <c r="AZ282" s="362">
        <f>AW282/DB!$B$23</f>
        <v>2.4096385542168678E-9</v>
      </c>
      <c r="BA282" s="362">
        <f>AX282/DB!$B$23</f>
        <v>4.8192771084337357E-9</v>
      </c>
    </row>
    <row r="283" spans="1:53" s="356" customFormat="1" ht="15" thickBot="1" x14ac:dyDescent="0.35">
      <c r="A283" s="346" t="s">
        <v>19</v>
      </c>
      <c r="B283" s="346" t="str">
        <f>B282</f>
        <v>Трубопровод ЛВЖ_откр</v>
      </c>
      <c r="C283" s="348" t="s">
        <v>862</v>
      </c>
      <c r="D283" s="349" t="s">
        <v>863</v>
      </c>
      <c r="E283" s="363">
        <f>E282</f>
        <v>1.0000000000000001E-5</v>
      </c>
      <c r="F283" s="364">
        <f>F282</f>
        <v>1</v>
      </c>
      <c r="G283" s="346">
        <v>0.04</v>
      </c>
      <c r="H283" s="351">
        <f t="shared" si="372"/>
        <v>4.0000000000000003E-7</v>
      </c>
      <c r="I283" s="365">
        <f>I282</f>
        <v>8.75</v>
      </c>
      <c r="J283" s="380">
        <f>POWER(10,-6)*35*SQRT(100)*3600*L282/1000*0.1</f>
        <v>3.78E-2</v>
      </c>
      <c r="K283" s="354" t="s">
        <v>123</v>
      </c>
      <c r="L283" s="355">
        <v>0</v>
      </c>
      <c r="M283" s="356" t="str">
        <f t="shared" si="373"/>
        <v>С2</v>
      </c>
      <c r="N283" s="356" t="str">
        <f t="shared" si="373"/>
        <v>Трубопровод ЛВЖ_откр</v>
      </c>
      <c r="O283" s="356" t="str">
        <f t="shared" si="374"/>
        <v>Полное-пожар-вспышка</v>
      </c>
      <c r="P283" s="356" t="s">
        <v>46</v>
      </c>
      <c r="Q283" s="356" t="s">
        <v>46</v>
      </c>
      <c r="R283" s="356" t="s">
        <v>46</v>
      </c>
      <c r="S283" s="356" t="s">
        <v>46</v>
      </c>
      <c r="T283" s="356" t="s">
        <v>46</v>
      </c>
      <c r="U283" s="356" t="s">
        <v>46</v>
      </c>
      <c r="V283" s="356" t="s">
        <v>46</v>
      </c>
      <c r="W283" s="356" t="s">
        <v>46</v>
      </c>
      <c r="X283" s="356" t="s">
        <v>46</v>
      </c>
      <c r="Y283" s="356" t="s">
        <v>46</v>
      </c>
      <c r="Z283" s="356" t="s">
        <v>46</v>
      </c>
      <c r="AA283" s="356">
        <v>11.37</v>
      </c>
      <c r="AB283" s="356">
        <v>13.64</v>
      </c>
      <c r="AC283" s="356" t="s">
        <v>46</v>
      </c>
      <c r="AD283" s="356" t="s">
        <v>46</v>
      </c>
      <c r="AE283" s="356" t="s">
        <v>46</v>
      </c>
      <c r="AF283" s="356" t="s">
        <v>46</v>
      </c>
      <c r="AG283" s="356" t="s">
        <v>46</v>
      </c>
      <c r="AH283" s="356" t="s">
        <v>46</v>
      </c>
      <c r="AI283" s="356" t="s">
        <v>46</v>
      </c>
      <c r="AJ283" s="357">
        <v>1</v>
      </c>
      <c r="AK283" s="357">
        <v>2</v>
      </c>
      <c r="AL283" s="356">
        <f>AL282</f>
        <v>0.75</v>
      </c>
      <c r="AM283" s="356">
        <f>AM282</f>
        <v>2.7E-2</v>
      </c>
      <c r="AN283" s="356">
        <f>AN282</f>
        <v>3</v>
      </c>
      <c r="AQ283" s="359">
        <f>AM283*I283+AL283</f>
        <v>0.98624999999999996</v>
      </c>
      <c r="AR283" s="359">
        <f t="shared" si="375"/>
        <v>9.8625000000000004E-2</v>
      </c>
      <c r="AS283" s="360">
        <f t="shared" si="376"/>
        <v>3.5</v>
      </c>
      <c r="AT283" s="360">
        <f t="shared" si="377"/>
        <v>1.1462187500000001</v>
      </c>
      <c r="AU283" s="359">
        <f>10068.2*J283*POWER(10,-6)*10</f>
        <v>3.8057796000000002E-3</v>
      </c>
      <c r="AV283" s="360">
        <f t="shared" si="378"/>
        <v>5.7348995295999998</v>
      </c>
      <c r="AW283" s="361">
        <f t="shared" si="379"/>
        <v>4.0000000000000003E-7</v>
      </c>
      <c r="AX283" s="361">
        <f t="shared" si="380"/>
        <v>8.0000000000000007E-7</v>
      </c>
      <c r="AY283" s="361">
        <f t="shared" si="381"/>
        <v>2.29395981184E-6</v>
      </c>
      <c r="AZ283" s="362">
        <f>AW283/DB!$B$23</f>
        <v>4.8192771084337355E-10</v>
      </c>
      <c r="BA283" s="362">
        <f>AX283/DB!$B$23</f>
        <v>9.6385542168674709E-10</v>
      </c>
    </row>
    <row r="284" spans="1:53" s="356" customFormat="1" x14ac:dyDescent="0.3">
      <c r="A284" s="346" t="s">
        <v>20</v>
      </c>
      <c r="B284" s="346" t="str">
        <f>B282</f>
        <v>Трубопровод ЛВЖ_откр</v>
      </c>
      <c r="C284" s="348" t="s">
        <v>108</v>
      </c>
      <c r="D284" s="349" t="s">
        <v>26</v>
      </c>
      <c r="E284" s="363">
        <f>E282</f>
        <v>1.0000000000000001E-5</v>
      </c>
      <c r="F284" s="364">
        <f>F282</f>
        <v>1</v>
      </c>
      <c r="G284" s="346">
        <v>0.76</v>
      </c>
      <c r="H284" s="351">
        <f t="shared" si="372"/>
        <v>7.6000000000000009E-6</v>
      </c>
      <c r="I284" s="365">
        <f>I282</f>
        <v>8.75</v>
      </c>
      <c r="J284" s="367">
        <v>0</v>
      </c>
      <c r="K284" s="354" t="s">
        <v>124</v>
      </c>
      <c r="L284" s="355">
        <v>0</v>
      </c>
      <c r="M284" s="356" t="str">
        <f t="shared" si="373"/>
        <v>С3</v>
      </c>
      <c r="N284" s="356" t="str">
        <f t="shared" si="373"/>
        <v>Трубопровод ЛВЖ_откр</v>
      </c>
      <c r="O284" s="356" t="str">
        <f t="shared" si="374"/>
        <v>Полное-ликвидация</v>
      </c>
      <c r="P284" s="356" t="s">
        <v>46</v>
      </c>
      <c r="Q284" s="356" t="s">
        <v>46</v>
      </c>
      <c r="R284" s="356" t="s">
        <v>46</v>
      </c>
      <c r="S284" s="356" t="s">
        <v>46</v>
      </c>
      <c r="T284" s="356" t="s">
        <v>46</v>
      </c>
      <c r="U284" s="356" t="s">
        <v>46</v>
      </c>
      <c r="V284" s="356" t="s">
        <v>46</v>
      </c>
      <c r="W284" s="356" t="s">
        <v>46</v>
      </c>
      <c r="X284" s="356" t="s">
        <v>46</v>
      </c>
      <c r="Y284" s="356" t="s">
        <v>46</v>
      </c>
      <c r="Z284" s="356" t="s">
        <v>46</v>
      </c>
      <c r="AA284" s="356" t="s">
        <v>46</v>
      </c>
      <c r="AB284" s="356" t="s">
        <v>46</v>
      </c>
      <c r="AC284" s="356" t="s">
        <v>46</v>
      </c>
      <c r="AD284" s="356" t="s">
        <v>46</v>
      </c>
      <c r="AE284" s="356" t="s">
        <v>46</v>
      </c>
      <c r="AF284" s="356" t="s">
        <v>46</v>
      </c>
      <c r="AG284" s="356" t="s">
        <v>46</v>
      </c>
      <c r="AH284" s="356" t="s">
        <v>46</v>
      </c>
      <c r="AI284" s="356" t="s">
        <v>46</v>
      </c>
      <c r="AJ284" s="356">
        <v>0</v>
      </c>
      <c r="AK284" s="356">
        <v>0</v>
      </c>
      <c r="AL284" s="356">
        <f>AL282</f>
        <v>0.75</v>
      </c>
      <c r="AM284" s="356">
        <f>AM282</f>
        <v>2.7E-2</v>
      </c>
      <c r="AN284" s="356">
        <f>AN282</f>
        <v>3</v>
      </c>
      <c r="AQ284" s="359">
        <f>AM284*I284*0.1+AL284</f>
        <v>0.77362500000000001</v>
      </c>
      <c r="AR284" s="359">
        <f t="shared" si="375"/>
        <v>7.7362500000000001E-2</v>
      </c>
      <c r="AS284" s="360">
        <f t="shared" si="376"/>
        <v>0</v>
      </c>
      <c r="AT284" s="360">
        <f t="shared" si="377"/>
        <v>0.212746875</v>
      </c>
      <c r="AU284" s="359">
        <f>1333*J283*POWER(10,-6)</f>
        <v>5.0387399999999998E-5</v>
      </c>
      <c r="AV284" s="360">
        <f t="shared" si="378"/>
        <v>1.0637847624000001</v>
      </c>
      <c r="AW284" s="361">
        <f t="shared" si="379"/>
        <v>0</v>
      </c>
      <c r="AX284" s="361">
        <f t="shared" si="380"/>
        <v>0</v>
      </c>
      <c r="AY284" s="361">
        <f t="shared" si="381"/>
        <v>8.0847641942400021E-6</v>
      </c>
      <c r="AZ284" s="362">
        <f>AW284/DB!$B$23</f>
        <v>0</v>
      </c>
      <c r="BA284" s="362">
        <f>AX284/DB!$B$23</f>
        <v>0</v>
      </c>
    </row>
    <row r="285" spans="1:53" s="356" customFormat="1" x14ac:dyDescent="0.3">
      <c r="A285" s="346" t="s">
        <v>21</v>
      </c>
      <c r="B285" s="346" t="str">
        <f>B282</f>
        <v>Трубопровод ЛВЖ_откр</v>
      </c>
      <c r="C285" s="348" t="s">
        <v>109</v>
      </c>
      <c r="D285" s="349" t="s">
        <v>47</v>
      </c>
      <c r="E285" s="350">
        <v>1E-4</v>
      </c>
      <c r="F285" s="364">
        <f>F282</f>
        <v>1</v>
      </c>
      <c r="G285" s="346">
        <v>0.2</v>
      </c>
      <c r="H285" s="351">
        <f t="shared" si="372"/>
        <v>2.0000000000000002E-5</v>
      </c>
      <c r="I285" s="365">
        <f>0.15*I282</f>
        <v>1.3125</v>
      </c>
      <c r="J285" s="353">
        <f>I285</f>
        <v>1.3125</v>
      </c>
      <c r="K285" s="368" t="s">
        <v>126</v>
      </c>
      <c r="L285" s="369">
        <v>45390</v>
      </c>
      <c r="M285" s="356" t="str">
        <f t="shared" si="373"/>
        <v>С4</v>
      </c>
      <c r="N285" s="356" t="str">
        <f t="shared" si="373"/>
        <v>Трубопровод ЛВЖ_откр</v>
      </c>
      <c r="O285" s="356" t="str">
        <f t="shared" si="374"/>
        <v>Частичное-пожар</v>
      </c>
      <c r="P285" s="356">
        <v>5.2</v>
      </c>
      <c r="Q285" s="356">
        <v>7.5</v>
      </c>
      <c r="R285" s="356">
        <v>11.1</v>
      </c>
      <c r="S285" s="356">
        <v>21.3</v>
      </c>
      <c r="T285" s="356" t="s">
        <v>46</v>
      </c>
      <c r="U285" s="356" t="s">
        <v>46</v>
      </c>
      <c r="V285" s="356" t="s">
        <v>46</v>
      </c>
      <c r="W285" s="356" t="s">
        <v>46</v>
      </c>
      <c r="X285" s="356" t="s">
        <v>46</v>
      </c>
      <c r="Y285" s="356" t="s">
        <v>46</v>
      </c>
      <c r="Z285" s="356" t="s">
        <v>46</v>
      </c>
      <c r="AA285" s="356" t="s">
        <v>46</v>
      </c>
      <c r="AB285" s="356" t="s">
        <v>46</v>
      </c>
      <c r="AC285" s="356" t="s">
        <v>46</v>
      </c>
      <c r="AD285" s="356" t="s">
        <v>46</v>
      </c>
      <c r="AE285" s="356" t="s">
        <v>46</v>
      </c>
      <c r="AF285" s="356" t="s">
        <v>46</v>
      </c>
      <c r="AG285" s="356" t="s">
        <v>46</v>
      </c>
      <c r="AH285" s="356" t="s">
        <v>46</v>
      </c>
      <c r="AI285" s="356" t="s">
        <v>46</v>
      </c>
      <c r="AJ285" s="356">
        <v>0</v>
      </c>
      <c r="AK285" s="356">
        <v>2</v>
      </c>
      <c r="AL285" s="356">
        <f>0.1*$AL$2</f>
        <v>7.5000000000000011E-2</v>
      </c>
      <c r="AM285" s="356">
        <f>AM282</f>
        <v>2.7E-2</v>
      </c>
      <c r="AN285" s="356">
        <f>ROUNDUP(AN282/3,0)</f>
        <v>1</v>
      </c>
      <c r="AQ285" s="359">
        <f>AM285*I285+AL285</f>
        <v>0.11043750000000001</v>
      </c>
      <c r="AR285" s="359">
        <f t="shared" si="375"/>
        <v>1.1043750000000001E-2</v>
      </c>
      <c r="AS285" s="360">
        <f t="shared" si="376"/>
        <v>0.5</v>
      </c>
      <c r="AT285" s="360">
        <f t="shared" si="377"/>
        <v>0.1553703125</v>
      </c>
      <c r="AU285" s="359">
        <f>10068.2*J285*POWER(10,-6)</f>
        <v>1.3214512500000001E-2</v>
      </c>
      <c r="AV285" s="360">
        <f t="shared" si="378"/>
        <v>0.79006607499999992</v>
      </c>
      <c r="AW285" s="361">
        <f t="shared" si="379"/>
        <v>0</v>
      </c>
      <c r="AX285" s="361">
        <f t="shared" si="380"/>
        <v>4.0000000000000003E-5</v>
      </c>
      <c r="AY285" s="361">
        <f t="shared" si="381"/>
        <v>1.5801321499999999E-5</v>
      </c>
      <c r="AZ285" s="362">
        <f>AW285/DB!$B$23</f>
        <v>0</v>
      </c>
      <c r="BA285" s="362">
        <f>AX285/DB!$B$23</f>
        <v>4.8192771084337353E-8</v>
      </c>
    </row>
    <row r="286" spans="1:53" s="356" customFormat="1" x14ac:dyDescent="0.3">
      <c r="A286" s="346" t="s">
        <v>22</v>
      </c>
      <c r="B286" s="346" t="str">
        <f>B282</f>
        <v>Трубопровод ЛВЖ_откр</v>
      </c>
      <c r="C286" s="348" t="s">
        <v>110</v>
      </c>
      <c r="D286" s="349" t="s">
        <v>112</v>
      </c>
      <c r="E286" s="363">
        <f>E285</f>
        <v>1E-4</v>
      </c>
      <c r="F286" s="364">
        <f>F282</f>
        <v>1</v>
      </c>
      <c r="G286" s="346">
        <v>0.04</v>
      </c>
      <c r="H286" s="351">
        <f t="shared" si="372"/>
        <v>4.0000000000000007E-6</v>
      </c>
      <c r="I286" s="365">
        <f>0.15*I282</f>
        <v>1.3125</v>
      </c>
      <c r="J286" s="353">
        <f>0.15*J283</f>
        <v>5.6699999999999997E-3</v>
      </c>
      <c r="K286" s="368" t="s">
        <v>127</v>
      </c>
      <c r="L286" s="369">
        <v>3</v>
      </c>
      <c r="M286" s="356" t="str">
        <f t="shared" si="373"/>
        <v>С5</v>
      </c>
      <c r="N286" s="356" t="str">
        <f t="shared" si="373"/>
        <v>Трубопровод ЛВЖ_откр</v>
      </c>
      <c r="O286" s="356" t="str">
        <f t="shared" si="374"/>
        <v>Частичное-пожар-вспышка</v>
      </c>
      <c r="P286" s="356" t="s">
        <v>46</v>
      </c>
      <c r="Q286" s="356" t="s">
        <v>46</v>
      </c>
      <c r="R286" s="356" t="s">
        <v>46</v>
      </c>
      <c r="S286" s="356" t="s">
        <v>46</v>
      </c>
      <c r="T286" s="356" t="s">
        <v>46</v>
      </c>
      <c r="U286" s="356" t="s">
        <v>46</v>
      </c>
      <c r="V286" s="356" t="s">
        <v>46</v>
      </c>
      <c r="W286" s="356" t="s">
        <v>46</v>
      </c>
      <c r="X286" s="356" t="s">
        <v>46</v>
      </c>
      <c r="Y286" s="356" t="s">
        <v>46</v>
      </c>
      <c r="Z286" s="356" t="s">
        <v>46</v>
      </c>
      <c r="AA286" s="356">
        <v>6.08</v>
      </c>
      <c r="AB286" s="356">
        <v>7.3</v>
      </c>
      <c r="AC286" s="356" t="s">
        <v>46</v>
      </c>
      <c r="AD286" s="356" t="s">
        <v>46</v>
      </c>
      <c r="AE286" s="356" t="s">
        <v>46</v>
      </c>
      <c r="AF286" s="356" t="s">
        <v>46</v>
      </c>
      <c r="AG286" s="356" t="s">
        <v>46</v>
      </c>
      <c r="AH286" s="356" t="s">
        <v>46</v>
      </c>
      <c r="AI286" s="356" t="s">
        <v>46</v>
      </c>
      <c r="AJ286" s="356">
        <v>0</v>
      </c>
      <c r="AK286" s="356">
        <v>1</v>
      </c>
      <c r="AL286" s="356">
        <f>0.1*$AL$2</f>
        <v>7.5000000000000011E-2</v>
      </c>
      <c r="AM286" s="356">
        <f>AM282</f>
        <v>2.7E-2</v>
      </c>
      <c r="AN286" s="356">
        <f>ROUNDUP(AN282/3,0)</f>
        <v>1</v>
      </c>
      <c r="AQ286" s="359">
        <f>AM286*I286+AL286</f>
        <v>0.11043750000000001</v>
      </c>
      <c r="AR286" s="359">
        <f t="shared" si="375"/>
        <v>1.1043750000000001E-2</v>
      </c>
      <c r="AS286" s="360">
        <f t="shared" si="376"/>
        <v>0.25</v>
      </c>
      <c r="AT286" s="360">
        <f t="shared" si="377"/>
        <v>9.2870312499999996E-2</v>
      </c>
      <c r="AU286" s="359">
        <f>10068.2*J286*POWER(10,-6)*10</f>
        <v>5.7086693999999999E-4</v>
      </c>
      <c r="AV286" s="360">
        <f t="shared" si="378"/>
        <v>0.46492242944000001</v>
      </c>
      <c r="AW286" s="361">
        <f t="shared" si="379"/>
        <v>0</v>
      </c>
      <c r="AX286" s="361">
        <f t="shared" si="380"/>
        <v>4.0000000000000007E-6</v>
      </c>
      <c r="AY286" s="361">
        <f t="shared" si="381"/>
        <v>1.8596897177600003E-6</v>
      </c>
      <c r="AZ286" s="362">
        <f>AW286/DB!$B$23</f>
        <v>0</v>
      </c>
      <c r="BA286" s="362">
        <f>AX286/DB!$B$23</f>
        <v>4.8192771084337357E-9</v>
      </c>
    </row>
    <row r="287" spans="1:53" s="356" customFormat="1" x14ac:dyDescent="0.3">
      <c r="A287" s="370" t="s">
        <v>23</v>
      </c>
      <c r="B287" s="370" t="str">
        <f>B282</f>
        <v>Трубопровод ЛВЖ_откр</v>
      </c>
      <c r="C287" s="371" t="s">
        <v>111</v>
      </c>
      <c r="D287" s="372" t="s">
        <v>27</v>
      </c>
      <c r="E287" s="373">
        <f>E285</f>
        <v>1E-4</v>
      </c>
      <c r="F287" s="374">
        <f>F282</f>
        <v>1</v>
      </c>
      <c r="G287" s="370">
        <v>0.76</v>
      </c>
      <c r="H287" s="375">
        <f t="shared" si="372"/>
        <v>7.6000000000000004E-5</v>
      </c>
      <c r="I287" s="376">
        <f>0.15*I282</f>
        <v>1.3125</v>
      </c>
      <c r="J287" s="377">
        <v>0</v>
      </c>
      <c r="K287" s="378" t="s">
        <v>138</v>
      </c>
      <c r="L287" s="379">
        <v>25</v>
      </c>
      <c r="M287" s="356" t="str">
        <f t="shared" si="373"/>
        <v>С6</v>
      </c>
      <c r="N287" s="356" t="str">
        <f t="shared" si="373"/>
        <v>Трубопровод ЛВЖ_откр</v>
      </c>
      <c r="O287" s="356" t="str">
        <f t="shared" si="374"/>
        <v>Частичное-ликвидация</v>
      </c>
      <c r="P287" s="356" t="s">
        <v>46</v>
      </c>
      <c r="Q287" s="356" t="s">
        <v>46</v>
      </c>
      <c r="R287" s="356" t="s">
        <v>46</v>
      </c>
      <c r="S287" s="356" t="s">
        <v>46</v>
      </c>
      <c r="T287" s="356" t="s">
        <v>46</v>
      </c>
      <c r="U287" s="356" t="s">
        <v>46</v>
      </c>
      <c r="V287" s="356" t="s">
        <v>46</v>
      </c>
      <c r="W287" s="356" t="s">
        <v>46</v>
      </c>
      <c r="X287" s="356" t="s">
        <v>46</v>
      </c>
      <c r="Y287" s="356" t="s">
        <v>46</v>
      </c>
      <c r="Z287" s="356" t="s">
        <v>46</v>
      </c>
      <c r="AA287" s="356" t="s">
        <v>46</v>
      </c>
      <c r="AB287" s="356" t="s">
        <v>46</v>
      </c>
      <c r="AC287" s="356" t="s">
        <v>46</v>
      </c>
      <c r="AD287" s="356" t="s">
        <v>46</v>
      </c>
      <c r="AE287" s="356" t="s">
        <v>46</v>
      </c>
      <c r="AF287" s="356" t="s">
        <v>46</v>
      </c>
      <c r="AG287" s="356" t="s">
        <v>46</v>
      </c>
      <c r="AH287" s="356" t="s">
        <v>46</v>
      </c>
      <c r="AI287" s="356" t="s">
        <v>46</v>
      </c>
      <c r="AJ287" s="356">
        <v>0</v>
      </c>
      <c r="AK287" s="356">
        <v>0</v>
      </c>
      <c r="AL287" s="356">
        <f>0.1*$AL$2</f>
        <v>7.5000000000000011E-2</v>
      </c>
      <c r="AM287" s="356">
        <f>AM282</f>
        <v>2.7E-2</v>
      </c>
      <c r="AN287" s="356">
        <f>ROUNDUP(AN282/3,0)</f>
        <v>1</v>
      </c>
      <c r="AQ287" s="359">
        <f>AM287*I287*0.1+AL287</f>
        <v>7.8543750000000009E-2</v>
      </c>
      <c r="AR287" s="359">
        <f t="shared" si="375"/>
        <v>7.854375000000002E-3</v>
      </c>
      <c r="AS287" s="360">
        <f t="shared" si="376"/>
        <v>0</v>
      </c>
      <c r="AT287" s="360">
        <f t="shared" si="377"/>
        <v>2.1599531250000002E-2</v>
      </c>
      <c r="AU287" s="359">
        <f>1333*J286*POWER(10,-6)</f>
        <v>7.5581099999999987E-6</v>
      </c>
      <c r="AV287" s="360">
        <f t="shared" si="378"/>
        <v>0.10800521436000002</v>
      </c>
      <c r="AW287" s="361">
        <f t="shared" si="379"/>
        <v>0</v>
      </c>
      <c r="AX287" s="361">
        <f t="shared" si="380"/>
        <v>0</v>
      </c>
      <c r="AY287" s="361">
        <f t="shared" si="381"/>
        <v>8.2083962913600011E-6</v>
      </c>
      <c r="AZ287" s="362">
        <f>AW287/DB!$B$23</f>
        <v>0</v>
      </c>
      <c r="BA287" s="362">
        <f>AX287/DB!$B$23</f>
        <v>0</v>
      </c>
    </row>
    <row r="288" spans="1:53" s="348" customFormat="1" x14ac:dyDescent="0.3">
      <c r="A288" s="346"/>
      <c r="B288" s="346"/>
      <c r="C288" s="346"/>
      <c r="D288" s="346"/>
      <c r="E288" s="346"/>
      <c r="F288" s="346"/>
      <c r="G288" s="346"/>
      <c r="H288" s="346"/>
      <c r="I288" s="346"/>
      <c r="J288" s="346"/>
      <c r="K288" s="334" t="s">
        <v>466</v>
      </c>
      <c r="L288" s="287" t="s">
        <v>641</v>
      </c>
      <c r="M288" s="346"/>
      <c r="N288" s="346"/>
      <c r="O288" s="346"/>
      <c r="P288" s="346"/>
      <c r="Q288" s="346"/>
      <c r="R288" s="346"/>
      <c r="S288" s="346"/>
      <c r="T288" s="346"/>
      <c r="U288" s="346"/>
      <c r="V288" s="346"/>
      <c r="W288" s="346"/>
      <c r="X288" s="346"/>
      <c r="Y288" s="346"/>
      <c r="Z288" s="346"/>
      <c r="AA288" s="346"/>
      <c r="AB288" s="346"/>
      <c r="AC288" s="346"/>
      <c r="AD288" s="346"/>
      <c r="AE288" s="346"/>
      <c r="AF288" s="346"/>
      <c r="AG288" s="346"/>
      <c r="AH288" s="346"/>
      <c r="AI288" s="346"/>
      <c r="AJ288" s="346"/>
      <c r="AK288" s="346"/>
      <c r="AL288" s="346"/>
      <c r="AM288" s="346"/>
      <c r="AN288" s="346"/>
      <c r="AO288" s="346"/>
      <c r="AP288" s="346"/>
      <c r="AQ288" s="346"/>
      <c r="AR288" s="346"/>
      <c r="AS288" s="346"/>
      <c r="AT288" s="346"/>
      <c r="AU288" s="346"/>
      <c r="AV288" s="346"/>
      <c r="AW288" s="346"/>
      <c r="AX288" s="346"/>
      <c r="AY288" s="346"/>
    </row>
    <row r="289" spans="1:51" s="348" customFormat="1" x14ac:dyDescent="0.3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  <c r="AE289" s="346"/>
      <c r="AF289" s="346"/>
      <c r="AG289" s="346"/>
      <c r="AH289" s="346"/>
      <c r="AI289" s="346"/>
      <c r="AJ289" s="346"/>
      <c r="AK289" s="346"/>
      <c r="AL289" s="346"/>
      <c r="AM289" s="346"/>
      <c r="AN289" s="346"/>
      <c r="AO289" s="346"/>
      <c r="AP289" s="346"/>
      <c r="AQ289" s="346"/>
      <c r="AR289" s="346"/>
      <c r="AS289" s="346"/>
      <c r="AT289" s="346"/>
      <c r="AU289" s="346"/>
      <c r="AV289" s="346"/>
      <c r="AW289" s="346"/>
      <c r="AX289" s="346"/>
      <c r="AY289" s="346"/>
    </row>
    <row r="290" spans="1:51" s="348" customFormat="1" x14ac:dyDescent="0.3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  <c r="AE290" s="346"/>
      <c r="AF290" s="346"/>
      <c r="AG290" s="346"/>
      <c r="AH290" s="346"/>
      <c r="AI290" s="346"/>
      <c r="AJ290" s="346"/>
      <c r="AK290" s="346"/>
      <c r="AL290" s="346"/>
      <c r="AM290" s="346"/>
      <c r="AN290" s="346"/>
      <c r="AO290" s="346"/>
      <c r="AP290" s="346"/>
      <c r="AQ290" s="346"/>
      <c r="AR290" s="346"/>
      <c r="AS290" s="346"/>
      <c r="AT290" s="346"/>
      <c r="AU290" s="346"/>
      <c r="AV290" s="346"/>
      <c r="AW290" s="346"/>
      <c r="AX290" s="346"/>
      <c r="AY290" s="346"/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8913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38913" r:id="rId4" name="Скрыть"/>
      </mc:Fallback>
    </mc:AlternateContent>
    <mc:AlternateContent xmlns:mc="http://schemas.openxmlformats.org/markup-compatibility/2006">
      <mc:Choice Requires="x14">
        <control shapeId="38914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0</xdr:row>
                <xdr:rowOff>609600</xdr:rowOff>
              </to>
            </anchor>
          </controlPr>
        </control>
      </mc:Choice>
      <mc:Fallback>
        <control shapeId="38914" r:id="rId6" name="Показать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5"/>
  <dimension ref="A1:AF608"/>
  <sheetViews>
    <sheetView zoomScale="85" zoomScaleNormal="85" workbookViewId="0">
      <pane ySplit="1" topLeftCell="A2" activePane="bottomLeft" state="frozen"/>
      <selection pane="bottomLeft" activeCell="AE4" sqref="AE4:AF58"/>
    </sheetView>
  </sheetViews>
  <sheetFormatPr defaultRowHeight="14.4" x14ac:dyDescent="0.3"/>
  <cols>
    <col min="1" max="1" width="16.5546875" customWidth="1"/>
    <col min="2" max="2" width="12.88671875" customWidth="1"/>
    <col min="4" max="4" width="16" customWidth="1"/>
    <col min="5" max="5" width="12.6640625" customWidth="1"/>
    <col min="32" max="32" width="8.88671875" style="218"/>
  </cols>
  <sheetData>
    <row r="1" spans="1:32" ht="26.25" customHeight="1" thickBot="1" x14ac:dyDescent="0.35">
      <c r="A1" s="163" t="s">
        <v>169</v>
      </c>
      <c r="B1" s="164" t="s">
        <v>170</v>
      </c>
      <c r="C1" s="162"/>
      <c r="D1" s="163" t="s">
        <v>169</v>
      </c>
      <c r="E1" s="164" t="s">
        <v>171</v>
      </c>
    </row>
    <row r="2" spans="1:32" x14ac:dyDescent="0.3">
      <c r="A2" s="37">
        <v>3.0000000000000005E-6</v>
      </c>
      <c r="B2">
        <v>1</v>
      </c>
      <c r="D2" s="37">
        <v>3.0000000000000005E-6</v>
      </c>
      <c r="E2" s="3">
        <v>177.42546399999998</v>
      </c>
    </row>
    <row r="3" spans="1:32" x14ac:dyDescent="0.3">
      <c r="A3" s="37">
        <v>5.4000000000000017E-6</v>
      </c>
      <c r="B3">
        <v>3</v>
      </c>
      <c r="D3" s="37">
        <v>5.4000000000000017E-6</v>
      </c>
      <c r="E3" s="3">
        <v>164.86960959999999</v>
      </c>
    </row>
    <row r="4" spans="1:32" x14ac:dyDescent="0.3">
      <c r="A4" s="37">
        <v>2.1600000000000007E-5</v>
      </c>
      <c r="B4">
        <v>0</v>
      </c>
      <c r="D4" s="37">
        <v>2.1600000000000007E-5</v>
      </c>
      <c r="E4" s="3">
        <v>136.35234888150001</v>
      </c>
      <c r="AE4" s="37"/>
      <c r="AF4" s="3"/>
    </row>
    <row r="5" spans="1:32" x14ac:dyDescent="0.3">
      <c r="A5" s="37">
        <v>3.0000000000000004E-5</v>
      </c>
      <c r="B5">
        <v>0</v>
      </c>
      <c r="D5" s="37">
        <v>3.0000000000000004E-5</v>
      </c>
      <c r="E5" s="3">
        <v>26.531007099999997</v>
      </c>
      <c r="AE5" s="37"/>
      <c r="AF5" s="3"/>
    </row>
    <row r="6" spans="1:32" x14ac:dyDescent="0.3">
      <c r="A6" s="37">
        <v>1.3500000000000003E-5</v>
      </c>
      <c r="B6">
        <v>0</v>
      </c>
      <c r="D6" s="37">
        <v>1.3500000000000003E-5</v>
      </c>
      <c r="E6" s="3">
        <v>20.719087617649997</v>
      </c>
      <c r="AE6" s="37"/>
      <c r="AF6" s="3"/>
    </row>
    <row r="7" spans="1:32" x14ac:dyDescent="0.3">
      <c r="A7" s="37">
        <v>2.565E-4</v>
      </c>
      <c r="B7">
        <v>0</v>
      </c>
      <c r="D7" s="37">
        <v>2.565E-4</v>
      </c>
      <c r="E7" s="3">
        <v>20.401289832225</v>
      </c>
      <c r="AE7" s="37"/>
      <c r="AF7" s="3"/>
    </row>
    <row r="8" spans="1:32" x14ac:dyDescent="0.3">
      <c r="A8" s="37">
        <v>3.0000000000000005E-6</v>
      </c>
      <c r="B8">
        <v>1</v>
      </c>
      <c r="D8" s="37">
        <v>3.0000000000000005E-6</v>
      </c>
      <c r="E8" s="3">
        <v>99.792650000000009</v>
      </c>
      <c r="AE8" s="37"/>
      <c r="AF8" s="3"/>
    </row>
    <row r="9" spans="1:32" x14ac:dyDescent="0.3">
      <c r="A9" s="37">
        <v>5.4000000000000017E-6</v>
      </c>
      <c r="B9">
        <v>2</v>
      </c>
      <c r="D9" s="37">
        <v>5.4000000000000017E-6</v>
      </c>
      <c r="E9" s="3">
        <v>100.04898460000001</v>
      </c>
      <c r="AE9" s="37"/>
      <c r="AF9" s="3"/>
    </row>
    <row r="10" spans="1:32" x14ac:dyDescent="0.3">
      <c r="A10" s="37">
        <v>2.1600000000000007E-5</v>
      </c>
      <c r="B10">
        <v>0</v>
      </c>
      <c r="D10" s="37">
        <v>2.1600000000000007E-5</v>
      </c>
      <c r="E10" s="3">
        <v>75.281663896499992</v>
      </c>
      <c r="AE10" s="37"/>
      <c r="AF10" s="3"/>
    </row>
    <row r="11" spans="1:32" x14ac:dyDescent="0.3">
      <c r="A11" s="37">
        <v>3.0000000000000004E-5</v>
      </c>
      <c r="B11">
        <v>0</v>
      </c>
      <c r="D11" s="37">
        <v>3.0000000000000004E-5</v>
      </c>
      <c r="E11" s="3">
        <v>14.886084999999998</v>
      </c>
      <c r="AE11" s="37"/>
      <c r="AF11" s="3"/>
    </row>
    <row r="12" spans="1:32" x14ac:dyDescent="0.3">
      <c r="A12" s="37">
        <v>1.3500000000000003E-5</v>
      </c>
      <c r="B12">
        <v>0</v>
      </c>
      <c r="D12" s="37">
        <v>1.3500000000000003E-5</v>
      </c>
      <c r="E12" s="3">
        <v>11.557814264149998</v>
      </c>
      <c r="AE12" s="37"/>
      <c r="AF12" s="3"/>
    </row>
    <row r="13" spans="1:32" x14ac:dyDescent="0.3">
      <c r="A13" s="37">
        <v>2.565E-4</v>
      </c>
      <c r="B13">
        <v>0</v>
      </c>
      <c r="D13" s="37">
        <v>2.565E-4</v>
      </c>
      <c r="E13" s="3">
        <v>11.240687084474999</v>
      </c>
      <c r="AE13" s="37"/>
      <c r="AF13" s="3"/>
    </row>
    <row r="14" spans="1:32" x14ac:dyDescent="0.3">
      <c r="A14" s="37">
        <v>4.9999999999999998E-8</v>
      </c>
      <c r="B14">
        <v>0</v>
      </c>
      <c r="D14" s="37">
        <v>4.9999999999999998E-8</v>
      </c>
      <c r="E14" s="3">
        <v>2.3452707200000003</v>
      </c>
      <c r="AE14" s="37"/>
      <c r="AF14" s="3"/>
    </row>
    <row r="15" spans="1:32" x14ac:dyDescent="0.3">
      <c r="A15" s="37">
        <v>1.8999999999999998E-7</v>
      </c>
      <c r="B15">
        <v>1</v>
      </c>
      <c r="D15" s="37">
        <v>1.8999999999999998E-7</v>
      </c>
      <c r="E15" s="3">
        <v>5.9508121864000003</v>
      </c>
      <c r="AE15" s="37"/>
      <c r="AF15" s="3"/>
    </row>
    <row r="16" spans="1:32" x14ac:dyDescent="0.3">
      <c r="A16" s="37">
        <v>7.5999999999999992E-7</v>
      </c>
      <c r="B16">
        <v>0</v>
      </c>
      <c r="D16" s="37">
        <v>7.5999999999999992E-7</v>
      </c>
      <c r="E16" s="3">
        <v>1.1049142999999999</v>
      </c>
      <c r="AE16" s="37"/>
      <c r="AF16" s="3"/>
    </row>
    <row r="17" spans="1:32" x14ac:dyDescent="0.3">
      <c r="A17" s="37">
        <v>4.0000000000000009E-7</v>
      </c>
      <c r="B17">
        <v>0</v>
      </c>
      <c r="D17" s="37">
        <v>4.0000000000000009E-7</v>
      </c>
      <c r="E17" s="3">
        <v>0.44580473300000001</v>
      </c>
      <c r="AE17" s="37"/>
      <c r="AF17" s="3"/>
    </row>
    <row r="18" spans="1:32" x14ac:dyDescent="0.3">
      <c r="A18" s="37">
        <v>1.6000000000000004E-6</v>
      </c>
      <c r="B18">
        <v>0</v>
      </c>
      <c r="D18" s="37">
        <v>1.6000000000000004E-6</v>
      </c>
      <c r="E18" s="3">
        <v>0.49726466599999997</v>
      </c>
      <c r="AE18" s="37"/>
      <c r="AF18" s="3"/>
    </row>
    <row r="19" spans="1:32" x14ac:dyDescent="0.3">
      <c r="A19" s="37">
        <v>4.0000000000000009E-7</v>
      </c>
      <c r="B19">
        <v>0</v>
      </c>
      <c r="D19" s="37">
        <v>4.0000000000000009E-7</v>
      </c>
      <c r="E19" s="3">
        <v>0.43112796620000005</v>
      </c>
      <c r="AE19" s="37"/>
      <c r="AF19" s="3"/>
    </row>
    <row r="20" spans="1:32" x14ac:dyDescent="0.3">
      <c r="A20" s="37">
        <v>1.5200000000000003E-6</v>
      </c>
      <c r="B20">
        <v>0</v>
      </c>
      <c r="D20" s="37">
        <v>1.5200000000000003E-6</v>
      </c>
      <c r="E20" s="3">
        <v>0.43112796620000005</v>
      </c>
      <c r="AE20" s="37"/>
      <c r="AF20" s="3"/>
    </row>
    <row r="21" spans="1:32" x14ac:dyDescent="0.3">
      <c r="A21" s="37">
        <v>6.0800000000000011E-6</v>
      </c>
      <c r="B21">
        <v>0</v>
      </c>
      <c r="D21" s="37">
        <v>6.0800000000000011E-6</v>
      </c>
      <c r="E21" s="3">
        <v>0.10478244675000001</v>
      </c>
      <c r="AE21" s="37"/>
      <c r="AF21" s="3"/>
    </row>
    <row r="22" spans="1:32" x14ac:dyDescent="0.3">
      <c r="A22" s="37">
        <v>2.5000000000000001E-5</v>
      </c>
      <c r="B22">
        <v>0</v>
      </c>
      <c r="D22" s="37">
        <v>2.5000000000000001E-5</v>
      </c>
      <c r="E22" s="3">
        <v>2.2129745720000003</v>
      </c>
      <c r="AE22" s="37"/>
      <c r="AF22" s="3"/>
    </row>
    <row r="23" spans="1:32" x14ac:dyDescent="0.3">
      <c r="A23" s="37">
        <v>1.5000000000000002E-7</v>
      </c>
      <c r="B23">
        <v>0</v>
      </c>
      <c r="D23" s="37">
        <v>1.5000000000000002E-7</v>
      </c>
      <c r="E23" s="3">
        <v>2.0784875604000002</v>
      </c>
      <c r="AE23" s="37"/>
      <c r="AF23" s="3"/>
    </row>
    <row r="24" spans="1:32" x14ac:dyDescent="0.3">
      <c r="A24" s="37">
        <v>5.7000000000000005E-7</v>
      </c>
      <c r="B24">
        <v>1</v>
      </c>
      <c r="D24" s="37">
        <v>5.7000000000000005E-7</v>
      </c>
      <c r="E24" s="3">
        <v>5.7403102647999997</v>
      </c>
      <c r="AE24" s="37"/>
      <c r="AF24" s="3"/>
    </row>
    <row r="25" spans="1:32" x14ac:dyDescent="0.3">
      <c r="A25" s="37">
        <v>2.2800000000000002E-6</v>
      </c>
      <c r="B25">
        <v>0</v>
      </c>
      <c r="D25" s="37">
        <v>2.2800000000000002E-6</v>
      </c>
      <c r="E25" s="3">
        <v>1.0763920885</v>
      </c>
      <c r="AE25" s="37"/>
      <c r="AF25" s="3"/>
    </row>
    <row r="26" spans="1:32" x14ac:dyDescent="0.3">
      <c r="A26" s="37">
        <v>1.2000000000000004E-6</v>
      </c>
      <c r="B26">
        <v>0</v>
      </c>
      <c r="D26" s="37">
        <v>1.2000000000000004E-6</v>
      </c>
      <c r="E26" s="3">
        <v>0.43411938843499998</v>
      </c>
      <c r="AE26" s="37"/>
      <c r="AF26" s="3"/>
    </row>
    <row r="27" spans="1:32" x14ac:dyDescent="0.3">
      <c r="A27" s="37">
        <v>4.8000000000000015E-6</v>
      </c>
      <c r="B27">
        <v>0</v>
      </c>
      <c r="D27" s="37">
        <v>4.8000000000000015E-6</v>
      </c>
      <c r="E27" s="3">
        <v>0.46570054325000004</v>
      </c>
      <c r="AE27" s="37"/>
      <c r="AF27" s="3"/>
    </row>
    <row r="28" spans="1:32" x14ac:dyDescent="0.3">
      <c r="A28" s="37">
        <v>1.2000000000000004E-6</v>
      </c>
      <c r="B28">
        <v>0</v>
      </c>
      <c r="D28" s="37">
        <v>1.2000000000000004E-6</v>
      </c>
      <c r="E28" s="3">
        <v>0.42512534510900002</v>
      </c>
      <c r="AE28" s="37"/>
      <c r="AF28" s="3"/>
    </row>
    <row r="29" spans="1:32" x14ac:dyDescent="0.3">
      <c r="A29" s="37">
        <v>4.5600000000000012E-6</v>
      </c>
      <c r="B29">
        <v>0</v>
      </c>
      <c r="D29" s="37">
        <v>4.5600000000000012E-6</v>
      </c>
      <c r="E29" s="3">
        <v>0.42512534510900002</v>
      </c>
      <c r="AE29" s="37"/>
      <c r="AF29" s="3"/>
    </row>
    <row r="30" spans="1:32" x14ac:dyDescent="0.3">
      <c r="A30" s="37">
        <v>1.8240000000000005E-5</v>
      </c>
      <c r="B30">
        <v>0</v>
      </c>
      <c r="D30" s="37">
        <v>1.8240000000000005E-5</v>
      </c>
      <c r="E30" s="3">
        <v>0.10414069699125</v>
      </c>
      <c r="AE30" s="37"/>
      <c r="AF30" s="3"/>
    </row>
    <row r="31" spans="1:32" x14ac:dyDescent="0.3">
      <c r="A31" s="37">
        <v>2.5000000000000001E-5</v>
      </c>
      <c r="B31">
        <v>0</v>
      </c>
      <c r="D31" s="37">
        <v>2.5000000000000001E-5</v>
      </c>
      <c r="E31" s="3">
        <v>1.9974153935399999</v>
      </c>
      <c r="AE31" s="37"/>
      <c r="AF31" s="3"/>
    </row>
    <row r="32" spans="1:32" x14ac:dyDescent="0.3">
      <c r="A32" s="37">
        <v>4.9999999999999998E-8</v>
      </c>
      <c r="B32">
        <v>0</v>
      </c>
      <c r="D32" s="37">
        <v>4.9999999999999998E-8</v>
      </c>
      <c r="E32" s="3">
        <v>2.5115323635999998</v>
      </c>
      <c r="AE32" s="37"/>
      <c r="AF32" s="3"/>
    </row>
    <row r="33" spans="1:32" x14ac:dyDescent="0.3">
      <c r="A33" s="37">
        <v>1.8999999999999998E-7</v>
      </c>
      <c r="B33">
        <v>1</v>
      </c>
      <c r="D33" s="37">
        <v>1.8999999999999998E-7</v>
      </c>
      <c r="E33" s="3">
        <v>6.0819841393599994</v>
      </c>
      <c r="AE33" s="37"/>
      <c r="AF33" s="3"/>
    </row>
    <row r="34" spans="1:32" x14ac:dyDescent="0.3">
      <c r="A34" s="37">
        <v>7.5999999999999992E-7</v>
      </c>
      <c r="B34">
        <v>0</v>
      </c>
      <c r="D34" s="37">
        <v>7.5999999999999992E-7</v>
      </c>
      <c r="E34" s="3">
        <v>1.1226895965000001</v>
      </c>
      <c r="AE34" s="37"/>
      <c r="AF34" s="3"/>
    </row>
    <row r="35" spans="1:32" x14ac:dyDescent="0.3">
      <c r="A35" s="37">
        <v>4.0000000000000009E-7</v>
      </c>
      <c r="B35">
        <v>0</v>
      </c>
      <c r="D35" s="37">
        <v>4.0000000000000009E-7</v>
      </c>
      <c r="E35" s="3">
        <v>0.45308714391500005</v>
      </c>
      <c r="AE35" s="37"/>
      <c r="AF35" s="3"/>
    </row>
    <row r="36" spans="1:32" x14ac:dyDescent="0.3">
      <c r="A36" s="37">
        <v>1.6000000000000004E-6</v>
      </c>
      <c r="B36">
        <v>0</v>
      </c>
      <c r="D36" s="37">
        <v>1.6000000000000004E-6</v>
      </c>
      <c r="E36" s="3">
        <v>0.51693375964999999</v>
      </c>
      <c r="AE36" s="37"/>
      <c r="AF36" s="3"/>
    </row>
    <row r="37" spans="1:32" x14ac:dyDescent="0.3">
      <c r="A37" s="37">
        <v>4.0000000000000009E-7</v>
      </c>
      <c r="B37">
        <v>0</v>
      </c>
      <c r="D37" s="37">
        <v>4.0000000000000009E-7</v>
      </c>
      <c r="E37" s="3">
        <v>0.43486885318099999</v>
      </c>
      <c r="AE37" s="37"/>
      <c r="AF37" s="3"/>
    </row>
    <row r="38" spans="1:32" x14ac:dyDescent="0.3">
      <c r="A38" s="37">
        <v>1.5200000000000003E-6</v>
      </c>
      <c r="B38">
        <v>0</v>
      </c>
      <c r="D38" s="37">
        <v>1.5200000000000003E-6</v>
      </c>
      <c r="E38" s="3">
        <v>0.43486885318099999</v>
      </c>
      <c r="AE38" s="37"/>
      <c r="AF38" s="3"/>
    </row>
    <row r="39" spans="1:32" x14ac:dyDescent="0.3">
      <c r="A39" s="37">
        <v>6.0800000000000011E-6</v>
      </c>
      <c r="B39">
        <v>0</v>
      </c>
      <c r="D39" s="37">
        <v>6.0800000000000011E-6</v>
      </c>
      <c r="E39" s="3">
        <v>0.10518239092125001</v>
      </c>
      <c r="AE39" s="37"/>
      <c r="AF39" s="3"/>
    </row>
    <row r="40" spans="1:32" x14ac:dyDescent="0.3">
      <c r="A40" s="37">
        <v>2.5000000000000001E-5</v>
      </c>
      <c r="B40">
        <v>0</v>
      </c>
      <c r="D40" s="37">
        <v>2.5000000000000001E-5</v>
      </c>
      <c r="E40" s="3">
        <v>2.3473129738599998</v>
      </c>
      <c r="AE40" s="37"/>
      <c r="AF40" s="3"/>
    </row>
    <row r="41" spans="1:32" x14ac:dyDescent="0.3">
      <c r="A41" s="37">
        <v>9.9999999999999995E-8</v>
      </c>
      <c r="B41">
        <v>0</v>
      </c>
      <c r="D41" s="37">
        <v>9.9999999999999995E-8</v>
      </c>
      <c r="E41" s="3">
        <v>7.3538850360000003</v>
      </c>
      <c r="AE41" s="37"/>
      <c r="AF41" s="3"/>
    </row>
    <row r="42" spans="1:32" x14ac:dyDescent="0.3">
      <c r="A42" s="37">
        <v>3.7999999999999996E-7</v>
      </c>
      <c r="B42">
        <v>1</v>
      </c>
      <c r="D42" s="37">
        <v>3.7999999999999996E-7</v>
      </c>
      <c r="E42" s="3">
        <v>9.8900004211599999</v>
      </c>
      <c r="AE42" s="37"/>
      <c r="AF42" s="3"/>
    </row>
    <row r="43" spans="1:32" x14ac:dyDescent="0.3">
      <c r="A43" s="37">
        <v>1.5199999999999998E-6</v>
      </c>
      <c r="B43">
        <v>0</v>
      </c>
      <c r="D43" s="37">
        <v>1.5199999999999998E-6</v>
      </c>
      <c r="E43" s="3">
        <v>1.640393215</v>
      </c>
      <c r="AE43" s="37"/>
      <c r="AF43" s="3"/>
    </row>
    <row r="44" spans="1:32" x14ac:dyDescent="0.3">
      <c r="A44" s="37">
        <v>8.0000000000000018E-7</v>
      </c>
      <c r="B44">
        <v>0</v>
      </c>
      <c r="D44" s="37">
        <v>8.0000000000000018E-7</v>
      </c>
      <c r="E44" s="3">
        <v>0.66518658664999997</v>
      </c>
      <c r="AE44" s="37"/>
      <c r="AF44" s="3"/>
    </row>
    <row r="45" spans="1:32" x14ac:dyDescent="0.3">
      <c r="A45" s="37">
        <v>3.2000000000000007E-6</v>
      </c>
      <c r="B45">
        <v>0</v>
      </c>
      <c r="D45" s="37">
        <v>3.2000000000000007E-6</v>
      </c>
      <c r="E45" s="3">
        <v>1.0881585329000001</v>
      </c>
      <c r="AE45" s="37"/>
      <c r="AF45" s="3"/>
    </row>
    <row r="46" spans="1:32" x14ac:dyDescent="0.3">
      <c r="A46" s="37">
        <v>8.0000000000000018E-7</v>
      </c>
      <c r="B46">
        <v>0</v>
      </c>
      <c r="D46" s="37">
        <v>8.0000000000000018E-7</v>
      </c>
      <c r="E46" s="3">
        <v>0.54382178831000005</v>
      </c>
      <c r="AE46" s="37"/>
      <c r="AF46" s="3"/>
    </row>
    <row r="47" spans="1:32" x14ac:dyDescent="0.3">
      <c r="A47" s="37">
        <v>3.0400000000000005E-6</v>
      </c>
      <c r="B47">
        <v>0</v>
      </c>
      <c r="D47" s="37">
        <v>3.0400000000000005E-6</v>
      </c>
      <c r="E47" s="3">
        <v>0.54382178831000005</v>
      </c>
      <c r="AE47" s="37"/>
      <c r="AF47" s="3"/>
    </row>
    <row r="48" spans="1:32" x14ac:dyDescent="0.3">
      <c r="A48" s="37">
        <v>1.2160000000000002E-5</v>
      </c>
      <c r="B48">
        <v>0</v>
      </c>
      <c r="D48" s="37">
        <v>1.2160000000000002E-5</v>
      </c>
      <c r="E48" s="3">
        <v>0.11683072233750003</v>
      </c>
      <c r="AE48" s="37"/>
      <c r="AF48" s="3"/>
    </row>
    <row r="49" spans="1:32" x14ac:dyDescent="0.3">
      <c r="A49" s="37">
        <v>2.5000000000000001E-5</v>
      </c>
      <c r="B49">
        <v>0</v>
      </c>
      <c r="D49" s="37">
        <v>2.5000000000000001E-5</v>
      </c>
      <c r="E49" s="3">
        <v>6.1505065878600007</v>
      </c>
      <c r="AE49" s="37"/>
      <c r="AF49" s="3"/>
    </row>
    <row r="50" spans="1:32" x14ac:dyDescent="0.3">
      <c r="A50" s="37">
        <v>9.9999999999999995E-8</v>
      </c>
      <c r="B50">
        <v>0</v>
      </c>
      <c r="D50" s="37">
        <v>9.9999999999999995E-8</v>
      </c>
      <c r="E50" s="3">
        <v>7.488857588000001</v>
      </c>
      <c r="AE50" s="37"/>
      <c r="AF50" s="3"/>
    </row>
    <row r="51" spans="1:32" x14ac:dyDescent="0.3">
      <c r="A51" s="37">
        <v>3.7999999999999996E-7</v>
      </c>
      <c r="B51">
        <v>1</v>
      </c>
      <c r="D51" s="37">
        <v>3.7999999999999996E-7</v>
      </c>
      <c r="E51" s="3">
        <v>9.996177921160001</v>
      </c>
      <c r="AE51" s="37"/>
      <c r="AF51" s="3"/>
    </row>
    <row r="52" spans="1:32" x14ac:dyDescent="0.3">
      <c r="A52" s="37">
        <v>1.5199999999999998E-6</v>
      </c>
      <c r="B52">
        <v>0</v>
      </c>
      <c r="D52" s="37">
        <v>1.5199999999999998E-6</v>
      </c>
      <c r="E52" s="3">
        <v>1.6548233450000001</v>
      </c>
      <c r="AE52" s="37"/>
      <c r="AF52" s="3"/>
    </row>
    <row r="53" spans="1:32" x14ac:dyDescent="0.3">
      <c r="A53" s="37">
        <v>8.0000000000000018E-7</v>
      </c>
      <c r="B53">
        <v>0</v>
      </c>
      <c r="D53" s="37">
        <v>8.0000000000000018E-7</v>
      </c>
      <c r="E53" s="3">
        <v>0.67109850695000006</v>
      </c>
      <c r="AE53" s="37"/>
      <c r="AF53" s="3"/>
    </row>
    <row r="54" spans="1:32" x14ac:dyDescent="0.3">
      <c r="A54" s="37">
        <v>3.2000000000000007E-6</v>
      </c>
      <c r="B54">
        <v>0</v>
      </c>
      <c r="D54" s="37">
        <v>3.2000000000000007E-6</v>
      </c>
      <c r="E54" s="3">
        <v>1.1040851578999997</v>
      </c>
      <c r="AE54" s="37"/>
      <c r="AF54" s="3"/>
    </row>
    <row r="55" spans="1:32" x14ac:dyDescent="0.3">
      <c r="A55" s="37">
        <v>8.0000000000000018E-7</v>
      </c>
      <c r="B55">
        <v>0</v>
      </c>
      <c r="D55" s="37">
        <v>8.0000000000000018E-7</v>
      </c>
      <c r="E55" s="3">
        <v>0.54685867073000005</v>
      </c>
      <c r="AE55" s="37"/>
      <c r="AF55" s="3"/>
    </row>
    <row r="56" spans="1:32" x14ac:dyDescent="0.3">
      <c r="A56" s="37">
        <v>3.0400000000000005E-6</v>
      </c>
      <c r="B56">
        <v>0</v>
      </c>
      <c r="D56">
        <v>3.0400000000000005E-6</v>
      </c>
      <c r="E56">
        <v>0.54685867073000005</v>
      </c>
      <c r="AE56" s="37"/>
      <c r="AF56" s="3"/>
    </row>
    <row r="57" spans="1:32" x14ac:dyDescent="0.3">
      <c r="A57" s="37">
        <v>1.2160000000000002E-5</v>
      </c>
      <c r="B57">
        <v>0</v>
      </c>
      <c r="D57">
        <v>1.2160000000000002E-5</v>
      </c>
      <c r="E57">
        <v>0.11715540026250001</v>
      </c>
      <c r="AE57" s="37"/>
      <c r="AF57" s="3"/>
    </row>
    <row r="58" spans="1:32" x14ac:dyDescent="0.3">
      <c r="A58" s="37">
        <v>2.5000000000000001E-5</v>
      </c>
      <c r="B58">
        <v>0</v>
      </c>
      <c r="D58">
        <v>2.5000000000000001E-5</v>
      </c>
      <c r="E58">
        <v>6.2569720383800007</v>
      </c>
    </row>
    <row r="59" spans="1:32" x14ac:dyDescent="0.3">
      <c r="A59" s="37">
        <v>9.9999999999999995E-8</v>
      </c>
      <c r="B59">
        <v>0</v>
      </c>
      <c r="D59">
        <v>9.9999999999999995E-8</v>
      </c>
      <c r="E59">
        <v>1.7921664160000002</v>
      </c>
    </row>
    <row r="60" spans="1:32" x14ac:dyDescent="0.3">
      <c r="A60" s="37">
        <v>3.7999999999999996E-7</v>
      </c>
      <c r="B60">
        <v>1</v>
      </c>
      <c r="D60">
        <v>3.7999999999999996E-7</v>
      </c>
      <c r="E60">
        <v>5.5144385931999995</v>
      </c>
    </row>
    <row r="61" spans="1:32" x14ac:dyDescent="0.3">
      <c r="A61" s="37">
        <v>1.5199999999999998E-6</v>
      </c>
      <c r="B61">
        <v>0</v>
      </c>
      <c r="D61">
        <v>1.5199999999999998E-6</v>
      </c>
      <c r="E61">
        <v>1.0457810400000001</v>
      </c>
    </row>
    <row r="62" spans="1:32" x14ac:dyDescent="0.3">
      <c r="A62" s="37">
        <v>8.0000000000000018E-7</v>
      </c>
      <c r="B62">
        <v>0</v>
      </c>
      <c r="D62">
        <v>8.0000000000000018E-7</v>
      </c>
      <c r="E62">
        <v>0.42157826240000007</v>
      </c>
    </row>
    <row r="63" spans="1:32" x14ac:dyDescent="0.3">
      <c r="A63" s="37">
        <v>3.2000000000000007E-6</v>
      </c>
      <c r="B63">
        <v>0</v>
      </c>
      <c r="D63">
        <v>3.2000000000000007E-6</v>
      </c>
      <c r="E63">
        <v>0.43183095800000004</v>
      </c>
    </row>
    <row r="64" spans="1:32" x14ac:dyDescent="0.3">
      <c r="A64" s="37">
        <v>8.0000000000000018E-7</v>
      </c>
      <c r="B64">
        <v>0</v>
      </c>
      <c r="D64">
        <v>8.0000000000000018E-7</v>
      </c>
      <c r="E64">
        <v>0.41868311936000002</v>
      </c>
    </row>
    <row r="65" spans="1:5" x14ac:dyDescent="0.3">
      <c r="A65" s="37">
        <v>3.0400000000000005E-6</v>
      </c>
      <c r="B65">
        <v>0</v>
      </c>
      <c r="D65">
        <v>3.0400000000000005E-6</v>
      </c>
      <c r="E65">
        <v>0.41868311936000002</v>
      </c>
    </row>
    <row r="66" spans="1:5" x14ac:dyDescent="0.3">
      <c r="A66" s="37">
        <v>1.2160000000000002E-5</v>
      </c>
      <c r="B66">
        <v>0</v>
      </c>
      <c r="D66">
        <v>1.2160000000000002E-5</v>
      </c>
      <c r="E66">
        <v>0.10345194840000002</v>
      </c>
    </row>
    <row r="67" spans="1:5" x14ac:dyDescent="0.3">
      <c r="A67" s="37">
        <v>2.5000000000000001E-5</v>
      </c>
      <c r="B67">
        <v>0</v>
      </c>
      <c r="D67">
        <v>2.5000000000000001E-5</v>
      </c>
      <c r="E67">
        <v>1.7660696416000001</v>
      </c>
    </row>
    <row r="68" spans="1:5" x14ac:dyDescent="0.3">
      <c r="A68" s="37">
        <v>1.9999999999999999E-7</v>
      </c>
      <c r="B68">
        <v>0</v>
      </c>
      <c r="D68">
        <v>1.9999999999999999E-7</v>
      </c>
      <c r="E68">
        <v>1.9644215959999998</v>
      </c>
    </row>
    <row r="69" spans="1:5" x14ac:dyDescent="0.3">
      <c r="A69" s="37">
        <v>7.5999999999999992E-7</v>
      </c>
      <c r="B69">
        <v>1</v>
      </c>
      <c r="D69">
        <v>7.5999999999999992E-7</v>
      </c>
      <c r="E69">
        <v>5.6501985618399999</v>
      </c>
    </row>
    <row r="70" spans="1:5" x14ac:dyDescent="0.3">
      <c r="A70" s="37">
        <v>3.0399999999999997E-6</v>
      </c>
      <c r="B70">
        <v>0</v>
      </c>
      <c r="D70">
        <v>3.0399999999999997E-6</v>
      </c>
      <c r="E70">
        <v>1.0641971149999998</v>
      </c>
    </row>
    <row r="71" spans="1:5" x14ac:dyDescent="0.3">
      <c r="A71" s="37">
        <v>1.6000000000000004E-6</v>
      </c>
      <c r="B71">
        <v>0</v>
      </c>
      <c r="D71">
        <v>1.6000000000000004E-6</v>
      </c>
      <c r="E71">
        <v>0.42912319565000001</v>
      </c>
    </row>
    <row r="72" spans="1:5" x14ac:dyDescent="0.3">
      <c r="A72" s="37">
        <v>6.4000000000000014E-6</v>
      </c>
      <c r="B72">
        <v>0</v>
      </c>
      <c r="D72">
        <v>6.4000000000000014E-6</v>
      </c>
      <c r="E72">
        <v>0.45219048709999998</v>
      </c>
    </row>
    <row r="73" spans="1:5" x14ac:dyDescent="0.3">
      <c r="A73" s="37">
        <v>1.6000000000000004E-6</v>
      </c>
      <c r="B73">
        <v>0</v>
      </c>
      <c r="D73">
        <v>1.6000000000000004E-6</v>
      </c>
      <c r="E73">
        <v>0.42255886091</v>
      </c>
    </row>
    <row r="74" spans="1:5" x14ac:dyDescent="0.3">
      <c r="A74" s="37">
        <v>6.0800000000000011E-6</v>
      </c>
      <c r="B74">
        <v>0</v>
      </c>
      <c r="D74">
        <v>6.0800000000000011E-6</v>
      </c>
      <c r="E74">
        <v>0.42255886091</v>
      </c>
    </row>
    <row r="75" spans="1:5" x14ac:dyDescent="0.3">
      <c r="A75" s="37">
        <v>2.4320000000000004E-5</v>
      </c>
      <c r="B75">
        <v>0</v>
      </c>
      <c r="D75">
        <v>2.4320000000000004E-5</v>
      </c>
      <c r="E75">
        <v>0.10386631008750002</v>
      </c>
    </row>
    <row r="76" spans="1:5" x14ac:dyDescent="0.3">
      <c r="A76" s="37">
        <v>2.5000000000000001E-5</v>
      </c>
      <c r="B76">
        <v>0</v>
      </c>
      <c r="D76">
        <v>2.5000000000000001E-5</v>
      </c>
      <c r="E76">
        <v>1.9052507846</v>
      </c>
    </row>
    <row r="77" spans="1:5" x14ac:dyDescent="0.3">
      <c r="A77" s="37">
        <v>5.0000000000000008E-7</v>
      </c>
      <c r="B77">
        <v>1</v>
      </c>
      <c r="D77">
        <v>5.0000000000000008E-7</v>
      </c>
      <c r="E77">
        <v>5.6436317960000002</v>
      </c>
    </row>
    <row r="78" spans="1:5" x14ac:dyDescent="0.3">
      <c r="A78" s="37">
        <v>4.7500000000000006E-7</v>
      </c>
      <c r="B78">
        <v>2</v>
      </c>
      <c r="D78">
        <v>4.7500000000000006E-7</v>
      </c>
      <c r="E78">
        <v>9.3440036245599991</v>
      </c>
    </row>
    <row r="79" spans="1:5" x14ac:dyDescent="0.3">
      <c r="A79" s="37">
        <v>9.0250000000000008E-6</v>
      </c>
      <c r="B79">
        <v>0</v>
      </c>
      <c r="D79">
        <v>9.0250000000000008E-6</v>
      </c>
      <c r="E79">
        <v>1.056628865</v>
      </c>
    </row>
    <row r="80" spans="1:5" x14ac:dyDescent="0.3">
      <c r="A80" s="37">
        <v>3.1499999999999999E-6</v>
      </c>
      <c r="B80">
        <v>1</v>
      </c>
      <c r="D80">
        <v>3.1499999999999999E-6</v>
      </c>
      <c r="E80">
        <v>5.1503818399999997</v>
      </c>
    </row>
    <row r="81" spans="1:5" x14ac:dyDescent="0.3">
      <c r="A81" s="37">
        <v>2.9924999999999997E-6</v>
      </c>
      <c r="B81">
        <v>0</v>
      </c>
      <c r="D81">
        <v>2.9924999999999997E-6</v>
      </c>
      <c r="E81">
        <v>1.3888480322624002</v>
      </c>
    </row>
    <row r="82" spans="1:5" x14ac:dyDescent="0.3">
      <c r="A82" s="37">
        <v>5.6857500000000002E-5</v>
      </c>
      <c r="B82">
        <v>0</v>
      </c>
      <c r="D82">
        <v>5.6857500000000002E-5</v>
      </c>
      <c r="E82">
        <v>1.0357122557856</v>
      </c>
    </row>
    <row r="83" spans="1:5" x14ac:dyDescent="0.3">
      <c r="A83" s="37">
        <v>7.3499999999999999E-6</v>
      </c>
      <c r="B83">
        <v>0</v>
      </c>
      <c r="D83">
        <v>7.3499999999999999E-6</v>
      </c>
      <c r="E83">
        <v>0.42411977600000006</v>
      </c>
    </row>
    <row r="84" spans="1:5" x14ac:dyDescent="0.3">
      <c r="A84" s="37">
        <v>6.9824999999999988E-6</v>
      </c>
      <c r="B84">
        <v>0</v>
      </c>
      <c r="D84">
        <v>6.9824999999999988E-6</v>
      </c>
      <c r="E84">
        <v>0.42331432000000002</v>
      </c>
    </row>
    <row r="85" spans="1:5" x14ac:dyDescent="0.3">
      <c r="A85" s="37">
        <v>1.3266749999999998E-4</v>
      </c>
      <c r="B85">
        <v>0</v>
      </c>
      <c r="D85">
        <v>1.3266749999999998E-4</v>
      </c>
      <c r="E85">
        <v>0.10380658000000001</v>
      </c>
    </row>
    <row r="86" spans="1:5" x14ac:dyDescent="0.3">
      <c r="A86" s="37">
        <v>6.0000000000000008E-7</v>
      </c>
      <c r="B86">
        <v>1</v>
      </c>
      <c r="D86">
        <v>6.0000000000000008E-7</v>
      </c>
      <c r="E86">
        <v>5.1220659200000007</v>
      </c>
    </row>
    <row r="87" spans="1:5" x14ac:dyDescent="0.3">
      <c r="A87" s="37">
        <v>5.7000000000000005E-7</v>
      </c>
      <c r="B87">
        <v>0</v>
      </c>
      <c r="D87">
        <v>5.7000000000000005E-7</v>
      </c>
      <c r="E87">
        <v>1.3664055779600002</v>
      </c>
    </row>
    <row r="88" spans="1:5" x14ac:dyDescent="0.3">
      <c r="A88" s="37">
        <v>1.0830000000000001E-5</v>
      </c>
      <c r="B88">
        <v>0</v>
      </c>
      <c r="D88">
        <v>1.0830000000000001E-5</v>
      </c>
      <c r="E88">
        <v>1.03348253874</v>
      </c>
    </row>
    <row r="89" spans="1:5" x14ac:dyDescent="0.3">
      <c r="A89" s="37">
        <v>1.3999999999999999E-6</v>
      </c>
      <c r="B89">
        <v>0</v>
      </c>
      <c r="D89">
        <v>1.3999999999999999E-6</v>
      </c>
      <c r="E89">
        <v>0.41987238799999999</v>
      </c>
    </row>
    <row r="90" spans="1:5" x14ac:dyDescent="0.3">
      <c r="A90" s="37">
        <v>1.33E-6</v>
      </c>
      <c r="B90">
        <v>0</v>
      </c>
      <c r="D90">
        <v>1.33E-6</v>
      </c>
      <c r="E90">
        <v>0.41997307</v>
      </c>
    </row>
    <row r="91" spans="1:5" x14ac:dyDescent="0.3">
      <c r="A91" s="37">
        <v>2.527E-5</v>
      </c>
      <c r="B91">
        <v>0</v>
      </c>
      <c r="D91">
        <v>2.527E-5</v>
      </c>
      <c r="E91">
        <v>0.103472455</v>
      </c>
    </row>
    <row r="92" spans="1:5" x14ac:dyDescent="0.3">
      <c r="A92" s="37">
        <v>3.3779999999999998E-5</v>
      </c>
      <c r="B92">
        <v>0</v>
      </c>
      <c r="D92">
        <v>3.3779999999999998E-5</v>
      </c>
      <c r="E92">
        <v>1.4839138039999999</v>
      </c>
    </row>
    <row r="93" spans="1:5" x14ac:dyDescent="0.3">
      <c r="A93" s="37">
        <v>6.7559999999999994E-6</v>
      </c>
      <c r="B93">
        <v>0</v>
      </c>
      <c r="D93">
        <v>6.7559999999999994E-6</v>
      </c>
      <c r="E93">
        <v>1.4547647943608</v>
      </c>
    </row>
    <row r="94" spans="1:5" x14ac:dyDescent="0.3">
      <c r="A94" s="37">
        <v>1.2836399999999998E-4</v>
      </c>
      <c r="B94">
        <v>0</v>
      </c>
      <c r="D94">
        <v>1.2836399999999998E-4</v>
      </c>
      <c r="E94">
        <v>1.0422861017052001</v>
      </c>
    </row>
    <row r="95" spans="1:5" x14ac:dyDescent="0.3">
      <c r="A95" s="37">
        <v>2.2520000000000003E-4</v>
      </c>
      <c r="B95">
        <v>0</v>
      </c>
      <c r="D95">
        <v>2.2520000000000003E-4</v>
      </c>
      <c r="E95">
        <v>0.43664957059999998</v>
      </c>
    </row>
    <row r="96" spans="1:5" x14ac:dyDescent="0.3">
      <c r="A96" s="37">
        <v>4.5040000000000002E-5</v>
      </c>
      <c r="B96">
        <v>0</v>
      </c>
      <c r="D96">
        <v>4.5040000000000002E-5</v>
      </c>
      <c r="E96">
        <v>0.43284237742471998</v>
      </c>
    </row>
    <row r="97" spans="1:5" x14ac:dyDescent="0.3">
      <c r="A97" s="37">
        <v>8.5576000000000001E-4</v>
      </c>
      <c r="B97">
        <v>0</v>
      </c>
      <c r="D97">
        <v>8.5576000000000001E-4</v>
      </c>
      <c r="E97">
        <v>0.10478789778468002</v>
      </c>
    </row>
    <row r="98" spans="1:5" x14ac:dyDescent="0.3">
      <c r="A98" s="37">
        <v>5.91E-5</v>
      </c>
      <c r="B98">
        <v>0</v>
      </c>
      <c r="D98">
        <v>5.91E-5</v>
      </c>
      <c r="E98">
        <v>1.8539084920000002</v>
      </c>
    </row>
    <row r="99" spans="1:5" x14ac:dyDescent="0.3">
      <c r="A99" s="37">
        <v>1.1819999999999999E-5</v>
      </c>
      <c r="B99">
        <v>0</v>
      </c>
      <c r="D99">
        <v>1.1819999999999999E-5</v>
      </c>
      <c r="E99">
        <v>1.7478139484984001</v>
      </c>
    </row>
    <row r="100" spans="1:5" x14ac:dyDescent="0.3">
      <c r="A100" s="37">
        <v>2.2457999999999999E-4</v>
      </c>
      <c r="B100">
        <v>0</v>
      </c>
      <c r="D100">
        <v>2.2457999999999999E-4</v>
      </c>
      <c r="E100">
        <v>1.0714184375196001</v>
      </c>
    </row>
    <row r="101" spans="1:5" x14ac:dyDescent="0.3">
      <c r="A101" s="37">
        <v>3.9400000000000004E-4</v>
      </c>
      <c r="B101">
        <v>0</v>
      </c>
      <c r="D101">
        <v>3.9400000000000004E-4</v>
      </c>
      <c r="E101">
        <v>0.49214877380000005</v>
      </c>
    </row>
    <row r="102" spans="1:5" x14ac:dyDescent="0.3">
      <c r="A102" s="37">
        <v>7.8800000000000004E-5</v>
      </c>
      <c r="B102">
        <v>0</v>
      </c>
      <c r="D102">
        <v>7.8800000000000004E-5</v>
      </c>
      <c r="E102">
        <v>0.47829161614856003</v>
      </c>
    </row>
    <row r="103" spans="1:5" x14ac:dyDescent="0.3">
      <c r="A103" s="37">
        <v>1.4972E-3</v>
      </c>
      <c r="B103">
        <v>0</v>
      </c>
      <c r="D103">
        <v>1.4972E-3</v>
      </c>
      <c r="E103">
        <v>0.10917750001764001</v>
      </c>
    </row>
    <row r="104" spans="1:5" x14ac:dyDescent="0.3">
      <c r="A104" s="37">
        <v>6.1439999999999995E-5</v>
      </c>
      <c r="B104">
        <v>0</v>
      </c>
      <c r="D104">
        <v>6.1439999999999995E-5</v>
      </c>
      <c r="E104">
        <v>1.9270579520000002</v>
      </c>
    </row>
    <row r="105" spans="1:5" x14ac:dyDescent="0.3">
      <c r="A105" s="37">
        <v>1.2288E-5</v>
      </c>
      <c r="B105">
        <v>0</v>
      </c>
      <c r="D105">
        <v>1.2288E-5</v>
      </c>
      <c r="E105">
        <v>1.8057509623904</v>
      </c>
    </row>
    <row r="106" spans="1:5" x14ac:dyDescent="0.3">
      <c r="A106" s="37">
        <v>2.33472E-4</v>
      </c>
      <c r="B106">
        <v>0</v>
      </c>
      <c r="D106">
        <v>2.33472E-4</v>
      </c>
      <c r="E106">
        <v>1.0771780192175999</v>
      </c>
    </row>
    <row r="107" spans="1:5" x14ac:dyDescent="0.3">
      <c r="A107" s="37">
        <v>4.0959999999999998E-4</v>
      </c>
      <c r="B107">
        <v>0</v>
      </c>
      <c r="D107">
        <v>4.0959999999999998E-4</v>
      </c>
      <c r="E107">
        <v>0.50312119280000001</v>
      </c>
    </row>
    <row r="108" spans="1:5" x14ac:dyDescent="0.3">
      <c r="A108" s="37">
        <v>8.1920000000000002E-5</v>
      </c>
      <c r="B108">
        <v>0</v>
      </c>
      <c r="D108">
        <v>8.1920000000000002E-5</v>
      </c>
      <c r="E108">
        <v>0.48727711615136005</v>
      </c>
    </row>
    <row r="109" spans="1:5" x14ac:dyDescent="0.3">
      <c r="A109" s="37">
        <v>1.5564799999999998E-3</v>
      </c>
      <c r="B109">
        <v>0</v>
      </c>
      <c r="D109">
        <v>1.5564799999999998E-3</v>
      </c>
      <c r="E109">
        <v>0.11004534229584002</v>
      </c>
    </row>
    <row r="110" spans="1:5" x14ac:dyDescent="0.3">
      <c r="A110" s="37">
        <v>2.7539999999999997E-5</v>
      </c>
      <c r="B110">
        <v>0</v>
      </c>
      <c r="D110">
        <v>2.7539999999999997E-5</v>
      </c>
      <c r="E110">
        <v>1.769432664</v>
      </c>
    </row>
    <row r="111" spans="1:5" x14ac:dyDescent="0.3">
      <c r="A111" s="37">
        <v>5.5079999999999996E-6</v>
      </c>
      <c r="B111">
        <v>0</v>
      </c>
      <c r="D111">
        <v>5.5079999999999996E-6</v>
      </c>
      <c r="E111">
        <v>1.6809060421328001</v>
      </c>
    </row>
    <row r="112" spans="1:5" x14ac:dyDescent="0.3">
      <c r="A112" s="37">
        <v>1.0465199999999999E-4</v>
      </c>
      <c r="B112">
        <v>0</v>
      </c>
      <c r="D112">
        <v>1.0465199999999999E-4</v>
      </c>
      <c r="E112">
        <v>1.0647670496232</v>
      </c>
    </row>
    <row r="113" spans="1:5" x14ac:dyDescent="0.3">
      <c r="A113" s="37">
        <v>1.8360000000000002E-4</v>
      </c>
      <c r="B113">
        <v>0</v>
      </c>
      <c r="D113">
        <v>1.8360000000000002E-4</v>
      </c>
      <c r="E113">
        <v>0.47947739960000002</v>
      </c>
    </row>
    <row r="114" spans="1:5" x14ac:dyDescent="0.3">
      <c r="A114" s="37">
        <v>3.6720000000000001E-5</v>
      </c>
      <c r="B114">
        <v>0</v>
      </c>
      <c r="D114">
        <v>3.6720000000000001E-5</v>
      </c>
      <c r="E114">
        <v>0.46791481291952008</v>
      </c>
    </row>
    <row r="115" spans="1:5" x14ac:dyDescent="0.3">
      <c r="A115" s="37">
        <v>6.9768E-4</v>
      </c>
      <c r="B115">
        <v>0</v>
      </c>
      <c r="D115">
        <v>6.9768E-4</v>
      </c>
      <c r="E115">
        <v>0.10817528216088002</v>
      </c>
    </row>
    <row r="116" spans="1:5" x14ac:dyDescent="0.3">
      <c r="A116" s="37">
        <v>3.786E-5</v>
      </c>
      <c r="B116">
        <v>0</v>
      </c>
      <c r="D116">
        <v>3.786E-5</v>
      </c>
      <c r="E116">
        <v>1.722711396</v>
      </c>
    </row>
    <row r="117" spans="1:5" x14ac:dyDescent="0.3">
      <c r="A117" s="37">
        <v>7.5719999999999997E-6</v>
      </c>
      <c r="B117">
        <v>0</v>
      </c>
      <c r="D117">
        <v>7.5719999999999997E-6</v>
      </c>
      <c r="E117">
        <v>1.6439011106792001</v>
      </c>
    </row>
    <row r="118" spans="1:5" x14ac:dyDescent="0.3">
      <c r="A118" s="37">
        <v>1.4386799999999999E-4</v>
      </c>
      <c r="B118">
        <v>0</v>
      </c>
      <c r="D118">
        <v>1.4386799999999999E-4</v>
      </c>
      <c r="E118">
        <v>1.0610883490548</v>
      </c>
    </row>
    <row r="119" spans="1:5" x14ac:dyDescent="0.3">
      <c r="A119" s="37">
        <v>2.5240000000000001E-4</v>
      </c>
      <c r="B119">
        <v>0</v>
      </c>
      <c r="D119">
        <v>2.5240000000000001E-4</v>
      </c>
      <c r="E119">
        <v>0.47246920940000003</v>
      </c>
    </row>
    <row r="120" spans="1:5" x14ac:dyDescent="0.3">
      <c r="A120" s="37">
        <v>5.0479999999999998E-5</v>
      </c>
      <c r="B120">
        <v>0</v>
      </c>
      <c r="D120">
        <v>5.0479999999999998E-5</v>
      </c>
      <c r="E120">
        <v>0.46217568711127999</v>
      </c>
    </row>
    <row r="121" spans="1:5" x14ac:dyDescent="0.3">
      <c r="A121" s="37">
        <v>9.5911999999999994E-4</v>
      </c>
      <c r="B121">
        <v>0</v>
      </c>
      <c r="D121">
        <v>9.5911999999999994E-4</v>
      </c>
      <c r="E121">
        <v>0.10762098289932001</v>
      </c>
    </row>
    <row r="122" spans="1:5" x14ac:dyDescent="0.3">
      <c r="A122" s="37">
        <v>1.3859999999999999E-5</v>
      </c>
      <c r="B122">
        <v>0</v>
      </c>
      <c r="D122">
        <v>1.3859999999999999E-5</v>
      </c>
      <c r="E122">
        <v>1.621246016</v>
      </c>
    </row>
    <row r="123" spans="1:5" x14ac:dyDescent="0.3">
      <c r="A123" s="37">
        <v>2.7719999999999995E-6</v>
      </c>
      <c r="B123">
        <v>0</v>
      </c>
      <c r="D123">
        <v>2.7719999999999995E-6</v>
      </c>
      <c r="E123">
        <v>1.5635368656032</v>
      </c>
    </row>
    <row r="124" spans="1:5" x14ac:dyDescent="0.3">
      <c r="A124" s="37">
        <v>5.2667999999999991E-5</v>
      </c>
      <c r="B124">
        <v>0</v>
      </c>
      <c r="D124">
        <v>5.2667999999999991E-5</v>
      </c>
      <c r="E124">
        <v>1.0530992518608</v>
      </c>
    </row>
    <row r="125" spans="1:5" x14ac:dyDescent="0.3">
      <c r="A125" s="37">
        <v>9.2399999999999996E-5</v>
      </c>
      <c r="B125">
        <v>0</v>
      </c>
      <c r="D125">
        <v>9.2399999999999996E-5</v>
      </c>
      <c r="E125">
        <v>0.4572494024</v>
      </c>
    </row>
    <row r="126" spans="1:5" x14ac:dyDescent="0.3">
      <c r="A126" s="37">
        <v>1.8479999999999999E-5</v>
      </c>
      <c r="B126">
        <v>0</v>
      </c>
      <c r="D126">
        <v>1.8479999999999999E-5</v>
      </c>
      <c r="E126">
        <v>0.44971192904287999</v>
      </c>
    </row>
    <row r="127" spans="1:5" x14ac:dyDescent="0.3">
      <c r="A127" s="37">
        <v>3.5111999999999996E-4</v>
      </c>
      <c r="B127">
        <v>0</v>
      </c>
      <c r="D127">
        <v>3.5111999999999996E-4</v>
      </c>
      <c r="E127">
        <v>0.10641720167472002</v>
      </c>
    </row>
    <row r="128" spans="1:5" x14ac:dyDescent="0.3">
      <c r="A128" s="37">
        <v>1.3859999999999999E-5</v>
      </c>
      <c r="B128">
        <v>0</v>
      </c>
      <c r="D128">
        <v>1.3859999999999999E-5</v>
      </c>
      <c r="E128">
        <v>1.862403268</v>
      </c>
    </row>
    <row r="129" spans="1:5" x14ac:dyDescent="0.3">
      <c r="A129" s="37">
        <v>2.7719999999999995E-6</v>
      </c>
      <c r="B129">
        <v>0</v>
      </c>
      <c r="D129">
        <v>2.7719999999999995E-6</v>
      </c>
      <c r="E129">
        <v>1.7545421178536</v>
      </c>
    </row>
    <row r="130" spans="1:5" x14ac:dyDescent="0.3">
      <c r="A130" s="37">
        <v>5.2667999999999991E-5</v>
      </c>
      <c r="B130">
        <v>0</v>
      </c>
      <c r="D130">
        <v>5.2667999999999991E-5</v>
      </c>
      <c r="E130">
        <v>1.0720872921683999</v>
      </c>
    </row>
    <row r="131" spans="1:5" x14ac:dyDescent="0.3">
      <c r="A131" s="37">
        <v>9.2399999999999996E-5</v>
      </c>
      <c r="B131">
        <v>0</v>
      </c>
      <c r="D131">
        <v>9.2399999999999996E-5</v>
      </c>
      <c r="E131">
        <v>0.49342299020000002</v>
      </c>
    </row>
    <row r="132" spans="1:5" x14ac:dyDescent="0.3">
      <c r="A132" s="37">
        <v>1.8479999999999999E-5</v>
      </c>
      <c r="B132">
        <v>0</v>
      </c>
      <c r="D132">
        <v>1.8479999999999999E-5</v>
      </c>
      <c r="E132">
        <v>0.47933509356824</v>
      </c>
    </row>
    <row r="133" spans="1:5" x14ac:dyDescent="0.3">
      <c r="A133" s="37">
        <v>3.5111999999999996E-4</v>
      </c>
      <c r="B133">
        <v>0</v>
      </c>
      <c r="D133">
        <v>3.5111999999999996E-4</v>
      </c>
      <c r="E133">
        <v>0.10927828170156001</v>
      </c>
    </row>
    <row r="134" spans="1:5" x14ac:dyDescent="0.3">
      <c r="A134" s="37">
        <v>3.9999999999999998E-7</v>
      </c>
      <c r="B134">
        <v>1</v>
      </c>
      <c r="D134">
        <v>3.9999999999999998E-7</v>
      </c>
      <c r="E134">
        <v>5.4109693199999995</v>
      </c>
    </row>
    <row r="135" spans="1:5" x14ac:dyDescent="0.3">
      <c r="A135" s="37">
        <v>2.3039999999999997E-7</v>
      </c>
      <c r="B135">
        <v>1</v>
      </c>
      <c r="D135">
        <v>2.3039999999999997E-7</v>
      </c>
      <c r="E135">
        <v>5.4109693199999995</v>
      </c>
    </row>
    <row r="136" spans="1:5" x14ac:dyDescent="0.3">
      <c r="A136" s="37">
        <v>1.5359999999999997E-7</v>
      </c>
      <c r="B136">
        <v>0</v>
      </c>
      <c r="D136">
        <v>1.5359999999999997E-7</v>
      </c>
      <c r="E136">
        <v>1.03175455</v>
      </c>
    </row>
    <row r="137" spans="1:5" x14ac:dyDescent="0.3">
      <c r="A137" s="37">
        <v>1.2159999999999999E-6</v>
      </c>
      <c r="B137">
        <v>0</v>
      </c>
      <c r="D137">
        <v>1.2159999999999999E-6</v>
      </c>
      <c r="E137">
        <v>1.03163458</v>
      </c>
    </row>
    <row r="138" spans="1:5" x14ac:dyDescent="0.3">
      <c r="A138" s="37">
        <v>7.0000000000000007E-7</v>
      </c>
      <c r="B138">
        <v>0</v>
      </c>
      <c r="D138">
        <v>7.0000000000000007E-7</v>
      </c>
      <c r="E138">
        <v>0.72883289799999995</v>
      </c>
    </row>
    <row r="139" spans="1:5" x14ac:dyDescent="0.3">
      <c r="A139" s="37">
        <v>1.66E-7</v>
      </c>
      <c r="B139">
        <v>0</v>
      </c>
      <c r="D139">
        <v>1.66E-7</v>
      </c>
      <c r="E139">
        <v>0.417188695</v>
      </c>
    </row>
    <row r="140" spans="1:5" x14ac:dyDescent="0.3">
      <c r="A140" s="37">
        <v>5.2800000000000007E-7</v>
      </c>
      <c r="B140">
        <v>0</v>
      </c>
      <c r="D140">
        <v>5.2800000000000007E-7</v>
      </c>
      <c r="E140">
        <v>0.41708801299999998</v>
      </c>
    </row>
    <row r="141" spans="1:5" x14ac:dyDescent="0.3">
      <c r="A141" s="37">
        <v>1.8606000000000001E-5</v>
      </c>
      <c r="B141">
        <v>0</v>
      </c>
      <c r="D141">
        <v>1.8606000000000001E-5</v>
      </c>
      <c r="E141">
        <v>0.10319268450000002</v>
      </c>
    </row>
    <row r="142" spans="1:5" x14ac:dyDescent="0.3">
      <c r="A142" s="37">
        <v>6.0000000000000008E-7</v>
      </c>
      <c r="B142">
        <v>1</v>
      </c>
      <c r="D142">
        <v>6.0000000000000008E-7</v>
      </c>
      <c r="E142">
        <v>5.4104973880000005</v>
      </c>
    </row>
    <row r="143" spans="1:5" x14ac:dyDescent="0.3">
      <c r="A143" s="37">
        <v>3.4560000000000002E-7</v>
      </c>
      <c r="B143">
        <v>1</v>
      </c>
      <c r="D143">
        <v>3.4560000000000002E-7</v>
      </c>
      <c r="E143">
        <v>5.4104973880000005</v>
      </c>
    </row>
    <row r="144" spans="1:5" x14ac:dyDescent="0.3">
      <c r="A144" s="37">
        <v>2.304E-7</v>
      </c>
      <c r="B144">
        <v>0</v>
      </c>
      <c r="D144">
        <v>2.304E-7</v>
      </c>
      <c r="E144">
        <v>1.031704095</v>
      </c>
    </row>
    <row r="145" spans="1:5" x14ac:dyDescent="0.3">
      <c r="A145" s="37">
        <v>1.824E-6</v>
      </c>
      <c r="B145">
        <v>0</v>
      </c>
      <c r="D145">
        <v>1.824E-6</v>
      </c>
      <c r="E145">
        <v>1.0315961220000001</v>
      </c>
    </row>
    <row r="146" spans="1:5" x14ac:dyDescent="0.3">
      <c r="A146" s="37">
        <v>1.0500000000000003E-6</v>
      </c>
      <c r="B146">
        <v>0</v>
      </c>
      <c r="D146">
        <v>1.0500000000000003E-6</v>
      </c>
      <c r="E146">
        <v>0.72876210820000009</v>
      </c>
    </row>
    <row r="147" spans="1:5" x14ac:dyDescent="0.3">
      <c r="A147" s="37">
        <v>2.4900000000000002E-7</v>
      </c>
      <c r="B147">
        <v>0</v>
      </c>
      <c r="D147">
        <v>2.4900000000000002E-7</v>
      </c>
      <c r="E147">
        <v>0.41713300750000004</v>
      </c>
    </row>
    <row r="148" spans="1:5" x14ac:dyDescent="0.3">
      <c r="A148" s="37">
        <v>7.920000000000001E-7</v>
      </c>
      <c r="B148">
        <v>0</v>
      </c>
      <c r="D148">
        <v>7.920000000000001E-7</v>
      </c>
      <c r="E148">
        <v>0.41694171170000005</v>
      </c>
    </row>
    <row r="149" spans="1:5" x14ac:dyDescent="0.3">
      <c r="A149" s="37">
        <v>2.7909000000000003E-5</v>
      </c>
      <c r="B149">
        <v>0</v>
      </c>
      <c r="D149">
        <v>2.7909000000000003E-5</v>
      </c>
      <c r="E149">
        <v>0.10318591605000001</v>
      </c>
    </row>
    <row r="150" spans="1:5" x14ac:dyDescent="0.3">
      <c r="A150" s="37">
        <v>6.0000000000000008E-5</v>
      </c>
      <c r="B150">
        <v>1</v>
      </c>
      <c r="D150">
        <v>6.0000000000000008E-5</v>
      </c>
      <c r="E150">
        <v>5.4133289800000002</v>
      </c>
    </row>
    <row r="151" spans="1:5" x14ac:dyDescent="0.3">
      <c r="A151" s="37">
        <v>3.4560000000000001E-5</v>
      </c>
      <c r="B151">
        <v>2</v>
      </c>
      <c r="D151">
        <v>3.4560000000000001E-5</v>
      </c>
      <c r="E151">
        <v>9.1633289799999993</v>
      </c>
    </row>
    <row r="152" spans="1:5" x14ac:dyDescent="0.3">
      <c r="A152" s="37">
        <v>2.304E-5</v>
      </c>
      <c r="B152">
        <v>0</v>
      </c>
      <c r="D152">
        <v>2.304E-5</v>
      </c>
      <c r="E152">
        <v>1.0320068250000001</v>
      </c>
    </row>
    <row r="153" spans="1:5" x14ac:dyDescent="0.3">
      <c r="A153" s="37">
        <v>1.8240000000000002E-4</v>
      </c>
      <c r="B153">
        <v>0</v>
      </c>
      <c r="D153">
        <v>1.8240000000000002E-4</v>
      </c>
      <c r="E153">
        <v>1.03182687</v>
      </c>
    </row>
    <row r="154" spans="1:5" x14ac:dyDescent="0.3">
      <c r="A154" s="37">
        <v>4.6200000000000006E-4</v>
      </c>
      <c r="B154">
        <v>0</v>
      </c>
      <c r="D154">
        <v>4.6200000000000006E-4</v>
      </c>
      <c r="E154">
        <v>0.41668684699999997</v>
      </c>
    </row>
    <row r="155" spans="1:5" x14ac:dyDescent="0.3">
      <c r="A155" s="37">
        <v>1.0956E-4</v>
      </c>
      <c r="B155">
        <v>0</v>
      </c>
      <c r="D155">
        <v>1.0956E-4</v>
      </c>
      <c r="E155">
        <v>0.41736645049999999</v>
      </c>
    </row>
    <row r="156" spans="1:5" x14ac:dyDescent="0.3">
      <c r="A156" s="37">
        <v>3.4847999999999997E-4</v>
      </c>
      <c r="B156">
        <v>0</v>
      </c>
      <c r="D156">
        <v>3.4847999999999997E-4</v>
      </c>
      <c r="E156">
        <v>0.41872565750000001</v>
      </c>
    </row>
    <row r="157" spans="1:5" x14ac:dyDescent="0.3">
      <c r="A157" s="37">
        <v>1.2279959999999999E-2</v>
      </c>
      <c r="B157">
        <v>0</v>
      </c>
      <c r="D157">
        <v>1.2279959999999999E-2</v>
      </c>
      <c r="E157">
        <v>0.10323852375000001</v>
      </c>
    </row>
    <row r="158" spans="1:5" x14ac:dyDescent="0.3">
      <c r="A158" s="37">
        <v>3.3000000000000003E-5</v>
      </c>
      <c r="B158">
        <v>1</v>
      </c>
      <c r="D158">
        <v>3.3000000000000003E-5</v>
      </c>
      <c r="E158">
        <v>5.4090815919999997</v>
      </c>
    </row>
    <row r="159" spans="1:5" x14ac:dyDescent="0.3">
      <c r="A159" s="37">
        <v>1.9007999999999998E-5</v>
      </c>
      <c r="B159">
        <v>1</v>
      </c>
      <c r="D159">
        <v>1.9007999999999998E-5</v>
      </c>
      <c r="E159">
        <v>5.4090815919999997</v>
      </c>
    </row>
    <row r="160" spans="1:5" x14ac:dyDescent="0.3">
      <c r="A160" s="37">
        <v>1.2671999999999998E-5</v>
      </c>
      <c r="B160">
        <v>0</v>
      </c>
      <c r="D160">
        <v>1.2671999999999998E-5</v>
      </c>
      <c r="E160">
        <v>1.03155273</v>
      </c>
    </row>
    <row r="161" spans="1:5" x14ac:dyDescent="0.3">
      <c r="A161" s="37">
        <v>1.0032E-4</v>
      </c>
      <c r="B161">
        <v>0</v>
      </c>
      <c r="D161">
        <v>1.0032E-4</v>
      </c>
      <c r="E161">
        <v>1.0314807479999999</v>
      </c>
    </row>
    <row r="162" spans="1:5" x14ac:dyDescent="0.3">
      <c r="A162" s="37">
        <v>3.8500000000000001E-5</v>
      </c>
      <c r="B162">
        <v>0</v>
      </c>
      <c r="D162">
        <v>3.8500000000000001E-5</v>
      </c>
      <c r="E162">
        <v>0.72854973879999996</v>
      </c>
    </row>
    <row r="163" spans="1:5" x14ac:dyDescent="0.3">
      <c r="A163" s="37">
        <v>9.129999999999999E-6</v>
      </c>
      <c r="B163">
        <v>0</v>
      </c>
      <c r="D163">
        <v>9.129999999999999E-6</v>
      </c>
      <c r="E163">
        <v>0.41686526299999999</v>
      </c>
    </row>
    <row r="164" spans="1:5" x14ac:dyDescent="0.3">
      <c r="A164" s="37">
        <v>2.9039999999999996E-5</v>
      </c>
      <c r="B164">
        <v>0</v>
      </c>
      <c r="D164">
        <v>2.9039999999999996E-5</v>
      </c>
      <c r="E164">
        <v>0.41686526299999999</v>
      </c>
    </row>
    <row r="165" spans="1:5" x14ac:dyDescent="0.3">
      <c r="A165" s="37">
        <v>1.0233299999999998E-3</v>
      </c>
      <c r="B165">
        <v>0</v>
      </c>
      <c r="D165">
        <v>1.0233299999999998E-3</v>
      </c>
      <c r="E165">
        <v>0.10317040950000002</v>
      </c>
    </row>
    <row r="166" spans="1:5" x14ac:dyDescent="0.3">
      <c r="A166" s="37">
        <v>2.4000000000000001E-5</v>
      </c>
      <c r="B166">
        <v>1</v>
      </c>
      <c r="D166">
        <v>2.4000000000000001E-5</v>
      </c>
      <c r="E166">
        <v>5.4086096599999998</v>
      </c>
    </row>
    <row r="167" spans="1:5" x14ac:dyDescent="0.3">
      <c r="A167" s="37">
        <v>1.3823999999999998E-5</v>
      </c>
      <c r="B167">
        <v>1</v>
      </c>
      <c r="D167">
        <v>1.3823999999999998E-5</v>
      </c>
      <c r="E167">
        <v>5.4086096599999998</v>
      </c>
    </row>
    <row r="168" spans="1:5" x14ac:dyDescent="0.3">
      <c r="A168" s="37">
        <v>9.2159999999999978E-6</v>
      </c>
      <c r="B168">
        <v>0</v>
      </c>
      <c r="D168">
        <v>9.2159999999999978E-6</v>
      </c>
      <c r="E168">
        <v>1.031502275</v>
      </c>
    </row>
    <row r="169" spans="1:5" x14ac:dyDescent="0.3">
      <c r="A169" s="37">
        <v>7.2959999999999993E-5</v>
      </c>
      <c r="B169">
        <v>0</v>
      </c>
      <c r="D169">
        <v>7.2959999999999993E-5</v>
      </c>
      <c r="E169">
        <v>1.03144229</v>
      </c>
    </row>
    <row r="170" spans="1:5" x14ac:dyDescent="0.3">
      <c r="A170" s="37">
        <v>2.8E-5</v>
      </c>
      <c r="B170">
        <v>0</v>
      </c>
      <c r="D170">
        <v>2.8E-5</v>
      </c>
      <c r="E170">
        <v>0.7284789490000001</v>
      </c>
    </row>
    <row r="171" spans="1:5" x14ac:dyDescent="0.3">
      <c r="A171" s="37">
        <v>6.6399999999999991E-6</v>
      </c>
      <c r="B171">
        <v>0</v>
      </c>
      <c r="D171">
        <v>6.6399999999999991E-6</v>
      </c>
      <c r="E171">
        <v>0.4166585525</v>
      </c>
    </row>
    <row r="172" spans="1:5" x14ac:dyDescent="0.3">
      <c r="A172" s="37">
        <v>2.1119999999999998E-5</v>
      </c>
      <c r="B172">
        <v>0</v>
      </c>
      <c r="D172">
        <v>2.1119999999999998E-5</v>
      </c>
      <c r="E172">
        <v>0.4166585525</v>
      </c>
    </row>
    <row r="173" spans="1:5" x14ac:dyDescent="0.3">
      <c r="A173" s="37">
        <v>7.4423999999999996E-4</v>
      </c>
      <c r="B173">
        <v>0</v>
      </c>
      <c r="D173">
        <v>7.4423999999999996E-4</v>
      </c>
      <c r="E173">
        <v>0.10316284125000001</v>
      </c>
    </row>
    <row r="174" spans="1:5" x14ac:dyDescent="0.3">
      <c r="A174" s="37">
        <v>1.8539999999999999E-5</v>
      </c>
      <c r="B174">
        <v>1</v>
      </c>
      <c r="D174">
        <v>1.8539999999999999E-5</v>
      </c>
      <c r="E174">
        <v>5.4104973880000005</v>
      </c>
    </row>
    <row r="175" spans="1:5" x14ac:dyDescent="0.3">
      <c r="A175" s="37">
        <v>1.0679039999999998E-5</v>
      </c>
      <c r="B175">
        <v>1</v>
      </c>
      <c r="D175">
        <v>1.0679039999999998E-5</v>
      </c>
      <c r="E175">
        <v>5.4104973880000005</v>
      </c>
    </row>
    <row r="176" spans="1:5" x14ac:dyDescent="0.3">
      <c r="A176" s="37">
        <v>7.1193599999999989E-6</v>
      </c>
      <c r="B176">
        <v>0</v>
      </c>
      <c r="D176">
        <v>7.1193599999999989E-6</v>
      </c>
      <c r="E176">
        <v>1.031704095</v>
      </c>
    </row>
    <row r="177" spans="1:5" x14ac:dyDescent="0.3">
      <c r="A177" s="37">
        <v>5.6361599999999992E-5</v>
      </c>
      <c r="B177">
        <v>0</v>
      </c>
      <c r="D177">
        <v>5.6361599999999992E-5</v>
      </c>
      <c r="E177">
        <v>1.0315961220000001</v>
      </c>
    </row>
    <row r="178" spans="1:5" x14ac:dyDescent="0.3">
      <c r="A178" s="37">
        <v>2.1630000000000001E-5</v>
      </c>
      <c r="B178">
        <v>0</v>
      </c>
      <c r="D178">
        <v>2.1630000000000001E-5</v>
      </c>
      <c r="E178">
        <v>0.72876210820000009</v>
      </c>
    </row>
    <row r="179" spans="1:5" x14ac:dyDescent="0.3">
      <c r="A179" s="37">
        <v>5.1293999999999995E-6</v>
      </c>
      <c r="B179">
        <v>0</v>
      </c>
      <c r="D179">
        <v>5.1293999999999995E-6</v>
      </c>
      <c r="E179">
        <v>0.41748539450000005</v>
      </c>
    </row>
    <row r="180" spans="1:5" x14ac:dyDescent="0.3">
      <c r="A180" s="37">
        <v>1.6315199999999999E-5</v>
      </c>
      <c r="B180">
        <v>0</v>
      </c>
      <c r="D180">
        <v>1.6315199999999999E-5</v>
      </c>
      <c r="E180">
        <v>0.41748539450000005</v>
      </c>
    </row>
    <row r="181" spans="1:5" x14ac:dyDescent="0.3">
      <c r="A181" s="37">
        <v>5.7492539999999992E-4</v>
      </c>
      <c r="B181">
        <v>0</v>
      </c>
      <c r="D181">
        <v>5.7492539999999992E-4</v>
      </c>
      <c r="E181">
        <v>0.10319311425000001</v>
      </c>
    </row>
    <row r="182" spans="1:5" x14ac:dyDescent="0.3">
      <c r="A182" s="37">
        <v>3.9999999999999998E-7</v>
      </c>
      <c r="B182">
        <v>1</v>
      </c>
      <c r="D182">
        <v>3.9999999999999998E-7</v>
      </c>
      <c r="E182">
        <v>5.4298465999999994</v>
      </c>
    </row>
    <row r="183" spans="1:5" x14ac:dyDescent="0.3">
      <c r="A183" s="37">
        <v>2.3039999999999997E-7</v>
      </c>
      <c r="B183">
        <v>1</v>
      </c>
      <c r="D183">
        <v>2.3039999999999997E-7</v>
      </c>
      <c r="E183">
        <v>5.4298465999999994</v>
      </c>
    </row>
    <row r="184" spans="1:5" x14ac:dyDescent="0.3">
      <c r="A184" s="37">
        <v>1.5359999999999997E-7</v>
      </c>
      <c r="B184">
        <v>0</v>
      </c>
      <c r="D184">
        <v>1.5359999999999997E-7</v>
      </c>
      <c r="E184">
        <v>1.0337727499999998</v>
      </c>
    </row>
    <row r="185" spans="1:5" x14ac:dyDescent="0.3">
      <c r="A185" s="37">
        <v>1.2159999999999999E-6</v>
      </c>
      <c r="B185">
        <v>0</v>
      </c>
      <c r="D185">
        <v>1.2159999999999999E-6</v>
      </c>
      <c r="E185">
        <v>1.0331728999999998</v>
      </c>
    </row>
    <row r="186" spans="1:5" x14ac:dyDescent="0.3">
      <c r="A186" s="37">
        <v>7.0000000000000007E-7</v>
      </c>
      <c r="B186">
        <v>0</v>
      </c>
      <c r="D186">
        <v>7.0000000000000007E-7</v>
      </c>
      <c r="E186">
        <v>0.73166449000000011</v>
      </c>
    </row>
    <row r="187" spans="1:5" x14ac:dyDescent="0.3">
      <c r="A187" s="37">
        <v>8.3000000000000002E-8</v>
      </c>
      <c r="B187">
        <v>0</v>
      </c>
      <c r="D187">
        <v>8.3000000000000002E-8</v>
      </c>
      <c r="E187">
        <v>0.41941619499999999</v>
      </c>
    </row>
    <row r="188" spans="1:5" x14ac:dyDescent="0.3">
      <c r="A188" s="37">
        <v>5.2800000000000007E-7</v>
      </c>
      <c r="B188">
        <v>0</v>
      </c>
      <c r="D188">
        <v>5.2800000000000007E-7</v>
      </c>
      <c r="E188">
        <v>0.42294006500000003</v>
      </c>
    </row>
    <row r="189" spans="1:5" x14ac:dyDescent="0.3">
      <c r="A189" s="37">
        <v>1.8606000000000001E-5</v>
      </c>
      <c r="B189">
        <v>0</v>
      </c>
      <c r="D189">
        <v>1.8606000000000001E-5</v>
      </c>
      <c r="E189">
        <v>0.10346342250000001</v>
      </c>
    </row>
    <row r="190" spans="1:5" x14ac:dyDescent="0.3">
      <c r="A190" s="37">
        <v>1.4999999999999999E-5</v>
      </c>
      <c r="B190">
        <v>1</v>
      </c>
      <c r="D190">
        <v>1.4999999999999999E-5</v>
      </c>
      <c r="E190">
        <v>5.4104973880000005</v>
      </c>
    </row>
    <row r="191" spans="1:5" x14ac:dyDescent="0.3">
      <c r="A191" s="37">
        <v>8.6399999999999986E-6</v>
      </c>
      <c r="B191">
        <v>1</v>
      </c>
      <c r="D191">
        <v>8.6399999999999986E-6</v>
      </c>
      <c r="E191">
        <v>5.4104973880000005</v>
      </c>
    </row>
    <row r="192" spans="1:5" x14ac:dyDescent="0.3">
      <c r="A192" s="37">
        <v>5.7599999999999991E-6</v>
      </c>
      <c r="B192">
        <v>0</v>
      </c>
      <c r="D192">
        <v>5.7599999999999991E-6</v>
      </c>
      <c r="E192">
        <v>1.031704095</v>
      </c>
    </row>
    <row r="193" spans="1:5" x14ac:dyDescent="0.3">
      <c r="A193" s="37">
        <v>4.5599999999999997E-5</v>
      </c>
      <c r="B193">
        <v>0</v>
      </c>
      <c r="D193">
        <v>4.5599999999999997E-5</v>
      </c>
      <c r="E193">
        <v>1.0315961220000001</v>
      </c>
    </row>
    <row r="194" spans="1:5" x14ac:dyDescent="0.3">
      <c r="A194" s="37">
        <v>1.7500000000000002E-5</v>
      </c>
      <c r="B194">
        <v>0</v>
      </c>
      <c r="D194">
        <v>1.7500000000000002E-5</v>
      </c>
      <c r="E194">
        <v>0.72876210820000009</v>
      </c>
    </row>
    <row r="195" spans="1:5" x14ac:dyDescent="0.3">
      <c r="A195" s="37">
        <v>4.1500000000000001E-6</v>
      </c>
      <c r="B195">
        <v>0</v>
      </c>
      <c r="D195">
        <v>4.1500000000000001E-6</v>
      </c>
      <c r="E195">
        <v>0.41748539450000005</v>
      </c>
    </row>
    <row r="196" spans="1:5" x14ac:dyDescent="0.3">
      <c r="A196" s="37">
        <v>1.3200000000000001E-5</v>
      </c>
      <c r="B196">
        <v>0</v>
      </c>
      <c r="D196">
        <v>1.3200000000000001E-5</v>
      </c>
      <c r="E196">
        <v>0.41748539450000005</v>
      </c>
    </row>
    <row r="197" spans="1:5" x14ac:dyDescent="0.3">
      <c r="A197" s="37">
        <v>4.6515E-4</v>
      </c>
      <c r="B197">
        <v>0</v>
      </c>
      <c r="D197">
        <v>4.6515E-4</v>
      </c>
      <c r="E197">
        <v>0.10319311425000001</v>
      </c>
    </row>
    <row r="198" spans="1:5" x14ac:dyDescent="0.3">
      <c r="A198" s="37">
        <v>1.8000000000000001E-6</v>
      </c>
      <c r="B198">
        <v>1</v>
      </c>
      <c r="D198">
        <v>1.8000000000000001E-6</v>
      </c>
      <c r="E198">
        <v>5.4104973880000005</v>
      </c>
    </row>
    <row r="199" spans="1:5" x14ac:dyDescent="0.3">
      <c r="A199" s="37">
        <v>1.0368E-6</v>
      </c>
      <c r="B199">
        <v>2</v>
      </c>
      <c r="D199">
        <v>1.0368E-6</v>
      </c>
      <c r="E199">
        <v>9.1641219400000011</v>
      </c>
    </row>
    <row r="200" spans="1:5" x14ac:dyDescent="0.3">
      <c r="A200" s="37">
        <v>6.9119999999999994E-7</v>
      </c>
      <c r="B200">
        <v>0</v>
      </c>
      <c r="D200">
        <v>6.9119999999999994E-7</v>
      </c>
      <c r="E200">
        <v>1.031704095</v>
      </c>
    </row>
    <row r="201" spans="1:5" x14ac:dyDescent="0.3">
      <c r="A201" s="37">
        <v>5.4720000000000003E-6</v>
      </c>
      <c r="B201">
        <v>0</v>
      </c>
      <c r="D201">
        <v>5.4720000000000003E-6</v>
      </c>
      <c r="E201">
        <v>1.03164411</v>
      </c>
    </row>
    <row r="202" spans="1:5" x14ac:dyDescent="0.3">
      <c r="A202" s="37">
        <v>2.1000000000000002E-6</v>
      </c>
      <c r="B202">
        <v>0</v>
      </c>
      <c r="D202">
        <v>2.1000000000000002E-6</v>
      </c>
      <c r="E202">
        <v>0.72876210820000009</v>
      </c>
    </row>
    <row r="203" spans="1:5" x14ac:dyDescent="0.3">
      <c r="A203" s="37">
        <v>4.9799999999999993E-7</v>
      </c>
      <c r="B203">
        <v>0</v>
      </c>
      <c r="D203">
        <v>4.9799999999999993E-7</v>
      </c>
      <c r="E203">
        <v>0.41748539450000005</v>
      </c>
    </row>
    <row r="204" spans="1:5" x14ac:dyDescent="0.3">
      <c r="A204" s="37">
        <v>1.5839999999999998E-6</v>
      </c>
      <c r="B204">
        <v>0</v>
      </c>
      <c r="D204">
        <v>1.5839999999999998E-6</v>
      </c>
      <c r="E204">
        <v>0.41748539450000005</v>
      </c>
    </row>
    <row r="205" spans="1:5" x14ac:dyDescent="0.3">
      <c r="A205" s="37">
        <v>5.5817999999999993E-5</v>
      </c>
      <c r="B205">
        <v>0</v>
      </c>
      <c r="D205">
        <v>5.5817999999999993E-5</v>
      </c>
      <c r="E205">
        <v>0.10319311425000001</v>
      </c>
    </row>
    <row r="206" spans="1:5" x14ac:dyDescent="0.3">
      <c r="A206" s="37"/>
    </row>
    <row r="207" spans="1:5" x14ac:dyDescent="0.3">
      <c r="A207" s="37"/>
    </row>
    <row r="208" spans="1:5" x14ac:dyDescent="0.3">
      <c r="A208" s="37"/>
    </row>
    <row r="209" spans="1:1" x14ac:dyDescent="0.3">
      <c r="A209" s="37"/>
    </row>
    <row r="210" spans="1:1" x14ac:dyDescent="0.3">
      <c r="A210" s="37"/>
    </row>
    <row r="211" spans="1:1" x14ac:dyDescent="0.3">
      <c r="A211" s="37"/>
    </row>
    <row r="212" spans="1:1" x14ac:dyDescent="0.3">
      <c r="A212" s="37"/>
    </row>
    <row r="213" spans="1:1" x14ac:dyDescent="0.3">
      <c r="A213" s="37"/>
    </row>
    <row r="214" spans="1:1" x14ac:dyDescent="0.3">
      <c r="A214" s="37"/>
    </row>
    <row r="215" spans="1:1" x14ac:dyDescent="0.3">
      <c r="A215" s="37"/>
    </row>
    <row r="216" spans="1:1" x14ac:dyDescent="0.3">
      <c r="A216" s="37"/>
    </row>
    <row r="217" spans="1:1" x14ac:dyDescent="0.3">
      <c r="A217" s="37"/>
    </row>
    <row r="218" spans="1:1" x14ac:dyDescent="0.3">
      <c r="A218" s="37"/>
    </row>
    <row r="219" spans="1:1" x14ac:dyDescent="0.3">
      <c r="A219" s="37"/>
    </row>
    <row r="220" spans="1:1" x14ac:dyDescent="0.3">
      <c r="A220" s="37"/>
    </row>
    <row r="221" spans="1:1" x14ac:dyDescent="0.3">
      <c r="A221" s="37"/>
    </row>
    <row r="222" spans="1:1" x14ac:dyDescent="0.3">
      <c r="A222" s="37"/>
    </row>
    <row r="223" spans="1:1" x14ac:dyDescent="0.3">
      <c r="A223" s="37"/>
    </row>
    <row r="224" spans="1:1" x14ac:dyDescent="0.3">
      <c r="A224" s="37"/>
    </row>
    <row r="225" spans="1:1" x14ac:dyDescent="0.3">
      <c r="A225" s="37"/>
    </row>
    <row r="226" spans="1:1" x14ac:dyDescent="0.3">
      <c r="A226" s="37"/>
    </row>
    <row r="227" spans="1:1" x14ac:dyDescent="0.3">
      <c r="A227" s="37"/>
    </row>
    <row r="228" spans="1:1" x14ac:dyDescent="0.3">
      <c r="A228" s="37"/>
    </row>
    <row r="229" spans="1:1" x14ac:dyDescent="0.3">
      <c r="A229" s="37"/>
    </row>
    <row r="230" spans="1:1" x14ac:dyDescent="0.3">
      <c r="A230" s="37"/>
    </row>
    <row r="231" spans="1:1" x14ac:dyDescent="0.3">
      <c r="A231" s="37"/>
    </row>
    <row r="232" spans="1:1" x14ac:dyDescent="0.3">
      <c r="A232" s="37"/>
    </row>
    <row r="233" spans="1:1" x14ac:dyDescent="0.3">
      <c r="A233" s="37"/>
    </row>
    <row r="234" spans="1:1" x14ac:dyDescent="0.3">
      <c r="A234" s="37"/>
    </row>
    <row r="235" spans="1:1" x14ac:dyDescent="0.3">
      <c r="A235" s="37"/>
    </row>
    <row r="236" spans="1:1" x14ac:dyDescent="0.3">
      <c r="A236" s="37"/>
    </row>
    <row r="237" spans="1:1" x14ac:dyDescent="0.3">
      <c r="A237" s="37"/>
    </row>
    <row r="238" spans="1:1" x14ac:dyDescent="0.3">
      <c r="A238" s="37"/>
    </row>
    <row r="239" spans="1:1" x14ac:dyDescent="0.3">
      <c r="A239" s="37"/>
    </row>
    <row r="240" spans="1:1" x14ac:dyDescent="0.3">
      <c r="A240" s="37"/>
    </row>
    <row r="241" spans="1:1" x14ac:dyDescent="0.3">
      <c r="A241" s="37"/>
    </row>
    <row r="242" spans="1:1" x14ac:dyDescent="0.3">
      <c r="A242" s="37"/>
    </row>
    <row r="243" spans="1:1" x14ac:dyDescent="0.3">
      <c r="A243" s="37"/>
    </row>
    <row r="244" spans="1:1" x14ac:dyDescent="0.3">
      <c r="A244" s="37"/>
    </row>
    <row r="245" spans="1:1" x14ac:dyDescent="0.3">
      <c r="A245" s="37"/>
    </row>
    <row r="246" spans="1:1" x14ac:dyDescent="0.3">
      <c r="A246" s="37"/>
    </row>
    <row r="247" spans="1:1" x14ac:dyDescent="0.3">
      <c r="A247" s="37"/>
    </row>
    <row r="248" spans="1:1" x14ac:dyDescent="0.3">
      <c r="A248" s="37"/>
    </row>
    <row r="249" spans="1:1" x14ac:dyDescent="0.3">
      <c r="A249" s="37"/>
    </row>
    <row r="250" spans="1:1" x14ac:dyDescent="0.3">
      <c r="A250" s="37"/>
    </row>
    <row r="251" spans="1:1" x14ac:dyDescent="0.3">
      <c r="A251" s="37"/>
    </row>
    <row r="252" spans="1:1" x14ac:dyDescent="0.3">
      <c r="A252" s="37"/>
    </row>
    <row r="253" spans="1:1" x14ac:dyDescent="0.3">
      <c r="A253" s="37"/>
    </row>
    <row r="254" spans="1:1" x14ac:dyDescent="0.3">
      <c r="A254" s="37"/>
    </row>
    <row r="255" spans="1:1" x14ac:dyDescent="0.3">
      <c r="A255" s="37"/>
    </row>
    <row r="256" spans="1:1" x14ac:dyDescent="0.3">
      <c r="A256" s="37"/>
    </row>
    <row r="257" spans="1:1" x14ac:dyDescent="0.3">
      <c r="A257" s="37"/>
    </row>
    <row r="258" spans="1:1" x14ac:dyDescent="0.3">
      <c r="A258" s="37"/>
    </row>
    <row r="259" spans="1:1" x14ac:dyDescent="0.3">
      <c r="A259" s="37"/>
    </row>
    <row r="260" spans="1:1" x14ac:dyDescent="0.3">
      <c r="A260" s="37"/>
    </row>
    <row r="261" spans="1:1" x14ac:dyDescent="0.3">
      <c r="A261" s="37"/>
    </row>
    <row r="262" spans="1:1" x14ac:dyDescent="0.3">
      <c r="A262" s="37"/>
    </row>
    <row r="263" spans="1:1" x14ac:dyDescent="0.3">
      <c r="A263" s="37"/>
    </row>
    <row r="264" spans="1:1" x14ac:dyDescent="0.3">
      <c r="A264" s="37"/>
    </row>
    <row r="265" spans="1:1" x14ac:dyDescent="0.3">
      <c r="A265" s="37"/>
    </row>
    <row r="266" spans="1:1" x14ac:dyDescent="0.3">
      <c r="A266" s="37"/>
    </row>
    <row r="267" spans="1:1" x14ac:dyDescent="0.3">
      <c r="A267" s="37"/>
    </row>
    <row r="268" spans="1:1" x14ac:dyDescent="0.3">
      <c r="A268" s="37"/>
    </row>
    <row r="269" spans="1:1" x14ac:dyDescent="0.3">
      <c r="A269" s="37"/>
    </row>
    <row r="270" spans="1:1" x14ac:dyDescent="0.3">
      <c r="A270" s="37"/>
    </row>
    <row r="271" spans="1:1" x14ac:dyDescent="0.3">
      <c r="A271" s="37"/>
    </row>
    <row r="272" spans="1:1" x14ac:dyDescent="0.3">
      <c r="A272" s="37"/>
    </row>
    <row r="273" spans="1:1" x14ac:dyDescent="0.3">
      <c r="A273" s="37"/>
    </row>
    <row r="274" spans="1:1" x14ac:dyDescent="0.3">
      <c r="A274" s="37"/>
    </row>
    <row r="608" spans="5:5" x14ac:dyDescent="0.3">
      <c r="E608" s="3"/>
    </row>
  </sheetData>
  <conditionalFormatting sqref="E56:E6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2">
    <tabColor theme="0" tint="-0.34998626667073579"/>
  </sheetPr>
  <dimension ref="A1:O3"/>
  <sheetViews>
    <sheetView zoomScale="85" zoomScaleNormal="85" workbookViewId="0">
      <pane ySplit="1" topLeftCell="A2" activePane="bottomLeft" state="frozen"/>
      <selection pane="bottomLeft" activeCell="L5" sqref="L5"/>
    </sheetView>
  </sheetViews>
  <sheetFormatPr defaultRowHeight="14.4" x14ac:dyDescent="0.3"/>
  <cols>
    <col min="1" max="1" width="30.44140625" customWidth="1"/>
    <col min="2" max="2" width="16.5546875" customWidth="1"/>
    <col min="4" max="4" width="11.33203125" customWidth="1"/>
    <col min="5" max="5" width="16.33203125" customWidth="1"/>
    <col min="6" max="6" width="12.44140625" customWidth="1"/>
    <col min="7" max="7" width="11.33203125" customWidth="1"/>
    <col min="8" max="8" width="17" style="3" customWidth="1"/>
    <col min="9" max="9" width="11.88671875" customWidth="1"/>
    <col min="10" max="10" width="11.44140625" customWidth="1"/>
    <col min="11" max="11" width="17.88671875" style="3" customWidth="1"/>
    <col min="12" max="12" width="19.5546875" customWidth="1"/>
    <col min="13" max="13" width="13.5546875" customWidth="1"/>
    <col min="15" max="15" width="12.6640625" customWidth="1"/>
  </cols>
  <sheetData>
    <row r="1" spans="1:15" s="4" customFormat="1" ht="49.2" customHeight="1" thickBot="1" x14ac:dyDescent="0.3">
      <c r="A1" s="4" t="s">
        <v>0</v>
      </c>
      <c r="B1" s="5" t="s">
        <v>103</v>
      </c>
      <c r="C1" s="5" t="s">
        <v>100</v>
      </c>
      <c r="D1" s="57" t="s">
        <v>101</v>
      </c>
      <c r="E1" s="5" t="s">
        <v>1</v>
      </c>
      <c r="F1" s="5" t="s">
        <v>102</v>
      </c>
      <c r="G1" s="5" t="s">
        <v>2</v>
      </c>
      <c r="H1" s="4" t="s">
        <v>4</v>
      </c>
      <c r="I1" s="4" t="s">
        <v>8</v>
      </c>
      <c r="J1" s="4" t="s">
        <v>5</v>
      </c>
      <c r="K1" s="5" t="s">
        <v>104</v>
      </c>
      <c r="L1" s="58" t="s">
        <v>3</v>
      </c>
      <c r="M1" s="59" t="s">
        <v>6</v>
      </c>
      <c r="N1" s="4" t="s">
        <v>9</v>
      </c>
      <c r="O1" s="4" t="s">
        <v>7</v>
      </c>
    </row>
    <row r="2" spans="1:15" s="35" customFormat="1" ht="28.2" thickBot="1" x14ac:dyDescent="0.3">
      <c r="A2" s="205" t="s">
        <v>238</v>
      </c>
      <c r="B2" s="156">
        <v>92</v>
      </c>
      <c r="C2" s="140">
        <v>10</v>
      </c>
      <c r="D2" s="140">
        <v>0.1</v>
      </c>
      <c r="E2" s="140">
        <v>2100</v>
      </c>
      <c r="F2" s="140">
        <v>150</v>
      </c>
      <c r="G2" s="140">
        <v>300000</v>
      </c>
      <c r="H2" s="140">
        <v>100</v>
      </c>
      <c r="I2" s="140">
        <v>-25</v>
      </c>
      <c r="J2" s="143">
        <v>600</v>
      </c>
      <c r="K2" s="140">
        <v>0.25</v>
      </c>
      <c r="L2" s="36">
        <f>1-EXP((-E2*(C2-F2+ABS(C2-F2)))/(2*G2))</f>
        <v>0</v>
      </c>
      <c r="M2" s="36">
        <f>POWER(10,7.54424-(2629.65/(C2+387.195)))</f>
        <v>8.3885786695982745</v>
      </c>
      <c r="N2" s="36">
        <f>B2+B2*K2</f>
        <v>115</v>
      </c>
      <c r="O2" s="36">
        <f>MIN(L2*B2+POWER(10,-6)*M2*SQRT(H2)*3600*J2/1000,B2+B2*0.25)</f>
        <v>0.1811932992633227</v>
      </c>
    </row>
    <row r="3" spans="1:15" s="6" customFormat="1" ht="13.8" x14ac:dyDescent="0.25">
      <c r="H3" s="60"/>
      <c r="K3" s="60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3"/>
  <dimension ref="A1:BA260"/>
  <sheetViews>
    <sheetView zoomScale="85" zoomScaleNormal="85" workbookViewId="0">
      <pane ySplit="1" topLeftCell="A227" activePane="bottomLeft" state="frozen"/>
      <selection pane="bottomLeft" activeCell="A252" sqref="A252:XFD260"/>
    </sheetView>
  </sheetViews>
  <sheetFormatPr defaultRowHeight="14.4" x14ac:dyDescent="0.3"/>
  <cols>
    <col min="1" max="1" width="12" style="6" customWidth="1"/>
    <col min="2" max="2" width="28.88671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19" width="8.88671875" customWidth="1"/>
    <col min="21" max="34" width="8.886718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7.5546875" customWidth="1"/>
  </cols>
  <sheetData>
    <row r="1" spans="1:53" ht="56.4" thickBot="1" x14ac:dyDescent="0.35">
      <c r="A1" s="4" t="s">
        <v>10</v>
      </c>
      <c r="B1" s="4" t="s">
        <v>0</v>
      </c>
      <c r="C1" s="4" t="s">
        <v>11</v>
      </c>
      <c r="D1" s="5" t="s">
        <v>24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125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15" t="s">
        <v>29</v>
      </c>
      <c r="Q1" s="15" t="s">
        <v>30</v>
      </c>
      <c r="R1" s="15" t="s">
        <v>31</v>
      </c>
      <c r="S1" s="15" t="s">
        <v>32</v>
      </c>
      <c r="T1" s="15" t="s">
        <v>261</v>
      </c>
      <c r="U1" s="15" t="s">
        <v>260</v>
      </c>
      <c r="V1" s="15" t="s">
        <v>33</v>
      </c>
      <c r="W1" s="15" t="s">
        <v>34</v>
      </c>
      <c r="X1" s="15" t="s">
        <v>35</v>
      </c>
      <c r="Y1" s="15" t="s">
        <v>36</v>
      </c>
      <c r="Z1" s="15" t="s">
        <v>37</v>
      </c>
      <c r="AA1" s="15" t="s">
        <v>38</v>
      </c>
      <c r="AB1" s="15" t="s">
        <v>39</v>
      </c>
      <c r="AC1" s="4" t="s">
        <v>40</v>
      </c>
      <c r="AD1" s="4" t="s">
        <v>41</v>
      </c>
      <c r="AE1" s="15" t="s">
        <v>42</v>
      </c>
      <c r="AF1" s="15" t="s">
        <v>43</v>
      </c>
      <c r="AG1" s="15" t="s">
        <v>44</v>
      </c>
      <c r="AH1" s="15" t="s">
        <v>45</v>
      </c>
      <c r="AI1" s="15" t="s">
        <v>259</v>
      </c>
      <c r="AJ1" s="5" t="s">
        <v>194</v>
      </c>
      <c r="AK1" s="5" t="s">
        <v>48</v>
      </c>
      <c r="AL1" s="18" t="s">
        <v>56</v>
      </c>
      <c r="AM1" s="2" t="s">
        <v>57</v>
      </c>
      <c r="AN1" s="2" t="s">
        <v>58</v>
      </c>
      <c r="AQ1" s="5" t="s">
        <v>49</v>
      </c>
      <c r="AR1" s="5" t="s">
        <v>50</v>
      </c>
      <c r="AS1" s="5" t="s">
        <v>51</v>
      </c>
      <c r="AT1" s="5" t="s">
        <v>52</v>
      </c>
      <c r="AU1" s="5" t="s">
        <v>53</v>
      </c>
      <c r="AV1" s="5" t="s">
        <v>54</v>
      </c>
      <c r="AW1" s="5" t="s">
        <v>113</v>
      </c>
      <c r="AX1" s="5" t="s">
        <v>114</v>
      </c>
      <c r="AY1" s="5" t="s">
        <v>55</v>
      </c>
      <c r="AZ1" s="5" t="s">
        <v>480</v>
      </c>
      <c r="BA1" s="5" t="s">
        <v>481</v>
      </c>
    </row>
    <row r="2" spans="1:53" ht="15" thickBot="1" x14ac:dyDescent="0.35">
      <c r="A2" s="8" t="s">
        <v>18</v>
      </c>
      <c r="B2" s="62" t="s">
        <v>105</v>
      </c>
      <c r="C2" s="78" t="s">
        <v>106</v>
      </c>
      <c r="D2" s="9" t="s">
        <v>25</v>
      </c>
      <c r="E2" s="65">
        <v>1.0000000000000001E-5</v>
      </c>
      <c r="F2" s="62">
        <v>1</v>
      </c>
      <c r="G2" s="8">
        <v>0.2</v>
      </c>
      <c r="H2" s="10">
        <f t="shared" ref="H2:H7" si="2">E2*F2*G2</f>
        <v>2.0000000000000003E-6</v>
      </c>
      <c r="I2" s="63">
        <v>8.75</v>
      </c>
      <c r="J2" s="68">
        <f>I2</f>
        <v>8.75</v>
      </c>
      <c r="K2" s="71" t="s">
        <v>122</v>
      </c>
      <c r="L2" s="76">
        <v>300</v>
      </c>
      <c r="M2" s="31" t="str">
        <f t="shared" si="0"/>
        <v>С1</v>
      </c>
      <c r="N2" s="31" t="str">
        <f t="shared" si="0"/>
        <v>Трубопровод ЛВЖ</v>
      </c>
      <c r="O2" s="31" t="str">
        <f t="shared" si="1"/>
        <v>Полное-пожар</v>
      </c>
      <c r="P2" s="31">
        <v>17.100000000000001</v>
      </c>
      <c r="Q2" s="31">
        <v>23.5</v>
      </c>
      <c r="R2" s="31">
        <v>33.1</v>
      </c>
      <c r="S2" s="31">
        <v>61.2</v>
      </c>
      <c r="T2" s="31" t="s">
        <v>46</v>
      </c>
      <c r="U2" s="31" t="s">
        <v>46</v>
      </c>
      <c r="V2" s="31" t="s">
        <v>46</v>
      </c>
      <c r="W2" s="31" t="s">
        <v>46</v>
      </c>
      <c r="X2" s="31" t="s">
        <v>46</v>
      </c>
      <c r="Y2" s="31" t="s">
        <v>46</v>
      </c>
      <c r="Z2" s="31" t="s">
        <v>46</v>
      </c>
      <c r="AA2" s="31" t="s">
        <v>46</v>
      </c>
      <c r="AB2" s="31" t="s">
        <v>46</v>
      </c>
      <c r="AC2" s="31" t="s">
        <v>46</v>
      </c>
      <c r="AD2" s="31" t="s">
        <v>46</v>
      </c>
      <c r="AE2" s="31" t="s">
        <v>46</v>
      </c>
      <c r="AF2" s="31" t="s">
        <v>46</v>
      </c>
      <c r="AG2" s="31" t="s">
        <v>46</v>
      </c>
      <c r="AH2" s="31" t="s">
        <v>46</v>
      </c>
      <c r="AI2" s="31" t="s">
        <v>46</v>
      </c>
      <c r="AJ2" s="12">
        <v>1</v>
      </c>
      <c r="AK2" s="12">
        <v>2</v>
      </c>
      <c r="AL2" s="64">
        <v>0.75</v>
      </c>
      <c r="AM2" s="64">
        <v>2.7E-2</v>
      </c>
      <c r="AN2" s="64">
        <v>3</v>
      </c>
      <c r="AO2" s="31"/>
      <c r="AP2" s="31"/>
      <c r="AQ2" s="32">
        <f>AM2*I2+AL2</f>
        <v>0.98624999999999996</v>
      </c>
      <c r="AR2" s="32">
        <f t="shared" ref="AR2:AR7" si="3">0.1*AQ2</f>
        <v>9.8625000000000004E-2</v>
      </c>
      <c r="AS2" s="33">
        <f t="shared" ref="AS2:AS7" si="4">AJ2*3+0.25*AK2</f>
        <v>3.5</v>
      </c>
      <c r="AT2" s="33">
        <f t="shared" ref="AT2:AT7" si="5">SUM(AQ2:AS2)/4</f>
        <v>1.1462187500000001</v>
      </c>
      <c r="AU2" s="32">
        <f>10068.2*J2*POWER(10,-6)</f>
        <v>8.8096750000000001E-2</v>
      </c>
      <c r="AV2" s="33">
        <f t="shared" ref="AV2:AV7" si="6">AU2+AT2+AS2+AR2+AQ2</f>
        <v>5.8191905000000004</v>
      </c>
      <c r="AW2" s="34">
        <f t="shared" ref="AW2:AW7" si="7">AJ2*H2</f>
        <v>2.0000000000000003E-6</v>
      </c>
      <c r="AX2" s="34">
        <f t="shared" ref="AX2:AX7" si="8">H2*AK2</f>
        <v>4.0000000000000007E-6</v>
      </c>
      <c r="AY2" s="34">
        <f t="shared" ref="AY2:AY7" si="9">H2*AV2</f>
        <v>1.1638381000000003E-5</v>
      </c>
      <c r="AZ2" s="289">
        <f>AW2/DB!$B$23</f>
        <v>2.4096385542168678E-9</v>
      </c>
      <c r="BA2" s="289">
        <f>AX2/DB!$B$23</f>
        <v>4.8192771084337357E-9</v>
      </c>
    </row>
    <row r="3" spans="1:53" ht="15" thickBot="1" x14ac:dyDescent="0.35">
      <c r="A3" s="8" t="s">
        <v>19</v>
      </c>
      <c r="B3" s="8" t="str">
        <f>B2</f>
        <v>Трубопровод ЛВЖ</v>
      </c>
      <c r="C3" s="78" t="s">
        <v>107</v>
      </c>
      <c r="D3" s="9" t="s">
        <v>28</v>
      </c>
      <c r="E3" s="66">
        <f>E2</f>
        <v>1.0000000000000001E-5</v>
      </c>
      <c r="F3" s="67">
        <f>F2</f>
        <v>1</v>
      </c>
      <c r="G3" s="8">
        <v>0.04</v>
      </c>
      <c r="H3" s="10">
        <f t="shared" si="2"/>
        <v>4.0000000000000003E-7</v>
      </c>
      <c r="I3" s="61">
        <f>I2</f>
        <v>8.75</v>
      </c>
      <c r="J3" s="69">
        <v>0.625</v>
      </c>
      <c r="K3" s="71" t="s">
        <v>123</v>
      </c>
      <c r="L3" s="76">
        <v>0</v>
      </c>
      <c r="M3" s="31" t="str">
        <f t="shared" si="0"/>
        <v>С2</v>
      </c>
      <c r="N3" s="31" t="str">
        <f t="shared" si="0"/>
        <v>Трубопровод ЛВЖ</v>
      </c>
      <c r="O3" s="31" t="str">
        <f t="shared" si="1"/>
        <v>Полное-взрыв</v>
      </c>
      <c r="P3" s="31" t="s">
        <v>46</v>
      </c>
      <c r="Q3" s="31" t="s">
        <v>46</v>
      </c>
      <c r="R3" s="31" t="s">
        <v>46</v>
      </c>
      <c r="S3" s="31" t="s">
        <v>46</v>
      </c>
      <c r="T3" s="31">
        <v>0</v>
      </c>
      <c r="U3" s="31">
        <v>0</v>
      </c>
      <c r="V3" s="31">
        <v>64.599999999999994</v>
      </c>
      <c r="W3" s="31">
        <v>216.1</v>
      </c>
      <c r="X3" s="31">
        <v>562.6</v>
      </c>
      <c r="Y3" s="31" t="s">
        <v>46</v>
      </c>
      <c r="Z3" s="31" t="s">
        <v>46</v>
      </c>
      <c r="AA3" s="31" t="s">
        <v>46</v>
      </c>
      <c r="AB3" s="31" t="s">
        <v>46</v>
      </c>
      <c r="AC3" s="31" t="s">
        <v>46</v>
      </c>
      <c r="AD3" s="31" t="s">
        <v>46</v>
      </c>
      <c r="AE3" s="31" t="s">
        <v>46</v>
      </c>
      <c r="AF3" s="31" t="s">
        <v>46</v>
      </c>
      <c r="AG3" s="31" t="s">
        <v>46</v>
      </c>
      <c r="AH3" s="31" t="s">
        <v>46</v>
      </c>
      <c r="AI3" s="31" t="s">
        <v>46</v>
      </c>
      <c r="AJ3" s="12">
        <v>2</v>
      </c>
      <c r="AK3" s="12">
        <v>2</v>
      </c>
      <c r="AL3" s="31">
        <f>AL2</f>
        <v>0.75</v>
      </c>
      <c r="AM3" s="31">
        <f>AM2</f>
        <v>2.7E-2</v>
      </c>
      <c r="AN3" s="31">
        <f>AN2</f>
        <v>3</v>
      </c>
      <c r="AO3" s="31"/>
      <c r="AP3" s="31"/>
      <c r="AQ3" s="32">
        <f>AM3*I3+AL3</f>
        <v>0.98624999999999996</v>
      </c>
      <c r="AR3" s="32">
        <f t="shared" si="3"/>
        <v>9.8625000000000004E-2</v>
      </c>
      <c r="AS3" s="33">
        <f t="shared" si="4"/>
        <v>6.5</v>
      </c>
      <c r="AT3" s="33">
        <f t="shared" si="5"/>
        <v>1.8962187500000001</v>
      </c>
      <c r="AU3" s="32">
        <f>10068.2*J3*POWER(10,-6)*10</f>
        <v>6.2926249999999989E-2</v>
      </c>
      <c r="AV3" s="33">
        <f t="shared" si="6"/>
        <v>9.5440199999999997</v>
      </c>
      <c r="AW3" s="34">
        <f t="shared" si="7"/>
        <v>8.0000000000000007E-7</v>
      </c>
      <c r="AX3" s="34">
        <f t="shared" si="8"/>
        <v>8.0000000000000007E-7</v>
      </c>
      <c r="AY3" s="34">
        <f t="shared" si="9"/>
        <v>3.8176079999999999E-6</v>
      </c>
      <c r="AZ3" s="289">
        <f>AW3/DB!$B$23</f>
        <v>9.6385542168674709E-10</v>
      </c>
      <c r="BA3" s="289">
        <f>AX3/DB!$B$23</f>
        <v>9.6385542168674709E-10</v>
      </c>
    </row>
    <row r="4" spans="1:53" x14ac:dyDescent="0.3">
      <c r="A4" s="8" t="s">
        <v>20</v>
      </c>
      <c r="B4" s="8" t="str">
        <f>B2</f>
        <v>Трубопровод ЛВЖ</v>
      </c>
      <c r="C4" s="78" t="s">
        <v>108</v>
      </c>
      <c r="D4" s="9" t="s">
        <v>26</v>
      </c>
      <c r="E4" s="66">
        <f>E2</f>
        <v>1.0000000000000001E-5</v>
      </c>
      <c r="F4" s="67">
        <f>F2</f>
        <v>1</v>
      </c>
      <c r="G4" s="8">
        <v>0.76</v>
      </c>
      <c r="H4" s="10">
        <f t="shared" si="2"/>
        <v>7.6000000000000009E-6</v>
      </c>
      <c r="I4" s="61">
        <f>I2</f>
        <v>8.75</v>
      </c>
      <c r="J4" s="70">
        <v>0</v>
      </c>
      <c r="K4" s="71" t="s">
        <v>124</v>
      </c>
      <c r="L4" s="76">
        <v>0</v>
      </c>
      <c r="M4" s="31" t="str">
        <f t="shared" si="0"/>
        <v>С3</v>
      </c>
      <c r="N4" s="31" t="str">
        <f t="shared" si="0"/>
        <v>Трубопровод ЛВЖ</v>
      </c>
      <c r="O4" s="31" t="str">
        <f t="shared" si="1"/>
        <v>Полное-ликвидация</v>
      </c>
      <c r="P4" s="31" t="s">
        <v>46</v>
      </c>
      <c r="Q4" s="31" t="s">
        <v>46</v>
      </c>
      <c r="R4" s="31" t="s">
        <v>46</v>
      </c>
      <c r="S4" s="31" t="s">
        <v>46</v>
      </c>
      <c r="T4" s="31" t="s">
        <v>46</v>
      </c>
      <c r="U4" s="31" t="s">
        <v>46</v>
      </c>
      <c r="V4" s="31" t="s">
        <v>46</v>
      </c>
      <c r="W4" s="31" t="s">
        <v>46</v>
      </c>
      <c r="X4" s="31" t="s">
        <v>46</v>
      </c>
      <c r="Y4" s="31" t="s">
        <v>46</v>
      </c>
      <c r="Z4" s="31" t="s">
        <v>46</v>
      </c>
      <c r="AA4" s="31" t="s">
        <v>46</v>
      </c>
      <c r="AB4" s="31" t="s">
        <v>46</v>
      </c>
      <c r="AC4" s="31" t="s">
        <v>46</v>
      </c>
      <c r="AD4" s="31" t="s">
        <v>46</v>
      </c>
      <c r="AE4" s="31" t="s">
        <v>46</v>
      </c>
      <c r="AF4" s="31" t="s">
        <v>46</v>
      </c>
      <c r="AG4" s="31" t="s">
        <v>46</v>
      </c>
      <c r="AH4" s="31" t="s">
        <v>46</v>
      </c>
      <c r="AI4" s="31" t="s">
        <v>46</v>
      </c>
      <c r="AJ4" s="31">
        <v>0</v>
      </c>
      <c r="AK4" s="31">
        <v>0</v>
      </c>
      <c r="AL4" s="31">
        <f>AL2</f>
        <v>0.75</v>
      </c>
      <c r="AM4" s="31">
        <f>AM2</f>
        <v>2.7E-2</v>
      </c>
      <c r="AN4" s="31">
        <f>AN2</f>
        <v>3</v>
      </c>
      <c r="AO4" s="31"/>
      <c r="AP4" s="31"/>
      <c r="AQ4" s="32">
        <f>AM4*I4*0.1+AL4</f>
        <v>0.77362500000000001</v>
      </c>
      <c r="AR4" s="32">
        <f t="shared" si="3"/>
        <v>7.7362500000000001E-2</v>
      </c>
      <c r="AS4" s="33">
        <f t="shared" si="4"/>
        <v>0</v>
      </c>
      <c r="AT4" s="33">
        <f t="shared" si="5"/>
        <v>0.212746875</v>
      </c>
      <c r="AU4" s="32">
        <f>1333*J3*POWER(10,-6)</f>
        <v>8.3312499999999999E-4</v>
      </c>
      <c r="AV4" s="33">
        <f t="shared" si="6"/>
        <v>1.0645674999999999</v>
      </c>
      <c r="AW4" s="34">
        <f t="shared" si="7"/>
        <v>0</v>
      </c>
      <c r="AX4" s="34">
        <f t="shared" si="8"/>
        <v>0</v>
      </c>
      <c r="AY4" s="34">
        <f t="shared" si="9"/>
        <v>8.0907130000000009E-6</v>
      </c>
      <c r="AZ4" s="289">
        <f>AW4/DB!$B$23</f>
        <v>0</v>
      </c>
      <c r="BA4" s="289">
        <f>AX4/DB!$B$23</f>
        <v>0</v>
      </c>
    </row>
    <row r="5" spans="1:53" x14ac:dyDescent="0.3">
      <c r="A5" s="8" t="s">
        <v>21</v>
      </c>
      <c r="B5" s="8" t="str">
        <f>B2</f>
        <v>Трубопровод ЛВЖ</v>
      </c>
      <c r="C5" s="78" t="s">
        <v>109</v>
      </c>
      <c r="D5" s="9" t="s">
        <v>47</v>
      </c>
      <c r="E5" s="65">
        <v>1E-4</v>
      </c>
      <c r="F5" s="67">
        <f>F2</f>
        <v>1</v>
      </c>
      <c r="G5" s="8">
        <v>0.2</v>
      </c>
      <c r="H5" s="10">
        <f t="shared" si="2"/>
        <v>2.0000000000000002E-5</v>
      </c>
      <c r="I5" s="61">
        <f>0.15*I2</f>
        <v>1.3125</v>
      </c>
      <c r="J5" s="68">
        <f>I5</f>
        <v>1.3125</v>
      </c>
      <c r="K5" s="73" t="s">
        <v>126</v>
      </c>
      <c r="L5" s="77">
        <v>45390</v>
      </c>
      <c r="M5" s="31" t="str">
        <f t="shared" si="0"/>
        <v>С4</v>
      </c>
      <c r="N5" s="31" t="str">
        <f t="shared" si="0"/>
        <v>Трубопровод ЛВЖ</v>
      </c>
      <c r="O5" s="31" t="str">
        <f t="shared" si="1"/>
        <v>Частичное-пожар</v>
      </c>
      <c r="P5" s="31">
        <v>12.8</v>
      </c>
      <c r="Q5" s="31">
        <v>16.399999999999999</v>
      </c>
      <c r="R5" s="31">
        <v>21.7</v>
      </c>
      <c r="S5" s="31">
        <v>37.299999999999997</v>
      </c>
      <c r="T5" s="31" t="s">
        <v>46</v>
      </c>
      <c r="U5" s="31" t="s">
        <v>46</v>
      </c>
      <c r="V5" s="31" t="s">
        <v>46</v>
      </c>
      <c r="W5" s="31" t="s">
        <v>46</v>
      </c>
      <c r="X5" s="31" t="s">
        <v>46</v>
      </c>
      <c r="Y5" s="31" t="s">
        <v>46</v>
      </c>
      <c r="Z5" s="31" t="s">
        <v>46</v>
      </c>
      <c r="AA5" s="31" t="s">
        <v>46</v>
      </c>
      <c r="AB5" s="31" t="s">
        <v>46</v>
      </c>
      <c r="AC5" s="31" t="s">
        <v>46</v>
      </c>
      <c r="AD5" s="31" t="s">
        <v>46</v>
      </c>
      <c r="AE5" s="31" t="s">
        <v>46</v>
      </c>
      <c r="AF5" s="31" t="s">
        <v>46</v>
      </c>
      <c r="AG5" s="31" t="s">
        <v>46</v>
      </c>
      <c r="AH5" s="31" t="s">
        <v>46</v>
      </c>
      <c r="AI5" s="31" t="s">
        <v>46</v>
      </c>
      <c r="AJ5" s="31">
        <v>0</v>
      </c>
      <c r="AK5" s="31">
        <v>2</v>
      </c>
      <c r="AL5" s="31">
        <f>0.1*$AL$2</f>
        <v>7.5000000000000011E-2</v>
      </c>
      <c r="AM5" s="31">
        <f>AM2</f>
        <v>2.7E-2</v>
      </c>
      <c r="AN5" s="31">
        <f>ROUNDUP(AN2/3,0)</f>
        <v>1</v>
      </c>
      <c r="AO5" s="31"/>
      <c r="AP5" s="31"/>
      <c r="AQ5" s="32">
        <f>AM5*I5+AL5</f>
        <v>0.11043750000000001</v>
      </c>
      <c r="AR5" s="32">
        <f t="shared" si="3"/>
        <v>1.1043750000000001E-2</v>
      </c>
      <c r="AS5" s="33">
        <f t="shared" si="4"/>
        <v>0.5</v>
      </c>
      <c r="AT5" s="33">
        <f t="shared" si="5"/>
        <v>0.1553703125</v>
      </c>
      <c r="AU5" s="32">
        <f>10068.2*J5*POWER(10,-6)</f>
        <v>1.3214512500000001E-2</v>
      </c>
      <c r="AV5" s="33">
        <f t="shared" si="6"/>
        <v>0.79006607499999992</v>
      </c>
      <c r="AW5" s="34">
        <f t="shared" si="7"/>
        <v>0</v>
      </c>
      <c r="AX5" s="34">
        <f t="shared" si="8"/>
        <v>4.0000000000000003E-5</v>
      </c>
      <c r="AY5" s="34">
        <f t="shared" si="9"/>
        <v>1.5801321499999999E-5</v>
      </c>
      <c r="AZ5" s="289">
        <f>AW5/DB!$B$23</f>
        <v>0</v>
      </c>
      <c r="BA5" s="289">
        <f>AX5/DB!$B$23</f>
        <v>4.8192771084337353E-8</v>
      </c>
    </row>
    <row r="6" spans="1:53" x14ac:dyDescent="0.3">
      <c r="A6" s="8" t="s">
        <v>22</v>
      </c>
      <c r="B6" s="8" t="str">
        <f>B2</f>
        <v>Трубопровод ЛВЖ</v>
      </c>
      <c r="C6" s="78" t="s">
        <v>110</v>
      </c>
      <c r="D6" s="9" t="s">
        <v>112</v>
      </c>
      <c r="E6" s="66">
        <f>E5</f>
        <v>1E-4</v>
      </c>
      <c r="F6" s="67">
        <f>F2</f>
        <v>1</v>
      </c>
      <c r="G6" s="8">
        <v>0.04</v>
      </c>
      <c r="H6" s="10">
        <f t="shared" si="2"/>
        <v>4.0000000000000007E-6</v>
      </c>
      <c r="I6" s="61">
        <f>0.15*I2</f>
        <v>1.3125</v>
      </c>
      <c r="J6" s="68">
        <f>0.15*J3</f>
        <v>9.375E-2</v>
      </c>
      <c r="K6" s="73" t="s">
        <v>127</v>
      </c>
      <c r="L6" s="77">
        <v>3</v>
      </c>
      <c r="M6" s="31" t="str">
        <f t="shared" si="0"/>
        <v>С5</v>
      </c>
      <c r="N6" s="31" t="str">
        <f t="shared" si="0"/>
        <v>Трубопровод ЛВЖ</v>
      </c>
      <c r="O6" s="31" t="str">
        <f t="shared" si="1"/>
        <v>Частичное-пожар-вспышка</v>
      </c>
      <c r="P6" s="31" t="s">
        <v>46</v>
      </c>
      <c r="Q6" s="31" t="s">
        <v>46</v>
      </c>
      <c r="R6" s="31" t="s">
        <v>46</v>
      </c>
      <c r="S6" s="31" t="s">
        <v>46</v>
      </c>
      <c r="T6" s="31" t="s">
        <v>46</v>
      </c>
      <c r="U6" s="31" t="s">
        <v>46</v>
      </c>
      <c r="V6" s="31" t="s">
        <v>46</v>
      </c>
      <c r="W6" s="31" t="s">
        <v>46</v>
      </c>
      <c r="X6" s="31" t="s">
        <v>46</v>
      </c>
      <c r="Y6" s="31" t="s">
        <v>46</v>
      </c>
      <c r="Z6" s="31" t="s">
        <v>46</v>
      </c>
      <c r="AA6" s="31">
        <v>15.35</v>
      </c>
      <c r="AB6" s="31">
        <v>18.420000000000002</v>
      </c>
      <c r="AC6" s="31" t="s">
        <v>46</v>
      </c>
      <c r="AD6" s="31" t="s">
        <v>46</v>
      </c>
      <c r="AE6" s="31" t="s">
        <v>46</v>
      </c>
      <c r="AF6" s="31" t="s">
        <v>46</v>
      </c>
      <c r="AG6" s="31" t="s">
        <v>46</v>
      </c>
      <c r="AH6" s="31" t="s">
        <v>46</v>
      </c>
      <c r="AI6" s="31" t="s">
        <v>46</v>
      </c>
      <c r="AJ6" s="31">
        <v>0</v>
      </c>
      <c r="AK6" s="31">
        <v>1</v>
      </c>
      <c r="AL6" s="31">
        <f>0.1*$AL$2</f>
        <v>7.5000000000000011E-2</v>
      </c>
      <c r="AM6" s="31">
        <f>AM2</f>
        <v>2.7E-2</v>
      </c>
      <c r="AN6" s="31">
        <f>ROUNDUP(AN2/3,0)</f>
        <v>1</v>
      </c>
      <c r="AO6" s="31"/>
      <c r="AP6" s="31"/>
      <c r="AQ6" s="32">
        <f>AM6*I6+AL6</f>
        <v>0.11043750000000001</v>
      </c>
      <c r="AR6" s="32">
        <f t="shared" si="3"/>
        <v>1.1043750000000001E-2</v>
      </c>
      <c r="AS6" s="33">
        <f t="shared" si="4"/>
        <v>0.25</v>
      </c>
      <c r="AT6" s="33">
        <f t="shared" si="5"/>
        <v>9.2870312499999996E-2</v>
      </c>
      <c r="AU6" s="32">
        <f>10068.2*J6*POWER(10,-6)*10</f>
        <v>9.4389375000000011E-3</v>
      </c>
      <c r="AV6" s="33">
        <f t="shared" si="6"/>
        <v>0.47379050000000006</v>
      </c>
      <c r="AW6" s="34">
        <f t="shared" si="7"/>
        <v>0</v>
      </c>
      <c r="AX6" s="34">
        <f t="shared" si="8"/>
        <v>4.0000000000000007E-6</v>
      </c>
      <c r="AY6" s="34">
        <f t="shared" si="9"/>
        <v>1.8951620000000005E-6</v>
      </c>
      <c r="AZ6" s="289">
        <f>AW6/DB!$B$23</f>
        <v>0</v>
      </c>
      <c r="BA6" s="289">
        <f>AX6/DB!$B$23</f>
        <v>4.8192771084337357E-9</v>
      </c>
    </row>
    <row r="7" spans="1:53" x14ac:dyDescent="0.3">
      <c r="A7" s="169" t="s">
        <v>23</v>
      </c>
      <c r="B7" s="169" t="str">
        <f>B2</f>
        <v>Трубопровод ЛВЖ</v>
      </c>
      <c r="C7" s="170" t="s">
        <v>111</v>
      </c>
      <c r="D7" s="171" t="s">
        <v>27</v>
      </c>
      <c r="E7" s="172">
        <f>E5</f>
        <v>1E-4</v>
      </c>
      <c r="F7" s="173">
        <f>F2</f>
        <v>1</v>
      </c>
      <c r="G7" s="169">
        <v>0.76</v>
      </c>
      <c r="H7" s="174">
        <f t="shared" si="2"/>
        <v>7.6000000000000004E-5</v>
      </c>
      <c r="I7" s="175">
        <f>0.15*I2</f>
        <v>1.3125</v>
      </c>
      <c r="J7" s="176">
        <v>0</v>
      </c>
      <c r="K7" s="177" t="s">
        <v>138</v>
      </c>
      <c r="L7" s="178">
        <v>1</v>
      </c>
      <c r="M7" s="31" t="str">
        <f t="shared" si="0"/>
        <v>С6</v>
      </c>
      <c r="N7" s="31" t="str">
        <f t="shared" si="0"/>
        <v>Трубопровод ЛВЖ</v>
      </c>
      <c r="O7" s="31" t="str">
        <f t="shared" si="1"/>
        <v>Частичное-ликвидация</v>
      </c>
      <c r="P7" s="31" t="s">
        <v>46</v>
      </c>
      <c r="Q7" s="31" t="s">
        <v>46</v>
      </c>
      <c r="R7" s="31" t="s">
        <v>46</v>
      </c>
      <c r="S7" s="31" t="s">
        <v>46</v>
      </c>
      <c r="T7" s="31" t="s">
        <v>46</v>
      </c>
      <c r="U7" s="31" t="s">
        <v>46</v>
      </c>
      <c r="V7" s="31" t="s">
        <v>46</v>
      </c>
      <c r="W7" s="31" t="s">
        <v>46</v>
      </c>
      <c r="X7" s="31" t="s">
        <v>46</v>
      </c>
      <c r="Y7" s="31" t="s">
        <v>46</v>
      </c>
      <c r="Z7" s="31" t="s">
        <v>46</v>
      </c>
      <c r="AA7" s="31" t="s">
        <v>46</v>
      </c>
      <c r="AB7" s="31" t="s">
        <v>46</v>
      </c>
      <c r="AC7" s="31" t="s">
        <v>46</v>
      </c>
      <c r="AD7" s="31" t="s">
        <v>46</v>
      </c>
      <c r="AE7" s="31" t="s">
        <v>46</v>
      </c>
      <c r="AF7" s="31" t="s">
        <v>46</v>
      </c>
      <c r="AG7" s="31" t="s">
        <v>46</v>
      </c>
      <c r="AH7" s="31" t="s">
        <v>46</v>
      </c>
      <c r="AI7" s="31" t="s">
        <v>46</v>
      </c>
      <c r="AJ7" s="31">
        <v>0</v>
      </c>
      <c r="AK7" s="31">
        <v>0</v>
      </c>
      <c r="AL7" s="31">
        <f>0.1*$AL$2</f>
        <v>7.5000000000000011E-2</v>
      </c>
      <c r="AM7" s="31">
        <f>AM2</f>
        <v>2.7E-2</v>
      </c>
      <c r="AN7" s="31">
        <f>ROUNDUP(AN2/3,0)</f>
        <v>1</v>
      </c>
      <c r="AO7" s="31"/>
      <c r="AP7" s="31"/>
      <c r="AQ7" s="32">
        <f>AM7*I7*0.1+AL7</f>
        <v>7.8543750000000009E-2</v>
      </c>
      <c r="AR7" s="32">
        <f t="shared" si="3"/>
        <v>7.854375000000002E-3</v>
      </c>
      <c r="AS7" s="33">
        <f t="shared" si="4"/>
        <v>0</v>
      </c>
      <c r="AT7" s="33">
        <f t="shared" si="5"/>
        <v>2.1599531250000002E-2</v>
      </c>
      <c r="AU7" s="32">
        <f>1333*J6*POWER(10,-6)</f>
        <v>1.2496875E-4</v>
      </c>
      <c r="AV7" s="33">
        <f t="shared" si="6"/>
        <v>0.10812262500000001</v>
      </c>
      <c r="AW7" s="34">
        <f t="shared" si="7"/>
        <v>0</v>
      </c>
      <c r="AX7" s="34">
        <f t="shared" si="8"/>
        <v>0</v>
      </c>
      <c r="AY7" s="34">
        <f t="shared" si="9"/>
        <v>8.2173195000000018E-6</v>
      </c>
      <c r="AZ7" s="289">
        <f>AW7/DB!$B$23</f>
        <v>0</v>
      </c>
      <c r="BA7" s="289">
        <f>AX7/DB!$B$23</f>
        <v>0</v>
      </c>
    </row>
    <row r="8" spans="1:53" s="179" customFormat="1" x14ac:dyDescent="0.3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</row>
    <row r="9" spans="1:53" s="179" customFormat="1" x14ac:dyDescent="0.3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</row>
    <row r="10" spans="1:53" s="179" customFormat="1" x14ac:dyDescent="0.3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</row>
    <row r="11" spans="1:53" ht="15" thickBot="1" x14ac:dyDescent="0.35">
      <c r="E11" s="14"/>
      <c r="F11" s="14"/>
    </row>
    <row r="12" spans="1:53" s="236" customFormat="1" ht="15" thickBot="1" x14ac:dyDescent="0.35">
      <c r="A12" s="226" t="s">
        <v>18</v>
      </c>
      <c r="B12" s="227" t="s">
        <v>115</v>
      </c>
      <c r="C12" s="228" t="s">
        <v>106</v>
      </c>
      <c r="D12" s="229" t="s">
        <v>25</v>
      </c>
      <c r="E12" s="230">
        <v>2.9999999999999999E-7</v>
      </c>
      <c r="F12" s="227">
        <v>6800</v>
      </c>
      <c r="G12" s="226">
        <v>0.2</v>
      </c>
      <c r="H12" s="231">
        <f t="shared" ref="H12:H17" si="10">E12*F12*G12</f>
        <v>4.0799999999999994E-4</v>
      </c>
      <c r="I12" s="260">
        <v>23.29</v>
      </c>
      <c r="J12" s="261">
        <f>I12</f>
        <v>23.29</v>
      </c>
      <c r="K12" s="234" t="s">
        <v>122</v>
      </c>
      <c r="L12" s="235">
        <v>420</v>
      </c>
      <c r="M12" s="236" t="str">
        <f t="shared" ref="M12:N17" si="11">A12</f>
        <v>С1</v>
      </c>
      <c r="N12" s="236" t="str">
        <f t="shared" si="11"/>
        <v>Трубопровод ЛВЖ+токси</v>
      </c>
      <c r="O12" s="236" t="str">
        <f t="shared" ref="O12:O17" si="12">D12</f>
        <v>Полное-пожар</v>
      </c>
      <c r="P12" s="236">
        <v>18</v>
      </c>
      <c r="Q12" s="236">
        <v>24.9</v>
      </c>
      <c r="R12" s="236">
        <v>35.4</v>
      </c>
      <c r="S12" s="236">
        <v>65.900000000000006</v>
      </c>
      <c r="T12" s="236" t="s">
        <v>46</v>
      </c>
      <c r="U12" s="236" t="s">
        <v>46</v>
      </c>
      <c r="V12" s="236" t="s">
        <v>46</v>
      </c>
      <c r="W12" s="236" t="s">
        <v>46</v>
      </c>
      <c r="X12" s="236" t="s">
        <v>46</v>
      </c>
      <c r="Y12" s="236" t="s">
        <v>46</v>
      </c>
      <c r="Z12" s="236" t="s">
        <v>46</v>
      </c>
      <c r="AA12" s="236" t="s">
        <v>46</v>
      </c>
      <c r="AB12" s="236" t="s">
        <v>46</v>
      </c>
      <c r="AC12" s="236" t="s">
        <v>46</v>
      </c>
      <c r="AD12" s="236" t="s">
        <v>46</v>
      </c>
      <c r="AE12" s="236" t="s">
        <v>46</v>
      </c>
      <c r="AF12" s="236" t="s">
        <v>46</v>
      </c>
      <c r="AG12" s="236" t="s">
        <v>46</v>
      </c>
      <c r="AH12" s="236" t="s">
        <v>46</v>
      </c>
      <c r="AI12" s="236" t="s">
        <v>46</v>
      </c>
      <c r="AJ12" s="237">
        <v>1</v>
      </c>
      <c r="AK12" s="237">
        <v>2</v>
      </c>
      <c r="AL12" s="238">
        <v>0.75</v>
      </c>
      <c r="AM12" s="238">
        <v>2.7E-2</v>
      </c>
      <c r="AN12" s="238">
        <v>3</v>
      </c>
      <c r="AQ12" s="239">
        <f>AM12*I12+AL12</f>
        <v>1.37883</v>
      </c>
      <c r="AR12" s="239">
        <f t="shared" ref="AR12:AR17" si="13">0.1*AQ12</f>
        <v>0.13788300000000001</v>
      </c>
      <c r="AS12" s="240">
        <f t="shared" ref="AS12:AS17" si="14">AJ12*3+0.25*AK12</f>
        <v>3.5</v>
      </c>
      <c r="AT12" s="240">
        <f t="shared" ref="AT12:AT17" si="15">SUM(AQ12:AS12)/4</f>
        <v>1.25417825</v>
      </c>
      <c r="AU12" s="239">
        <f>10068.2*J12*POWER(10,-6)</f>
        <v>0.234488378</v>
      </c>
      <c r="AV12" s="240">
        <f t="shared" ref="AV12:AV17" si="16">AU12+AT12+AS12+AR12+AQ12</f>
        <v>6.505379628</v>
      </c>
      <c r="AW12" s="241">
        <f t="shared" ref="AW12:AW17" si="17">AJ12*H12</f>
        <v>4.0799999999999994E-4</v>
      </c>
      <c r="AX12" s="241">
        <f t="shared" ref="AX12:AX17" si="18">H12*AK12</f>
        <v>8.1599999999999989E-4</v>
      </c>
      <c r="AY12" s="241">
        <f t="shared" ref="AY12:AY17" si="19">H12*AV12</f>
        <v>2.6541948882239995E-3</v>
      </c>
      <c r="AZ12" s="289">
        <f>AW12/DB!$B$23</f>
        <v>4.9156626506024088E-7</v>
      </c>
      <c r="BA12" s="289">
        <f>AX12/DB!$B$23</f>
        <v>9.8313253012048176E-7</v>
      </c>
    </row>
    <row r="13" spans="1:53" s="236" customFormat="1" ht="15" thickBot="1" x14ac:dyDescent="0.35">
      <c r="A13" s="226" t="s">
        <v>19</v>
      </c>
      <c r="B13" s="226" t="str">
        <f>B12</f>
        <v>Трубопровод ЛВЖ+токси</v>
      </c>
      <c r="C13" s="228" t="s">
        <v>107</v>
      </c>
      <c r="D13" s="229" t="s">
        <v>28</v>
      </c>
      <c r="E13" s="242">
        <f>E12</f>
        <v>2.9999999999999999E-7</v>
      </c>
      <c r="F13" s="243">
        <f>F12</f>
        <v>6800</v>
      </c>
      <c r="G13" s="226">
        <v>0.04</v>
      </c>
      <c r="H13" s="231">
        <f t="shared" si="10"/>
        <v>8.1599999999999991E-5</v>
      </c>
      <c r="I13" s="261">
        <f>I12</f>
        <v>23.29</v>
      </c>
      <c r="J13" s="260">
        <v>0.36</v>
      </c>
      <c r="K13" s="234" t="s">
        <v>123</v>
      </c>
      <c r="L13" s="235">
        <v>0</v>
      </c>
      <c r="M13" s="236" t="str">
        <f t="shared" si="11"/>
        <v>С2</v>
      </c>
      <c r="N13" s="236" t="str">
        <f t="shared" si="11"/>
        <v>Трубопровод ЛВЖ+токси</v>
      </c>
      <c r="O13" s="236" t="str">
        <f t="shared" si="12"/>
        <v>Полное-взрыв</v>
      </c>
      <c r="P13" s="236" t="s">
        <v>46</v>
      </c>
      <c r="Q13" s="236" t="s">
        <v>46</v>
      </c>
      <c r="R13" s="236" t="s">
        <v>46</v>
      </c>
      <c r="S13" s="236" t="s">
        <v>46</v>
      </c>
      <c r="T13" s="236">
        <v>0</v>
      </c>
      <c r="U13" s="236">
        <v>0</v>
      </c>
      <c r="V13" s="236">
        <v>54.1</v>
      </c>
      <c r="W13" s="236">
        <v>180.1</v>
      </c>
      <c r="X13" s="236">
        <v>468.1</v>
      </c>
      <c r="Y13" s="236" t="s">
        <v>46</v>
      </c>
      <c r="Z13" s="236" t="s">
        <v>46</v>
      </c>
      <c r="AA13" s="236" t="s">
        <v>46</v>
      </c>
      <c r="AB13" s="236" t="s">
        <v>46</v>
      </c>
      <c r="AC13" s="236" t="s">
        <v>46</v>
      </c>
      <c r="AD13" s="236" t="s">
        <v>46</v>
      </c>
      <c r="AE13" s="236" t="s">
        <v>46</v>
      </c>
      <c r="AF13" s="236" t="s">
        <v>46</v>
      </c>
      <c r="AG13" s="236" t="s">
        <v>46</v>
      </c>
      <c r="AH13" s="236" t="s">
        <v>46</v>
      </c>
      <c r="AI13" s="236" t="s">
        <v>46</v>
      </c>
      <c r="AJ13" s="237">
        <v>2</v>
      </c>
      <c r="AK13" s="237">
        <v>1</v>
      </c>
      <c r="AL13" s="236">
        <f>AL12</f>
        <v>0.75</v>
      </c>
      <c r="AM13" s="236">
        <f>AM12</f>
        <v>2.7E-2</v>
      </c>
      <c r="AN13" s="236">
        <f>AN12</f>
        <v>3</v>
      </c>
      <c r="AQ13" s="239">
        <f>AM13*I13+AL13</f>
        <v>1.37883</v>
      </c>
      <c r="AR13" s="239">
        <f t="shared" si="13"/>
        <v>0.13788300000000001</v>
      </c>
      <c r="AS13" s="240">
        <f t="shared" si="14"/>
        <v>6.25</v>
      </c>
      <c r="AT13" s="240">
        <f t="shared" si="15"/>
        <v>1.94167825</v>
      </c>
      <c r="AU13" s="239">
        <f>10068.2*J13*POWER(10,-6)*10</f>
        <v>3.6245520000000003E-2</v>
      </c>
      <c r="AV13" s="240">
        <f t="shared" si="16"/>
        <v>9.7446367700000014</v>
      </c>
      <c r="AW13" s="241">
        <f t="shared" si="17"/>
        <v>1.6319999999999998E-4</v>
      </c>
      <c r="AX13" s="241">
        <f t="shared" si="18"/>
        <v>8.1599999999999991E-5</v>
      </c>
      <c r="AY13" s="241">
        <f t="shared" si="19"/>
        <v>7.9516236043199998E-4</v>
      </c>
      <c r="AZ13" s="289">
        <f>AW13/DB!$B$23</f>
        <v>1.9662650602409635E-7</v>
      </c>
      <c r="BA13" s="289">
        <f>AX13/DB!$B$23</f>
        <v>9.8313253012048176E-8</v>
      </c>
    </row>
    <row r="14" spans="1:53" s="236" customFormat="1" x14ac:dyDescent="0.3">
      <c r="A14" s="226" t="s">
        <v>20</v>
      </c>
      <c r="B14" s="226" t="str">
        <f>B12</f>
        <v>Трубопровод ЛВЖ+токси</v>
      </c>
      <c r="C14" s="228" t="s">
        <v>116</v>
      </c>
      <c r="D14" s="229" t="s">
        <v>118</v>
      </c>
      <c r="E14" s="242">
        <f>E12</f>
        <v>2.9999999999999999E-7</v>
      </c>
      <c r="F14" s="243">
        <f>F12</f>
        <v>6800</v>
      </c>
      <c r="G14" s="226">
        <v>0.76</v>
      </c>
      <c r="H14" s="231">
        <f t="shared" si="10"/>
        <v>1.5503999999999997E-3</v>
      </c>
      <c r="I14" s="261">
        <f>I12</f>
        <v>23.29</v>
      </c>
      <c r="J14" s="262">
        <f>J13</f>
        <v>0.36</v>
      </c>
      <c r="K14" s="234" t="s">
        <v>124</v>
      </c>
      <c r="L14" s="235">
        <v>0</v>
      </c>
      <c r="M14" s="236" t="str">
        <f t="shared" si="11"/>
        <v>С3</v>
      </c>
      <c r="N14" s="236" t="str">
        <f t="shared" si="11"/>
        <v>Трубопровод ЛВЖ+токси</v>
      </c>
      <c r="O14" s="236" t="str">
        <f t="shared" si="12"/>
        <v>Полное-токси</v>
      </c>
      <c r="P14" s="236" t="s">
        <v>46</v>
      </c>
      <c r="Q14" s="236" t="s">
        <v>46</v>
      </c>
      <c r="R14" s="236" t="s">
        <v>46</v>
      </c>
      <c r="S14" s="236" t="s">
        <v>46</v>
      </c>
      <c r="T14" s="236" t="s">
        <v>46</v>
      </c>
      <c r="U14" s="236" t="s">
        <v>46</v>
      </c>
      <c r="V14" s="236" t="s">
        <v>46</v>
      </c>
      <c r="W14" s="236" t="s">
        <v>46</v>
      </c>
      <c r="X14" s="236" t="s">
        <v>46</v>
      </c>
      <c r="Y14" s="236" t="s">
        <v>46</v>
      </c>
      <c r="Z14" s="236" t="s">
        <v>46</v>
      </c>
      <c r="AA14" s="236" t="s">
        <v>46</v>
      </c>
      <c r="AB14" s="236" t="s">
        <v>46</v>
      </c>
      <c r="AC14" s="236">
        <v>131.4</v>
      </c>
      <c r="AD14" s="236">
        <v>248</v>
      </c>
      <c r="AE14" s="236" t="s">
        <v>46</v>
      </c>
      <c r="AF14" s="236" t="s">
        <v>46</v>
      </c>
      <c r="AG14" s="236" t="s">
        <v>46</v>
      </c>
      <c r="AH14" s="236" t="s">
        <v>46</v>
      </c>
      <c r="AI14" s="236" t="s">
        <v>46</v>
      </c>
      <c r="AJ14" s="236">
        <v>0</v>
      </c>
      <c r="AK14" s="236">
        <v>1</v>
      </c>
      <c r="AL14" s="236">
        <f>AL12</f>
        <v>0.75</v>
      </c>
      <c r="AM14" s="236">
        <f>AM12</f>
        <v>2.7E-2</v>
      </c>
      <c r="AN14" s="236">
        <f>AN12</f>
        <v>3</v>
      </c>
      <c r="AQ14" s="239">
        <f>AM14*I14*0.1+AL14</f>
        <v>0.81288300000000002</v>
      </c>
      <c r="AR14" s="239">
        <f t="shared" si="13"/>
        <v>8.1288300000000008E-2</v>
      </c>
      <c r="AS14" s="240">
        <f t="shared" si="14"/>
        <v>0.25</v>
      </c>
      <c r="AT14" s="240">
        <f t="shared" si="15"/>
        <v>0.286042825</v>
      </c>
      <c r="AU14" s="239">
        <f>1333*J13*POWER(10,-6)</f>
        <v>4.7987999999999997E-4</v>
      </c>
      <c r="AV14" s="240">
        <f t="shared" si="16"/>
        <v>1.4306940049999999</v>
      </c>
      <c r="AW14" s="241">
        <f t="shared" si="17"/>
        <v>0</v>
      </c>
      <c r="AX14" s="241">
        <f t="shared" si="18"/>
        <v>1.5503999999999997E-3</v>
      </c>
      <c r="AY14" s="241">
        <f t="shared" si="19"/>
        <v>2.2181479853519994E-3</v>
      </c>
      <c r="AZ14" s="289">
        <f>AW14/DB!$B$23</f>
        <v>0</v>
      </c>
      <c r="BA14" s="289">
        <f>AX14/DB!$B$23</f>
        <v>1.8679518072289152E-6</v>
      </c>
    </row>
    <row r="15" spans="1:53" s="236" customFormat="1" x14ac:dyDescent="0.3">
      <c r="A15" s="226" t="s">
        <v>21</v>
      </c>
      <c r="B15" s="226" t="str">
        <f>B12</f>
        <v>Трубопровод ЛВЖ+токси</v>
      </c>
      <c r="C15" s="228" t="s">
        <v>109</v>
      </c>
      <c r="D15" s="229" t="s">
        <v>47</v>
      </c>
      <c r="E15" s="230">
        <v>1.9999999999999999E-6</v>
      </c>
      <c r="F15" s="243">
        <f>F12</f>
        <v>6800</v>
      </c>
      <c r="G15" s="226">
        <v>0.2</v>
      </c>
      <c r="H15" s="231">
        <f t="shared" si="10"/>
        <v>2.7200000000000002E-3</v>
      </c>
      <c r="I15" s="261">
        <f>0.15*I12</f>
        <v>3.4934999999999996</v>
      </c>
      <c r="J15" s="261">
        <f>I15</f>
        <v>3.4934999999999996</v>
      </c>
      <c r="K15" s="246" t="s">
        <v>126</v>
      </c>
      <c r="L15" s="247">
        <v>45390</v>
      </c>
      <c r="M15" s="236" t="str">
        <f t="shared" si="11"/>
        <v>С4</v>
      </c>
      <c r="N15" s="236" t="str">
        <f t="shared" si="11"/>
        <v>Трубопровод ЛВЖ+токси</v>
      </c>
      <c r="O15" s="236" t="str">
        <f t="shared" si="12"/>
        <v>Частичное-пожар</v>
      </c>
      <c r="P15" s="236">
        <v>12.4</v>
      </c>
      <c r="Q15" s="236">
        <v>16.3</v>
      </c>
      <c r="R15" s="236">
        <v>22.1</v>
      </c>
      <c r="S15" s="236">
        <v>39.700000000000003</v>
      </c>
      <c r="T15" s="236" t="s">
        <v>46</v>
      </c>
      <c r="U15" s="236" t="s">
        <v>46</v>
      </c>
      <c r="V15" s="236" t="s">
        <v>46</v>
      </c>
      <c r="W15" s="236" t="s">
        <v>46</v>
      </c>
      <c r="X15" s="236" t="s">
        <v>46</v>
      </c>
      <c r="Y15" s="236" t="s">
        <v>46</v>
      </c>
      <c r="Z15" s="236" t="s">
        <v>46</v>
      </c>
      <c r="AA15" s="236" t="s">
        <v>46</v>
      </c>
      <c r="AB15" s="236" t="s">
        <v>46</v>
      </c>
      <c r="AC15" s="236" t="s">
        <v>46</v>
      </c>
      <c r="AD15" s="236" t="s">
        <v>46</v>
      </c>
      <c r="AE15" s="236" t="s">
        <v>46</v>
      </c>
      <c r="AF15" s="236" t="s">
        <v>46</v>
      </c>
      <c r="AG15" s="236" t="s">
        <v>46</v>
      </c>
      <c r="AH15" s="236" t="s">
        <v>46</v>
      </c>
      <c r="AI15" s="236" t="s">
        <v>46</v>
      </c>
      <c r="AJ15" s="236">
        <v>0</v>
      </c>
      <c r="AK15" s="236">
        <v>1</v>
      </c>
      <c r="AL15" s="236">
        <f>0.1*AL12</f>
        <v>7.5000000000000011E-2</v>
      </c>
      <c r="AM15" s="236">
        <f>AM12</f>
        <v>2.7E-2</v>
      </c>
      <c r="AN15" s="236">
        <f>ROUNDUP(AN12/3,0)</f>
        <v>1</v>
      </c>
      <c r="AQ15" s="239">
        <f>AM15*I15+AL15</f>
        <v>0.16932449999999999</v>
      </c>
      <c r="AR15" s="239">
        <f t="shared" si="13"/>
        <v>1.6932449999999998E-2</v>
      </c>
      <c r="AS15" s="240">
        <f t="shared" si="14"/>
        <v>0.25</v>
      </c>
      <c r="AT15" s="240">
        <f t="shared" si="15"/>
        <v>0.10906423749999999</v>
      </c>
      <c r="AU15" s="239">
        <f>10068.2*J15*POWER(10,-6)</f>
        <v>3.5173256699999995E-2</v>
      </c>
      <c r="AV15" s="240">
        <f t="shared" si="16"/>
        <v>0.58049444419999996</v>
      </c>
      <c r="AW15" s="241">
        <f t="shared" si="17"/>
        <v>0</v>
      </c>
      <c r="AX15" s="241">
        <f t="shared" si="18"/>
        <v>2.7200000000000002E-3</v>
      </c>
      <c r="AY15" s="241">
        <f t="shared" si="19"/>
        <v>1.5789448882240001E-3</v>
      </c>
      <c r="AZ15" s="289">
        <f>AW15/DB!$B$23</f>
        <v>0</v>
      </c>
      <c r="BA15" s="289">
        <f>AX15/DB!$B$23</f>
        <v>3.2771084337349399E-6</v>
      </c>
    </row>
    <row r="16" spans="1:53" s="236" customFormat="1" x14ac:dyDescent="0.3">
      <c r="A16" s="226" t="s">
        <v>22</v>
      </c>
      <c r="B16" s="226" t="str">
        <f>B12</f>
        <v>Трубопровод ЛВЖ+токси</v>
      </c>
      <c r="C16" s="228" t="s">
        <v>110</v>
      </c>
      <c r="D16" s="229" t="s">
        <v>112</v>
      </c>
      <c r="E16" s="242">
        <f>E15</f>
        <v>1.9999999999999999E-6</v>
      </c>
      <c r="F16" s="243">
        <f>F12</f>
        <v>6800</v>
      </c>
      <c r="G16" s="226">
        <v>0.04</v>
      </c>
      <c r="H16" s="231">
        <f t="shared" si="10"/>
        <v>5.44E-4</v>
      </c>
      <c r="I16" s="261">
        <f>0.15*I12</f>
        <v>3.4934999999999996</v>
      </c>
      <c r="J16" s="261">
        <f>0.15*J13</f>
        <v>5.3999999999999999E-2</v>
      </c>
      <c r="K16" s="246" t="s">
        <v>127</v>
      </c>
      <c r="L16" s="247">
        <v>3</v>
      </c>
      <c r="M16" s="236" t="str">
        <f t="shared" si="11"/>
        <v>С5</v>
      </c>
      <c r="N16" s="236" t="str">
        <f t="shared" si="11"/>
        <v>Трубопровод ЛВЖ+токси</v>
      </c>
      <c r="O16" s="236" t="str">
        <f t="shared" si="12"/>
        <v>Частичное-пожар-вспышка</v>
      </c>
      <c r="P16" s="236" t="s">
        <v>46</v>
      </c>
      <c r="Q16" s="236" t="s">
        <v>46</v>
      </c>
      <c r="R16" s="236" t="s">
        <v>46</v>
      </c>
      <c r="S16" s="236" t="s">
        <v>46</v>
      </c>
      <c r="T16" s="236" t="s">
        <v>46</v>
      </c>
      <c r="U16" s="236" t="s">
        <v>46</v>
      </c>
      <c r="V16" s="236" t="s">
        <v>46</v>
      </c>
      <c r="W16" s="236" t="s">
        <v>46</v>
      </c>
      <c r="X16" s="236" t="s">
        <v>46</v>
      </c>
      <c r="Y16" s="236" t="s">
        <v>46</v>
      </c>
      <c r="Z16" s="236" t="s">
        <v>46</v>
      </c>
      <c r="AA16" s="236">
        <v>12.79</v>
      </c>
      <c r="AB16" s="236">
        <v>15.35</v>
      </c>
      <c r="AC16" s="236" t="s">
        <v>46</v>
      </c>
      <c r="AD16" s="236" t="s">
        <v>46</v>
      </c>
      <c r="AE16" s="236" t="s">
        <v>46</v>
      </c>
      <c r="AF16" s="236" t="s">
        <v>46</v>
      </c>
      <c r="AG16" s="236" t="s">
        <v>46</v>
      </c>
      <c r="AH16" s="236" t="s">
        <v>46</v>
      </c>
      <c r="AI16" s="236" t="s">
        <v>46</v>
      </c>
      <c r="AJ16" s="236">
        <v>0</v>
      </c>
      <c r="AK16" s="236">
        <v>1</v>
      </c>
      <c r="AL16" s="236">
        <f>0.1*AL13</f>
        <v>7.5000000000000011E-2</v>
      </c>
      <c r="AM16" s="236">
        <f>AM12</f>
        <v>2.7E-2</v>
      </c>
      <c r="AN16" s="236">
        <f>ROUNDUP(AN12/3,0)</f>
        <v>1</v>
      </c>
      <c r="AQ16" s="239">
        <f>AM16*I16+AL16</f>
        <v>0.16932449999999999</v>
      </c>
      <c r="AR16" s="239">
        <f t="shared" si="13"/>
        <v>1.6932449999999998E-2</v>
      </c>
      <c r="AS16" s="240">
        <f t="shared" si="14"/>
        <v>0.25</v>
      </c>
      <c r="AT16" s="240">
        <f t="shared" si="15"/>
        <v>0.10906423749999999</v>
      </c>
      <c r="AU16" s="239">
        <f>10068.2*J16*POWER(10,-6)*10</f>
        <v>5.4368280000000003E-3</v>
      </c>
      <c r="AV16" s="240">
        <f t="shared" si="16"/>
        <v>0.55075801550000003</v>
      </c>
      <c r="AW16" s="241">
        <f t="shared" si="17"/>
        <v>0</v>
      </c>
      <c r="AX16" s="241">
        <f t="shared" si="18"/>
        <v>5.44E-4</v>
      </c>
      <c r="AY16" s="241">
        <f t="shared" si="19"/>
        <v>2.9961236043199999E-4</v>
      </c>
      <c r="AZ16" s="289">
        <f>AW16/DB!$B$23</f>
        <v>0</v>
      </c>
      <c r="BA16" s="289">
        <f>AX16/DB!$B$23</f>
        <v>6.5542168674698798E-7</v>
      </c>
    </row>
    <row r="17" spans="1:53" s="236" customFormat="1" ht="15" thickBot="1" x14ac:dyDescent="0.35">
      <c r="A17" s="226" t="s">
        <v>23</v>
      </c>
      <c r="B17" s="226" t="str">
        <f>B12</f>
        <v>Трубопровод ЛВЖ+токси</v>
      </c>
      <c r="C17" s="228" t="s">
        <v>117</v>
      </c>
      <c r="D17" s="229" t="s">
        <v>119</v>
      </c>
      <c r="E17" s="242">
        <f>E15</f>
        <v>1.9999999999999999E-6</v>
      </c>
      <c r="F17" s="243">
        <f>F12</f>
        <v>6800</v>
      </c>
      <c r="G17" s="226">
        <v>0.76</v>
      </c>
      <c r="H17" s="231">
        <f t="shared" si="10"/>
        <v>1.0336E-2</v>
      </c>
      <c r="I17" s="261">
        <f>0.15*I12</f>
        <v>3.4934999999999996</v>
      </c>
      <c r="J17" s="262">
        <f>J16</f>
        <v>5.3999999999999999E-2</v>
      </c>
      <c r="K17" s="250" t="s">
        <v>138</v>
      </c>
      <c r="L17" s="263">
        <v>2</v>
      </c>
      <c r="M17" s="236" t="str">
        <f t="shared" si="11"/>
        <v>С6</v>
      </c>
      <c r="N17" s="236" t="str">
        <f t="shared" si="11"/>
        <v>Трубопровод ЛВЖ+токси</v>
      </c>
      <c r="O17" s="236" t="str">
        <f t="shared" si="12"/>
        <v>Частичное-токси</v>
      </c>
      <c r="P17" s="236" t="s">
        <v>46</v>
      </c>
      <c r="Q17" s="236" t="s">
        <v>46</v>
      </c>
      <c r="R17" s="236" t="s">
        <v>46</v>
      </c>
      <c r="S17" s="236" t="s">
        <v>46</v>
      </c>
      <c r="T17" s="236" t="s">
        <v>46</v>
      </c>
      <c r="U17" s="236" t="s">
        <v>46</v>
      </c>
      <c r="V17" s="236" t="s">
        <v>46</v>
      </c>
      <c r="W17" s="236" t="s">
        <v>46</v>
      </c>
      <c r="X17" s="236" t="s">
        <v>46</v>
      </c>
      <c r="Y17" s="236" t="s">
        <v>46</v>
      </c>
      <c r="Z17" s="236" t="s">
        <v>46</v>
      </c>
      <c r="AA17" s="236" t="s">
        <v>46</v>
      </c>
      <c r="AB17" s="236" t="s">
        <v>46</v>
      </c>
      <c r="AC17" s="236">
        <v>19.7</v>
      </c>
      <c r="AD17" s="236">
        <v>37.200000000000003</v>
      </c>
      <c r="AE17" s="236" t="s">
        <v>46</v>
      </c>
      <c r="AF17" s="236" t="s">
        <v>46</v>
      </c>
      <c r="AG17" s="236" t="s">
        <v>46</v>
      </c>
      <c r="AH17" s="236" t="s">
        <v>46</v>
      </c>
      <c r="AI17" s="236" t="s">
        <v>46</v>
      </c>
      <c r="AJ17" s="236">
        <v>0</v>
      </c>
      <c r="AK17" s="236">
        <v>1</v>
      </c>
      <c r="AL17" s="236">
        <f>0.1*AL14</f>
        <v>7.5000000000000011E-2</v>
      </c>
      <c r="AM17" s="236">
        <f>AM12</f>
        <v>2.7E-2</v>
      </c>
      <c r="AN17" s="236">
        <f>ROUNDUP(AN12/3,0)</f>
        <v>1</v>
      </c>
      <c r="AQ17" s="239">
        <f>AM17*I17*0.1+AL17</f>
        <v>8.4432450000000006E-2</v>
      </c>
      <c r="AR17" s="239">
        <f t="shared" si="13"/>
        <v>8.4432450000000003E-3</v>
      </c>
      <c r="AS17" s="240">
        <f t="shared" si="14"/>
        <v>0.25</v>
      </c>
      <c r="AT17" s="240">
        <f t="shared" si="15"/>
        <v>8.5718923750000009E-2</v>
      </c>
      <c r="AU17" s="239">
        <f>1333*J16*POWER(10,-6)</f>
        <v>7.1981999999999989E-5</v>
      </c>
      <c r="AV17" s="240">
        <f t="shared" si="16"/>
        <v>0.42866660075000002</v>
      </c>
      <c r="AW17" s="241">
        <f t="shared" si="17"/>
        <v>0</v>
      </c>
      <c r="AX17" s="241">
        <f t="shared" si="18"/>
        <v>1.0336E-2</v>
      </c>
      <c r="AY17" s="241">
        <f t="shared" si="19"/>
        <v>4.4306979853520004E-3</v>
      </c>
      <c r="AZ17" s="289">
        <f>AW17/DB!$B$23</f>
        <v>0</v>
      </c>
      <c r="BA17" s="289">
        <f>AX17/DB!$B$23</f>
        <v>1.245301204819277E-5</v>
      </c>
    </row>
    <row r="18" spans="1:53" s="228" customFormat="1" x14ac:dyDescent="0.3">
      <c r="A18" s="226"/>
      <c r="B18" s="226"/>
      <c r="C18" s="226"/>
      <c r="D18" s="226"/>
      <c r="E18" s="226"/>
      <c r="F18" s="226"/>
      <c r="G18" s="226"/>
      <c r="H18" s="226"/>
      <c r="I18" s="226"/>
      <c r="J18" s="226"/>
      <c r="K18" s="226"/>
      <c r="L18" s="226"/>
      <c r="M18" s="226"/>
      <c r="N18" s="226"/>
      <c r="O18" s="226"/>
      <c r="P18" s="226"/>
      <c r="Q18" s="226"/>
      <c r="R18" s="226"/>
      <c r="S18" s="226"/>
      <c r="T18" s="226"/>
      <c r="U18" s="226"/>
      <c r="V18" s="226"/>
      <c r="W18" s="226"/>
      <c r="X18" s="226"/>
      <c r="Y18" s="226"/>
      <c r="Z18" s="226"/>
      <c r="AA18" s="226"/>
      <c r="AB18" s="226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  <c r="AQ18" s="226"/>
      <c r="AR18" s="226"/>
      <c r="AS18" s="226"/>
      <c r="AT18" s="226"/>
      <c r="AU18" s="226"/>
      <c r="AV18" s="226"/>
      <c r="AW18" s="226"/>
      <c r="AX18" s="226"/>
      <c r="AY18" s="226"/>
    </row>
    <row r="19" spans="1:53" s="228" customFormat="1" x14ac:dyDescent="0.3">
      <c r="A19" s="226"/>
      <c r="B19" s="226"/>
      <c r="C19" s="226"/>
      <c r="D19" s="226"/>
      <c r="E19" s="226"/>
      <c r="F19" s="226"/>
      <c r="G19" s="226"/>
      <c r="H19" s="226"/>
      <c r="I19" s="261"/>
      <c r="J19" s="261"/>
      <c r="K19" s="226"/>
      <c r="L19" s="226"/>
      <c r="M19" s="226"/>
      <c r="N19" s="226"/>
      <c r="O19" s="226"/>
      <c r="P19" s="226"/>
      <c r="Q19" s="226"/>
      <c r="R19" s="226"/>
      <c r="S19" s="226"/>
      <c r="T19" s="226"/>
      <c r="U19" s="226"/>
      <c r="V19" s="226"/>
      <c r="W19" s="226"/>
      <c r="X19" s="226"/>
      <c r="Y19" s="226"/>
      <c r="Z19" s="226"/>
      <c r="AA19" s="226"/>
      <c r="AB19" s="226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  <c r="AQ19" s="226"/>
      <c r="AR19" s="226"/>
      <c r="AS19" s="226"/>
      <c r="AT19" s="226"/>
      <c r="AU19" s="226"/>
      <c r="AV19" s="226"/>
      <c r="AW19" s="226"/>
      <c r="AX19" s="226"/>
      <c r="AY19" s="226"/>
    </row>
    <row r="20" spans="1:53" s="228" customFormat="1" x14ac:dyDescent="0.3">
      <c r="A20" s="226"/>
      <c r="B20" s="226"/>
      <c r="C20" s="226"/>
      <c r="D20" s="226"/>
      <c r="E20" s="226"/>
      <c r="F20" s="226"/>
      <c r="G20" s="226"/>
      <c r="H20" s="226"/>
      <c r="I20" s="261"/>
      <c r="J20" s="261"/>
      <c r="K20" s="226"/>
      <c r="L20" s="226"/>
      <c r="M20" s="226"/>
      <c r="N20" s="226"/>
      <c r="O20" s="226"/>
      <c r="P20" s="226"/>
      <c r="Q20" s="226"/>
      <c r="R20" s="226"/>
      <c r="S20" s="226"/>
      <c r="T20" s="226"/>
      <c r="U20" s="226"/>
      <c r="V20" s="226"/>
      <c r="W20" s="226"/>
      <c r="X20" s="226"/>
      <c r="Y20" s="226"/>
      <c r="Z20" s="226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26"/>
      <c r="AR20" s="226"/>
      <c r="AS20" s="226"/>
      <c r="AT20" s="226"/>
      <c r="AU20" s="226"/>
      <c r="AV20" s="226"/>
      <c r="AW20" s="226"/>
      <c r="AX20" s="226"/>
      <c r="AY20" s="226"/>
    </row>
    <row r="21" spans="1:53" ht="15" thickBot="1" x14ac:dyDescent="0.35"/>
    <row r="22" spans="1:53" ht="15" thickBot="1" x14ac:dyDescent="0.35">
      <c r="A22" s="8" t="s">
        <v>18</v>
      </c>
      <c r="B22" s="62" t="s">
        <v>120</v>
      </c>
      <c r="C22" s="78" t="s">
        <v>106</v>
      </c>
      <c r="D22" s="9" t="s">
        <v>25</v>
      </c>
      <c r="E22" s="65">
        <v>1.0000000000000001E-5</v>
      </c>
      <c r="F22" s="62">
        <v>1</v>
      </c>
      <c r="G22" s="8">
        <v>0.2</v>
      </c>
      <c r="H22" s="10">
        <f t="shared" ref="H22:H27" si="20">E22*F22*G22</f>
        <v>2.0000000000000003E-6</v>
      </c>
      <c r="I22" s="63">
        <v>8.75</v>
      </c>
      <c r="J22" s="61">
        <f>I22</f>
        <v>8.75</v>
      </c>
      <c r="K22" s="71" t="s">
        <v>122</v>
      </c>
      <c r="L22" s="76">
        <v>300</v>
      </c>
      <c r="M22" s="31" t="str">
        <f t="shared" ref="M22:M27" si="21">A22</f>
        <v>С1</v>
      </c>
      <c r="N22" s="31" t="str">
        <f t="shared" ref="N22:N27" si="22">B22</f>
        <v>Трубопровод ГЖ</v>
      </c>
      <c r="O22" s="31" t="str">
        <f t="shared" ref="O22:O27" si="23">D22</f>
        <v>Полное-пожар</v>
      </c>
      <c r="P22" s="31">
        <v>17.100000000000001</v>
      </c>
      <c r="Q22" s="31">
        <v>23.5</v>
      </c>
      <c r="R22" s="31">
        <v>33.1</v>
      </c>
      <c r="S22" s="31">
        <v>61.2</v>
      </c>
      <c r="T22" s="31" t="s">
        <v>46</v>
      </c>
      <c r="U22" s="31" t="s">
        <v>46</v>
      </c>
      <c r="V22" s="31" t="s">
        <v>46</v>
      </c>
      <c r="W22" s="31" t="s">
        <v>46</v>
      </c>
      <c r="X22" s="31" t="s">
        <v>46</v>
      </c>
      <c r="Y22" s="31" t="s">
        <v>46</v>
      </c>
      <c r="Z22" s="31" t="s">
        <v>46</v>
      </c>
      <c r="AA22" s="31" t="s">
        <v>46</v>
      </c>
      <c r="AB22" s="31" t="s">
        <v>46</v>
      </c>
      <c r="AC22" s="31" t="s">
        <v>46</v>
      </c>
      <c r="AD22" s="31" t="s">
        <v>46</v>
      </c>
      <c r="AE22" s="31" t="s">
        <v>46</v>
      </c>
      <c r="AF22" s="31" t="s">
        <v>46</v>
      </c>
      <c r="AG22" s="31" t="s">
        <v>46</v>
      </c>
      <c r="AH22" s="31" t="s">
        <v>46</v>
      </c>
      <c r="AI22" s="31" t="s">
        <v>46</v>
      </c>
      <c r="AJ22" s="12">
        <v>1</v>
      </c>
      <c r="AK22" s="12">
        <v>2</v>
      </c>
      <c r="AL22" s="64">
        <v>0.75</v>
      </c>
      <c r="AM22" s="64">
        <v>2.7E-2</v>
      </c>
      <c r="AN22" s="64">
        <v>3</v>
      </c>
      <c r="AO22" s="31"/>
      <c r="AP22" s="31"/>
      <c r="AQ22" s="32">
        <f>AM22*I22+AL22</f>
        <v>0.98624999999999996</v>
      </c>
      <c r="AR22" s="32">
        <f t="shared" ref="AR22:AR27" si="24">0.1*AQ22</f>
        <v>9.8625000000000004E-2</v>
      </c>
      <c r="AS22" s="33">
        <f t="shared" ref="AS22:AS27" si="25">AJ22*3+0.25*AK22</f>
        <v>3.5</v>
      </c>
      <c r="AT22" s="33">
        <f t="shared" ref="AT22:AT27" si="26">SUM(AQ22:AS22)/4</f>
        <v>1.1462187500000001</v>
      </c>
      <c r="AU22" s="32">
        <f>10068.2*J22*POWER(10,-6)</f>
        <v>8.8096750000000001E-2</v>
      </c>
      <c r="AV22" s="33">
        <f t="shared" ref="AV22:AV27" si="27">AU22+AT22+AS22+AR22+AQ22</f>
        <v>5.8191905000000004</v>
      </c>
      <c r="AW22" s="34">
        <f t="shared" ref="AW22:AW27" si="28">AJ22*H22</f>
        <v>2.0000000000000003E-6</v>
      </c>
      <c r="AX22" s="34">
        <f t="shared" ref="AX22:AX27" si="29">H22*AK22</f>
        <v>4.0000000000000007E-6</v>
      </c>
      <c r="AY22" s="34">
        <f t="shared" ref="AY22:AY27" si="30">H22*AV22</f>
        <v>1.1638381000000003E-5</v>
      </c>
      <c r="AZ22" s="289">
        <f>AW22/DB!$B$23</f>
        <v>2.4096385542168678E-9</v>
      </c>
      <c r="BA22" s="289">
        <f>AX22/DB!$B$23</f>
        <v>4.8192771084337357E-9</v>
      </c>
    </row>
    <row r="23" spans="1:53" ht="15" thickBot="1" x14ac:dyDescent="0.35">
      <c r="A23" s="8" t="s">
        <v>19</v>
      </c>
      <c r="B23" s="8" t="str">
        <f>B22</f>
        <v>Трубопровод ГЖ</v>
      </c>
      <c r="C23" s="78" t="s">
        <v>121</v>
      </c>
      <c r="D23" s="9" t="s">
        <v>25</v>
      </c>
      <c r="E23" s="66">
        <f>E22</f>
        <v>1.0000000000000001E-5</v>
      </c>
      <c r="F23" s="67">
        <f>F22</f>
        <v>1</v>
      </c>
      <c r="G23" s="8">
        <v>0.04</v>
      </c>
      <c r="H23" s="10">
        <f t="shared" si="20"/>
        <v>4.0000000000000003E-7</v>
      </c>
      <c r="I23" s="61">
        <f>I22</f>
        <v>8.75</v>
      </c>
      <c r="J23" s="61">
        <f>I22</f>
        <v>8.75</v>
      </c>
      <c r="K23" s="71" t="s">
        <v>123</v>
      </c>
      <c r="L23" s="76">
        <v>0</v>
      </c>
      <c r="M23" s="31" t="str">
        <f t="shared" si="21"/>
        <v>С2</v>
      </c>
      <c r="N23" s="31" t="str">
        <f t="shared" si="22"/>
        <v>Трубопровод ГЖ</v>
      </c>
      <c r="O23" s="31" t="str">
        <f t="shared" si="23"/>
        <v>Полное-пожар</v>
      </c>
      <c r="P23" s="31">
        <v>17.100000000000001</v>
      </c>
      <c r="Q23" s="31">
        <v>23.5</v>
      </c>
      <c r="R23" s="31">
        <v>33.1</v>
      </c>
      <c r="S23" s="31">
        <v>61.2</v>
      </c>
      <c r="T23" s="31" t="s">
        <v>46</v>
      </c>
      <c r="U23" s="31" t="s">
        <v>46</v>
      </c>
      <c r="V23" s="31" t="s">
        <v>46</v>
      </c>
      <c r="W23" s="31" t="s">
        <v>46</v>
      </c>
      <c r="X23" s="31" t="s">
        <v>46</v>
      </c>
      <c r="Y23" s="31" t="s">
        <v>46</v>
      </c>
      <c r="Z23" s="31" t="s">
        <v>46</v>
      </c>
      <c r="AA23" s="31" t="s">
        <v>46</v>
      </c>
      <c r="AB23" s="31" t="s">
        <v>46</v>
      </c>
      <c r="AC23" s="31" t="s">
        <v>46</v>
      </c>
      <c r="AD23" s="31" t="s">
        <v>46</v>
      </c>
      <c r="AE23" s="31" t="s">
        <v>46</v>
      </c>
      <c r="AF23" s="31" t="s">
        <v>46</v>
      </c>
      <c r="AG23" s="31" t="s">
        <v>46</v>
      </c>
      <c r="AH23" s="31" t="s">
        <v>46</v>
      </c>
      <c r="AI23" s="31" t="s">
        <v>46</v>
      </c>
      <c r="AJ23" s="12">
        <v>2</v>
      </c>
      <c r="AK23" s="12">
        <v>2</v>
      </c>
      <c r="AL23" s="31">
        <f>AL22</f>
        <v>0.75</v>
      </c>
      <c r="AM23" s="31">
        <f>AM22</f>
        <v>2.7E-2</v>
      </c>
      <c r="AN23" s="31">
        <f>AN22</f>
        <v>3</v>
      </c>
      <c r="AO23" s="31"/>
      <c r="AP23" s="31"/>
      <c r="AQ23" s="32">
        <f>AM23*I23+AL23</f>
        <v>0.98624999999999996</v>
      </c>
      <c r="AR23" s="32">
        <f t="shared" si="24"/>
        <v>9.8625000000000004E-2</v>
      </c>
      <c r="AS23" s="33">
        <f t="shared" si="25"/>
        <v>6.5</v>
      </c>
      <c r="AT23" s="33">
        <f t="shared" si="26"/>
        <v>1.8962187500000001</v>
      </c>
      <c r="AU23" s="32">
        <f>10068.2*J23*POWER(10,-6)*10</f>
        <v>0.88096750000000001</v>
      </c>
      <c r="AV23" s="33">
        <f t="shared" si="27"/>
        <v>10.36206125</v>
      </c>
      <c r="AW23" s="34">
        <f t="shared" si="28"/>
        <v>8.0000000000000007E-7</v>
      </c>
      <c r="AX23" s="34">
        <f t="shared" si="29"/>
        <v>8.0000000000000007E-7</v>
      </c>
      <c r="AY23" s="34">
        <f t="shared" si="30"/>
        <v>4.1448245E-6</v>
      </c>
      <c r="AZ23" s="289">
        <f>AW23/DB!$B$23</f>
        <v>9.6385542168674709E-10</v>
      </c>
      <c r="BA23" s="289">
        <f>AX23/DB!$B$23</f>
        <v>9.6385542168674709E-10</v>
      </c>
    </row>
    <row r="24" spans="1:53" x14ac:dyDescent="0.3">
      <c r="A24" s="8" t="s">
        <v>20</v>
      </c>
      <c r="B24" s="8" t="str">
        <f>B22</f>
        <v>Трубопровод ГЖ</v>
      </c>
      <c r="C24" s="78" t="s">
        <v>108</v>
      </c>
      <c r="D24" s="9" t="s">
        <v>26</v>
      </c>
      <c r="E24" s="66">
        <f>E22</f>
        <v>1.0000000000000001E-5</v>
      </c>
      <c r="F24" s="67">
        <f>F22</f>
        <v>1</v>
      </c>
      <c r="G24" s="8">
        <v>0.76</v>
      </c>
      <c r="H24" s="10">
        <f t="shared" si="20"/>
        <v>7.6000000000000009E-6</v>
      </c>
      <c r="I24" s="61">
        <f>I22</f>
        <v>8.75</v>
      </c>
      <c r="J24" s="8">
        <v>0</v>
      </c>
      <c r="K24" s="71" t="s">
        <v>124</v>
      </c>
      <c r="L24" s="76">
        <v>0</v>
      </c>
      <c r="M24" s="31" t="str">
        <f t="shared" si="21"/>
        <v>С3</v>
      </c>
      <c r="N24" s="31" t="str">
        <f t="shared" si="22"/>
        <v>Трубопровод ГЖ</v>
      </c>
      <c r="O24" s="31" t="str">
        <f t="shared" si="23"/>
        <v>Полное-ликвидация</v>
      </c>
      <c r="P24" s="31" t="s">
        <v>46</v>
      </c>
      <c r="Q24" s="31" t="s">
        <v>46</v>
      </c>
      <c r="R24" s="31" t="s">
        <v>46</v>
      </c>
      <c r="S24" s="31" t="s">
        <v>46</v>
      </c>
      <c r="T24" s="31" t="s">
        <v>46</v>
      </c>
      <c r="U24" s="31" t="s">
        <v>46</v>
      </c>
      <c r="V24" s="31" t="s">
        <v>46</v>
      </c>
      <c r="W24" s="31" t="s">
        <v>46</v>
      </c>
      <c r="X24" s="31" t="s">
        <v>46</v>
      </c>
      <c r="Y24" s="31" t="s">
        <v>46</v>
      </c>
      <c r="Z24" s="31" t="s">
        <v>46</v>
      </c>
      <c r="AA24" s="31" t="s">
        <v>46</v>
      </c>
      <c r="AB24" s="31" t="s">
        <v>46</v>
      </c>
      <c r="AC24" s="31" t="s">
        <v>46</v>
      </c>
      <c r="AD24" s="31" t="s">
        <v>46</v>
      </c>
      <c r="AE24" s="31" t="s">
        <v>46</v>
      </c>
      <c r="AF24" s="31" t="s">
        <v>46</v>
      </c>
      <c r="AG24" s="31" t="s">
        <v>46</v>
      </c>
      <c r="AH24" s="31" t="s">
        <v>46</v>
      </c>
      <c r="AI24" s="31" t="s">
        <v>46</v>
      </c>
      <c r="AJ24" s="31">
        <v>0</v>
      </c>
      <c r="AK24" s="31">
        <v>0</v>
      </c>
      <c r="AL24" s="31">
        <f>AL22</f>
        <v>0.75</v>
      </c>
      <c r="AM24" s="31">
        <f>AM22</f>
        <v>2.7E-2</v>
      </c>
      <c r="AN24" s="31">
        <f>AN22</f>
        <v>3</v>
      </c>
      <c r="AO24" s="31"/>
      <c r="AP24" s="31"/>
      <c r="AQ24" s="32">
        <f>AM24*I24*0.1+AL24</f>
        <v>0.77362500000000001</v>
      </c>
      <c r="AR24" s="32">
        <f t="shared" si="24"/>
        <v>7.7362500000000001E-2</v>
      </c>
      <c r="AS24" s="33">
        <f t="shared" si="25"/>
        <v>0</v>
      </c>
      <c r="AT24" s="33">
        <f t="shared" si="26"/>
        <v>0.212746875</v>
      </c>
      <c r="AU24" s="32">
        <f>1333*J23*POWER(10,-6)</f>
        <v>1.1663749999999999E-2</v>
      </c>
      <c r="AV24" s="33">
        <f t="shared" si="27"/>
        <v>1.075398125</v>
      </c>
      <c r="AW24" s="34">
        <f t="shared" si="28"/>
        <v>0</v>
      </c>
      <c r="AX24" s="34">
        <f t="shared" si="29"/>
        <v>0</v>
      </c>
      <c r="AY24" s="34">
        <f t="shared" si="30"/>
        <v>8.1730257500000016E-6</v>
      </c>
      <c r="AZ24" s="289">
        <f>AW24/DB!$B$23</f>
        <v>0</v>
      </c>
      <c r="BA24" s="289">
        <f>AX24/DB!$B$23</f>
        <v>0</v>
      </c>
    </row>
    <row r="25" spans="1:53" x14ac:dyDescent="0.3">
      <c r="A25" s="8" t="s">
        <v>21</v>
      </c>
      <c r="B25" s="8" t="str">
        <f>B22</f>
        <v>Трубопровод ГЖ</v>
      </c>
      <c r="C25" s="78" t="s">
        <v>109</v>
      </c>
      <c r="D25" s="9" t="s">
        <v>47</v>
      </c>
      <c r="E25" s="65">
        <v>1E-4</v>
      </c>
      <c r="F25" s="67">
        <f>F22</f>
        <v>1</v>
      </c>
      <c r="G25" s="8">
        <v>0.2</v>
      </c>
      <c r="H25" s="10">
        <f t="shared" si="20"/>
        <v>2.0000000000000002E-5</v>
      </c>
      <c r="I25" s="61">
        <f>0.15*I22</f>
        <v>1.3125</v>
      </c>
      <c r="J25" s="61">
        <f>I25</f>
        <v>1.3125</v>
      </c>
      <c r="K25" s="73" t="s">
        <v>126</v>
      </c>
      <c r="L25" s="77">
        <v>45390</v>
      </c>
      <c r="M25" s="31" t="str">
        <f t="shared" si="21"/>
        <v>С4</v>
      </c>
      <c r="N25" s="31" t="str">
        <f t="shared" si="22"/>
        <v>Трубопровод ГЖ</v>
      </c>
      <c r="O25" s="31" t="str">
        <f t="shared" si="23"/>
        <v>Частичное-пожар</v>
      </c>
      <c r="P25" s="31">
        <v>12.8</v>
      </c>
      <c r="Q25" s="31">
        <v>16.399999999999999</v>
      </c>
      <c r="R25" s="31">
        <v>21.7</v>
      </c>
      <c r="S25" s="31">
        <v>37.299999999999997</v>
      </c>
      <c r="T25" s="31" t="s">
        <v>46</v>
      </c>
      <c r="U25" s="31" t="s">
        <v>46</v>
      </c>
      <c r="V25" s="31" t="s">
        <v>46</v>
      </c>
      <c r="W25" s="31" t="s">
        <v>46</v>
      </c>
      <c r="X25" s="31" t="s">
        <v>46</v>
      </c>
      <c r="Y25" s="31" t="s">
        <v>46</v>
      </c>
      <c r="Z25" s="31" t="s">
        <v>46</v>
      </c>
      <c r="AA25" s="31" t="s">
        <v>46</v>
      </c>
      <c r="AB25" s="31" t="s">
        <v>46</v>
      </c>
      <c r="AC25" s="31" t="s">
        <v>46</v>
      </c>
      <c r="AD25" s="31" t="s">
        <v>46</v>
      </c>
      <c r="AE25" s="31" t="s">
        <v>46</v>
      </c>
      <c r="AF25" s="31" t="s">
        <v>46</v>
      </c>
      <c r="AG25" s="31" t="s">
        <v>46</v>
      </c>
      <c r="AH25" s="31" t="s">
        <v>46</v>
      </c>
      <c r="AI25" s="31" t="s">
        <v>46</v>
      </c>
      <c r="AJ25" s="31">
        <v>0</v>
      </c>
      <c r="AK25" s="31">
        <v>2</v>
      </c>
      <c r="AL25" s="31">
        <f>0.1*$AL$2</f>
        <v>7.5000000000000011E-2</v>
      </c>
      <c r="AM25" s="31">
        <f>AM22</f>
        <v>2.7E-2</v>
      </c>
      <c r="AN25" s="31">
        <f>ROUNDUP(AN22/3,0)</f>
        <v>1</v>
      </c>
      <c r="AO25" s="31"/>
      <c r="AP25" s="31"/>
      <c r="AQ25" s="32">
        <f>AM25*I25+AL25</f>
        <v>0.11043750000000001</v>
      </c>
      <c r="AR25" s="32">
        <f t="shared" si="24"/>
        <v>1.1043750000000001E-2</v>
      </c>
      <c r="AS25" s="33">
        <f t="shared" si="25"/>
        <v>0.5</v>
      </c>
      <c r="AT25" s="33">
        <f t="shared" si="26"/>
        <v>0.1553703125</v>
      </c>
      <c r="AU25" s="32">
        <f>10068.2*J25*POWER(10,-6)</f>
        <v>1.3214512500000001E-2</v>
      </c>
      <c r="AV25" s="33">
        <f t="shared" si="27"/>
        <v>0.79006607499999992</v>
      </c>
      <c r="AW25" s="34">
        <f t="shared" si="28"/>
        <v>0</v>
      </c>
      <c r="AX25" s="34">
        <f t="shared" si="29"/>
        <v>4.0000000000000003E-5</v>
      </c>
      <c r="AY25" s="34">
        <f t="shared" si="30"/>
        <v>1.5801321499999999E-5</v>
      </c>
      <c r="AZ25" s="289">
        <f>AW25/DB!$B$23</f>
        <v>0</v>
      </c>
      <c r="BA25" s="289">
        <f>AX25/DB!$B$23</f>
        <v>4.8192771084337353E-8</v>
      </c>
    </row>
    <row r="26" spans="1:53" x14ac:dyDescent="0.3">
      <c r="A26" s="8" t="s">
        <v>22</v>
      </c>
      <c r="B26" s="8" t="str">
        <f>B22</f>
        <v>Трубопровод ГЖ</v>
      </c>
      <c r="C26" s="78" t="s">
        <v>137</v>
      </c>
      <c r="D26" s="9" t="s">
        <v>47</v>
      </c>
      <c r="E26" s="66">
        <f>E25</f>
        <v>1E-4</v>
      </c>
      <c r="F26" s="67">
        <f>F22</f>
        <v>1</v>
      </c>
      <c r="G26" s="8">
        <v>0.04</v>
      </c>
      <c r="H26" s="10">
        <f t="shared" si="20"/>
        <v>4.0000000000000007E-6</v>
      </c>
      <c r="I26" s="61">
        <f>0.15*I22</f>
        <v>1.3125</v>
      </c>
      <c r="J26" s="61">
        <f>I25</f>
        <v>1.3125</v>
      </c>
      <c r="K26" s="73" t="s">
        <v>127</v>
      </c>
      <c r="L26" s="77">
        <v>3</v>
      </c>
      <c r="M26" s="31" t="str">
        <f t="shared" si="21"/>
        <v>С5</v>
      </c>
      <c r="N26" s="31" t="str">
        <f t="shared" si="22"/>
        <v>Трубопровод ГЖ</v>
      </c>
      <c r="O26" s="31" t="str">
        <f t="shared" si="23"/>
        <v>Частичное-пожар</v>
      </c>
      <c r="P26" s="31">
        <v>12.8</v>
      </c>
      <c r="Q26" s="31">
        <v>16.399999999999999</v>
      </c>
      <c r="R26" s="31">
        <v>21.7</v>
      </c>
      <c r="S26" s="31">
        <v>37.299999999999997</v>
      </c>
      <c r="T26" s="31" t="s">
        <v>46</v>
      </c>
      <c r="U26" s="31" t="s">
        <v>46</v>
      </c>
      <c r="V26" s="31" t="s">
        <v>46</v>
      </c>
      <c r="W26" s="31" t="s">
        <v>46</v>
      </c>
      <c r="X26" s="31" t="s">
        <v>46</v>
      </c>
      <c r="Y26" s="31" t="s">
        <v>46</v>
      </c>
      <c r="Z26" s="31" t="s">
        <v>46</v>
      </c>
      <c r="AA26" s="31" t="s">
        <v>46</v>
      </c>
      <c r="AB26" s="31" t="s">
        <v>46</v>
      </c>
      <c r="AC26" s="31" t="s">
        <v>46</v>
      </c>
      <c r="AD26" s="31" t="s">
        <v>46</v>
      </c>
      <c r="AE26" s="31" t="s">
        <v>46</v>
      </c>
      <c r="AF26" s="31" t="s">
        <v>46</v>
      </c>
      <c r="AG26" s="31" t="s">
        <v>46</v>
      </c>
      <c r="AH26" s="31" t="s">
        <v>46</v>
      </c>
      <c r="AI26" s="31" t="s">
        <v>46</v>
      </c>
      <c r="AJ26" s="31">
        <v>0</v>
      </c>
      <c r="AK26" s="31">
        <v>1</v>
      </c>
      <c r="AL26" s="31">
        <f>0.1*$AL$2</f>
        <v>7.5000000000000011E-2</v>
      </c>
      <c r="AM26" s="31">
        <f>AM22</f>
        <v>2.7E-2</v>
      </c>
      <c r="AN26" s="31">
        <f>ROUNDUP(AN22/3,0)</f>
        <v>1</v>
      </c>
      <c r="AO26" s="31"/>
      <c r="AP26" s="31"/>
      <c r="AQ26" s="32">
        <f>AM26*I26+AL26</f>
        <v>0.11043750000000001</v>
      </c>
      <c r="AR26" s="32">
        <f t="shared" si="24"/>
        <v>1.1043750000000001E-2</v>
      </c>
      <c r="AS26" s="33">
        <f t="shared" si="25"/>
        <v>0.25</v>
      </c>
      <c r="AT26" s="33">
        <f t="shared" si="26"/>
        <v>9.2870312499999996E-2</v>
      </c>
      <c r="AU26" s="32">
        <f>10068.2*J26*POWER(10,-6)*10</f>
        <v>0.132145125</v>
      </c>
      <c r="AV26" s="33">
        <f t="shared" si="27"/>
        <v>0.59649668749999996</v>
      </c>
      <c r="AW26" s="34">
        <f t="shared" si="28"/>
        <v>0</v>
      </c>
      <c r="AX26" s="34">
        <f t="shared" si="29"/>
        <v>4.0000000000000007E-6</v>
      </c>
      <c r="AY26" s="34">
        <f t="shared" si="30"/>
        <v>2.3859867500000001E-6</v>
      </c>
      <c r="AZ26" s="289">
        <f>AW26/DB!$B$23</f>
        <v>0</v>
      </c>
      <c r="BA26" s="289">
        <f>AX26/DB!$B$23</f>
        <v>4.8192771084337357E-9</v>
      </c>
    </row>
    <row r="27" spans="1:53" ht="15" thickBot="1" x14ac:dyDescent="0.35">
      <c r="A27" s="8" t="s">
        <v>23</v>
      </c>
      <c r="B27" s="8" t="str">
        <f>B22</f>
        <v>Трубопровод ГЖ</v>
      </c>
      <c r="C27" s="78" t="s">
        <v>111</v>
      </c>
      <c r="D27" s="9" t="s">
        <v>27</v>
      </c>
      <c r="E27" s="66">
        <f>E25</f>
        <v>1E-4</v>
      </c>
      <c r="F27" s="67">
        <f>F22</f>
        <v>1</v>
      </c>
      <c r="G27" s="8">
        <v>0.76</v>
      </c>
      <c r="H27" s="10">
        <f t="shared" si="20"/>
        <v>7.6000000000000004E-5</v>
      </c>
      <c r="I27" s="61">
        <f>0.15*I22</f>
        <v>1.3125</v>
      </c>
      <c r="J27" s="8">
        <v>0</v>
      </c>
      <c r="K27" s="74" t="s">
        <v>138</v>
      </c>
      <c r="L27" s="80">
        <v>3</v>
      </c>
      <c r="M27" s="31" t="str">
        <f t="shared" si="21"/>
        <v>С6</v>
      </c>
      <c r="N27" s="31" t="str">
        <f t="shared" si="22"/>
        <v>Трубопровод ГЖ</v>
      </c>
      <c r="O27" s="31" t="str">
        <f t="shared" si="23"/>
        <v>Частичное-ликвидация</v>
      </c>
      <c r="P27" s="31" t="s">
        <v>46</v>
      </c>
      <c r="Q27" s="31" t="s">
        <v>46</v>
      </c>
      <c r="R27" s="31" t="s">
        <v>46</v>
      </c>
      <c r="S27" s="31" t="s">
        <v>46</v>
      </c>
      <c r="T27" s="31" t="s">
        <v>46</v>
      </c>
      <c r="U27" s="31" t="s">
        <v>46</v>
      </c>
      <c r="V27" s="31" t="s">
        <v>46</v>
      </c>
      <c r="W27" s="31" t="s">
        <v>46</v>
      </c>
      <c r="X27" s="31" t="s">
        <v>46</v>
      </c>
      <c r="Y27" s="31" t="s">
        <v>46</v>
      </c>
      <c r="Z27" s="31" t="s">
        <v>46</v>
      </c>
      <c r="AA27" s="31" t="s">
        <v>46</v>
      </c>
      <c r="AB27" s="31" t="s">
        <v>46</v>
      </c>
      <c r="AC27" s="31" t="s">
        <v>46</v>
      </c>
      <c r="AD27" s="31" t="s">
        <v>46</v>
      </c>
      <c r="AE27" s="31" t="s">
        <v>46</v>
      </c>
      <c r="AF27" s="31" t="s">
        <v>46</v>
      </c>
      <c r="AG27" s="31" t="s">
        <v>46</v>
      </c>
      <c r="AH27" s="31" t="s">
        <v>46</v>
      </c>
      <c r="AI27" s="31" t="s">
        <v>46</v>
      </c>
      <c r="AJ27" s="31">
        <v>0</v>
      </c>
      <c r="AK27" s="31">
        <v>0</v>
      </c>
      <c r="AL27" s="31">
        <f>0.1*$AL$2</f>
        <v>7.5000000000000011E-2</v>
      </c>
      <c r="AM27" s="31">
        <f>AM22</f>
        <v>2.7E-2</v>
      </c>
      <c r="AN27" s="31">
        <f>ROUNDUP(AN22/3,0)</f>
        <v>1</v>
      </c>
      <c r="AO27" s="31"/>
      <c r="AP27" s="31"/>
      <c r="AQ27" s="32">
        <f>AM27*I27*0.1+AL27</f>
        <v>7.8543750000000009E-2</v>
      </c>
      <c r="AR27" s="32">
        <f t="shared" si="24"/>
        <v>7.854375000000002E-3</v>
      </c>
      <c r="AS27" s="33">
        <f t="shared" si="25"/>
        <v>0</v>
      </c>
      <c r="AT27" s="33">
        <f t="shared" si="26"/>
        <v>2.1599531250000002E-2</v>
      </c>
      <c r="AU27" s="32">
        <f>1333*J26*POWER(10,-6)</f>
        <v>1.7495624999999998E-3</v>
      </c>
      <c r="AV27" s="33">
        <f t="shared" si="27"/>
        <v>0.10974721875000001</v>
      </c>
      <c r="AW27" s="34">
        <f t="shared" si="28"/>
        <v>0</v>
      </c>
      <c r="AX27" s="34">
        <f t="shared" si="29"/>
        <v>0</v>
      </c>
      <c r="AY27" s="34">
        <f t="shared" si="30"/>
        <v>8.3407886250000012E-6</v>
      </c>
      <c r="AZ27" s="289">
        <f>AW27/DB!$B$23</f>
        <v>0</v>
      </c>
      <c r="BA27" s="289">
        <f>AX27/DB!$B$23</f>
        <v>0</v>
      </c>
    </row>
    <row r="28" spans="1:53" x14ac:dyDescent="0.3">
      <c r="A28" s="8"/>
      <c r="B28" s="8"/>
      <c r="C28" s="78"/>
      <c r="D28" s="9"/>
      <c r="E28" s="66"/>
      <c r="F28" s="67"/>
      <c r="G28" s="8"/>
      <c r="H28" s="10"/>
      <c r="I28" s="61"/>
      <c r="J28" s="8"/>
      <c r="K28" s="190"/>
      <c r="L28" s="19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2"/>
      <c r="AR28" s="32"/>
      <c r="AS28" s="33"/>
      <c r="AT28" s="33"/>
      <c r="AU28" s="32"/>
      <c r="AV28" s="33"/>
      <c r="AW28" s="34"/>
      <c r="AX28" s="34"/>
      <c r="AY28" s="34"/>
    </row>
    <row r="29" spans="1:53" s="179" customFormat="1" x14ac:dyDescent="0.3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</row>
    <row r="30" spans="1:53" s="179" customFormat="1" x14ac:dyDescent="0.3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</row>
    <row r="31" spans="1:53" ht="15" thickBot="1" x14ac:dyDescent="0.35"/>
    <row r="32" spans="1:53" ht="18" customHeight="1" x14ac:dyDescent="0.3">
      <c r="A32" s="8" t="s">
        <v>18</v>
      </c>
      <c r="B32" s="62" t="s">
        <v>128</v>
      </c>
      <c r="C32" s="78" t="s">
        <v>129</v>
      </c>
      <c r="D32" s="9" t="s">
        <v>130</v>
      </c>
      <c r="E32" s="65">
        <v>1.0000000000000001E-5</v>
      </c>
      <c r="F32" s="62">
        <v>1</v>
      </c>
      <c r="G32" s="8">
        <v>0.2</v>
      </c>
      <c r="H32" s="10">
        <f>E32*F32*G32</f>
        <v>2.0000000000000003E-6</v>
      </c>
      <c r="I32" s="63">
        <v>1.2</v>
      </c>
      <c r="J32" s="68">
        <f>I32</f>
        <v>1.2</v>
      </c>
      <c r="K32" s="71" t="s">
        <v>122</v>
      </c>
      <c r="L32" s="76">
        <v>0</v>
      </c>
      <c r="M32" s="31" t="str">
        <f t="shared" ref="M32:M39" si="31">A32</f>
        <v>С1</v>
      </c>
      <c r="N32" s="31" t="str">
        <f t="shared" ref="N32:N39" si="32">B32</f>
        <v>Трубопровод газ</v>
      </c>
      <c r="O32" s="31" t="str">
        <f t="shared" ref="O32:O39" si="33">D32</f>
        <v>Полное-факел</v>
      </c>
      <c r="P32" s="31" t="s">
        <v>46</v>
      </c>
      <c r="Q32" s="31" t="s">
        <v>46</v>
      </c>
      <c r="R32" s="31" t="s">
        <v>46</v>
      </c>
      <c r="S32" s="31" t="s">
        <v>46</v>
      </c>
      <c r="T32" s="31" t="s">
        <v>46</v>
      </c>
      <c r="U32" s="31" t="s">
        <v>46</v>
      </c>
      <c r="V32" s="31" t="s">
        <v>46</v>
      </c>
      <c r="W32" s="31" t="s">
        <v>46</v>
      </c>
      <c r="X32" s="31" t="s">
        <v>46</v>
      </c>
      <c r="Y32" s="31">
        <v>17</v>
      </c>
      <c r="Z32" s="31">
        <v>3</v>
      </c>
      <c r="AA32" s="31" t="s">
        <v>46</v>
      </c>
      <c r="AB32" s="31" t="s">
        <v>46</v>
      </c>
      <c r="AC32" s="31" t="s">
        <v>46</v>
      </c>
      <c r="AD32" s="31" t="s">
        <v>46</v>
      </c>
      <c r="AE32" s="31" t="s">
        <v>46</v>
      </c>
      <c r="AF32" s="31" t="s">
        <v>46</v>
      </c>
      <c r="AG32" s="31" t="s">
        <v>46</v>
      </c>
      <c r="AH32" s="31" t="s">
        <v>46</v>
      </c>
      <c r="AI32" s="31" t="s">
        <v>46</v>
      </c>
      <c r="AJ32" s="12">
        <v>1</v>
      </c>
      <c r="AK32" s="12">
        <v>2</v>
      </c>
      <c r="AL32" s="64">
        <v>0.75</v>
      </c>
      <c r="AM32" s="64">
        <v>2.7E-2</v>
      </c>
      <c r="AN32" s="64">
        <v>3</v>
      </c>
      <c r="AO32" s="31"/>
      <c r="AP32" s="31"/>
      <c r="AQ32" s="32">
        <f>AM32*I32+AL32</f>
        <v>0.78239999999999998</v>
      </c>
      <c r="AR32" s="32">
        <f>0.1*AQ32</f>
        <v>7.8240000000000004E-2</v>
      </c>
      <c r="AS32" s="33">
        <f>AJ32*3+0.25*AK32</f>
        <v>3.5</v>
      </c>
      <c r="AT32" s="33">
        <f>SUM(AQ32:AS32)/4</f>
        <v>1.09016</v>
      </c>
      <c r="AU32" s="32">
        <f>10068.2*J32*POWER(10,-6)</f>
        <v>1.208184E-2</v>
      </c>
      <c r="AV32" s="33">
        <f t="shared" ref="AV32:AV39" si="34">AU32+AT32+AS32+AR32+AQ32</f>
        <v>5.4628818399999997</v>
      </c>
      <c r="AW32" s="34">
        <f>AJ32*H32</f>
        <v>2.0000000000000003E-6</v>
      </c>
      <c r="AX32" s="34">
        <f>H32*AK32</f>
        <v>4.0000000000000007E-6</v>
      </c>
      <c r="AY32" s="34">
        <f>H32*AV32</f>
        <v>1.0925763680000002E-5</v>
      </c>
      <c r="AZ32" s="289">
        <f>AW32/DB!$B$23</f>
        <v>2.4096385542168678E-9</v>
      </c>
      <c r="BA32" s="289">
        <f>AX32/DB!$B$23</f>
        <v>4.8192771084337357E-9</v>
      </c>
    </row>
    <row r="33" spans="1:53" x14ac:dyDescent="0.3">
      <c r="A33" s="8" t="s">
        <v>19</v>
      </c>
      <c r="B33" s="8" t="str">
        <f>B32</f>
        <v>Трубопровод газ</v>
      </c>
      <c r="C33" s="78" t="s">
        <v>107</v>
      </c>
      <c r="D33" s="9" t="s">
        <v>28</v>
      </c>
      <c r="E33" s="66">
        <f>E32</f>
        <v>1.0000000000000001E-5</v>
      </c>
      <c r="F33" s="67">
        <f>F32</f>
        <v>1</v>
      </c>
      <c r="G33" s="8">
        <v>0.1152</v>
      </c>
      <c r="H33" s="10">
        <f t="shared" ref="H33:H39" si="35">E33*F33*G33</f>
        <v>1.1520000000000002E-6</v>
      </c>
      <c r="I33" s="61">
        <f>I32</f>
        <v>1.2</v>
      </c>
      <c r="J33" s="79">
        <f>0.1*I32</f>
        <v>0.12</v>
      </c>
      <c r="K33" s="73" t="s">
        <v>123</v>
      </c>
      <c r="L33" s="77">
        <v>2</v>
      </c>
      <c r="M33" s="31" t="str">
        <f t="shared" si="31"/>
        <v>С2</v>
      </c>
      <c r="N33" s="31" t="str">
        <f t="shared" si="32"/>
        <v>Трубопровод газ</v>
      </c>
      <c r="O33" s="31" t="str">
        <f t="shared" si="33"/>
        <v>Полное-взрыв</v>
      </c>
      <c r="P33" s="31" t="s">
        <v>46</v>
      </c>
      <c r="Q33" s="31" t="s">
        <v>46</v>
      </c>
      <c r="R33" s="31" t="s">
        <v>46</v>
      </c>
      <c r="S33" s="31" t="s">
        <v>46</v>
      </c>
      <c r="T33" s="31">
        <v>0</v>
      </c>
      <c r="U33" s="31">
        <v>0</v>
      </c>
      <c r="V33" s="31">
        <v>37.6</v>
      </c>
      <c r="W33" s="31">
        <v>124.6</v>
      </c>
      <c r="X33" s="31">
        <v>324.60000000000002</v>
      </c>
      <c r="Y33" s="31" t="s">
        <v>46</v>
      </c>
      <c r="Z33" s="31" t="s">
        <v>46</v>
      </c>
      <c r="AA33" s="31" t="s">
        <v>46</v>
      </c>
      <c r="AB33" s="31" t="s">
        <v>46</v>
      </c>
      <c r="AC33" s="31" t="s">
        <v>46</v>
      </c>
      <c r="AD33" s="31" t="s">
        <v>46</v>
      </c>
      <c r="AE33" s="31" t="s">
        <v>46</v>
      </c>
      <c r="AF33" s="31" t="s">
        <v>46</v>
      </c>
      <c r="AG33" s="31" t="s">
        <v>46</v>
      </c>
      <c r="AH33" s="31" t="s">
        <v>46</v>
      </c>
      <c r="AI33" s="31" t="s">
        <v>46</v>
      </c>
      <c r="AJ33" s="12">
        <v>2</v>
      </c>
      <c r="AK33" s="12">
        <v>2</v>
      </c>
      <c r="AL33" s="31">
        <f>AL32</f>
        <v>0.75</v>
      </c>
      <c r="AM33" s="31">
        <f>AM32</f>
        <v>2.7E-2</v>
      </c>
      <c r="AN33" s="31">
        <f>AN32</f>
        <v>3</v>
      </c>
      <c r="AO33" s="31"/>
      <c r="AP33" s="31"/>
      <c r="AQ33" s="32">
        <f>AM33*I33+AL33</f>
        <v>0.78239999999999998</v>
      </c>
      <c r="AR33" s="32">
        <f t="shared" ref="AR33:AR39" si="36">0.1*AQ33</f>
        <v>7.8240000000000004E-2</v>
      </c>
      <c r="AS33" s="33">
        <f t="shared" ref="AS33:AS39" si="37">AJ33*3+0.25*AK33</f>
        <v>6.5</v>
      </c>
      <c r="AT33" s="33">
        <f t="shared" ref="AT33:AT39" si="38">SUM(AQ33:AS33)/4</f>
        <v>1.84016</v>
      </c>
      <c r="AU33" s="32">
        <f>10068.2*J33*POWER(10,-6)*10</f>
        <v>1.208184E-2</v>
      </c>
      <c r="AV33" s="33">
        <f t="shared" si="34"/>
        <v>9.2128818399999979</v>
      </c>
      <c r="AW33" s="34">
        <f t="shared" ref="AW33:AW39" si="39">AJ33*H33</f>
        <v>2.3040000000000003E-6</v>
      </c>
      <c r="AX33" s="34">
        <f t="shared" ref="AX33:AX39" si="40">H33*AK33</f>
        <v>2.3040000000000003E-6</v>
      </c>
      <c r="AY33" s="34">
        <f t="shared" ref="AY33:AY39" si="41">H33*AV33</f>
        <v>1.061323987968E-5</v>
      </c>
      <c r="AZ33" s="289">
        <f>AW33/DB!$B$23</f>
        <v>2.7759036144578319E-9</v>
      </c>
      <c r="BA33" s="289">
        <f>AX33/DB!$B$23</f>
        <v>2.7759036144578319E-9</v>
      </c>
    </row>
    <row r="34" spans="1:53" x14ac:dyDescent="0.3">
      <c r="A34" s="8" t="s">
        <v>20</v>
      </c>
      <c r="B34" s="8" t="str">
        <f>B32</f>
        <v>Трубопровод газ</v>
      </c>
      <c r="C34" s="78" t="s">
        <v>131</v>
      </c>
      <c r="D34" s="9" t="s">
        <v>132</v>
      </c>
      <c r="E34" s="66">
        <f>E32</f>
        <v>1.0000000000000001E-5</v>
      </c>
      <c r="F34" s="67">
        <f>F32</f>
        <v>1</v>
      </c>
      <c r="G34" s="8">
        <v>7.6799999999999993E-2</v>
      </c>
      <c r="H34" s="10">
        <f>E34*F34*G34</f>
        <v>7.6799999999999999E-7</v>
      </c>
      <c r="I34" s="61">
        <f>I32</f>
        <v>1.2</v>
      </c>
      <c r="J34" s="68">
        <f>I32</f>
        <v>1.2</v>
      </c>
      <c r="K34" s="73" t="s">
        <v>124</v>
      </c>
      <c r="L34" s="77">
        <v>0</v>
      </c>
      <c r="M34" s="31" t="str">
        <f>A34</f>
        <v>С3</v>
      </c>
      <c r="N34" s="31" t="str">
        <f>B34</f>
        <v>Трубопровод газ</v>
      </c>
      <c r="O34" s="31" t="str">
        <f>D34</f>
        <v>Полное-вспышка</v>
      </c>
      <c r="P34" s="31" t="s">
        <v>46</v>
      </c>
      <c r="Q34" s="31" t="s">
        <v>46</v>
      </c>
      <c r="R34" s="31" t="s">
        <v>46</v>
      </c>
      <c r="S34" s="31" t="s">
        <v>46</v>
      </c>
      <c r="T34" s="31" t="s">
        <v>46</v>
      </c>
      <c r="U34" s="31" t="s">
        <v>46</v>
      </c>
      <c r="V34" s="31" t="s">
        <v>46</v>
      </c>
      <c r="W34" s="31" t="s">
        <v>46</v>
      </c>
      <c r="X34" s="31" t="s">
        <v>46</v>
      </c>
      <c r="Y34" s="31" t="s">
        <v>46</v>
      </c>
      <c r="Z34" s="31" t="s">
        <v>46</v>
      </c>
      <c r="AA34" s="31">
        <v>35.6</v>
      </c>
      <c r="AB34" s="31">
        <v>42.72</v>
      </c>
      <c r="AC34" s="31" t="s">
        <v>46</v>
      </c>
      <c r="AD34" s="31" t="s">
        <v>46</v>
      </c>
      <c r="AE34" s="31" t="s">
        <v>46</v>
      </c>
      <c r="AF34" s="31" t="s">
        <v>46</v>
      </c>
      <c r="AG34" s="31" t="s">
        <v>46</v>
      </c>
      <c r="AH34" s="31" t="s">
        <v>46</v>
      </c>
      <c r="AI34" s="31" t="s">
        <v>46</v>
      </c>
      <c r="AJ34" s="31">
        <v>0</v>
      </c>
      <c r="AK34" s="31">
        <v>0</v>
      </c>
      <c r="AL34" s="31">
        <f>AL32</f>
        <v>0.75</v>
      </c>
      <c r="AM34" s="31">
        <f>AM32</f>
        <v>2.7E-2</v>
      </c>
      <c r="AN34" s="31">
        <f>AN32</f>
        <v>3</v>
      </c>
      <c r="AO34" s="31"/>
      <c r="AP34" s="31"/>
      <c r="AQ34" s="32">
        <f>AM34*I34*0.1+AL34</f>
        <v>0.75324000000000002</v>
      </c>
      <c r="AR34" s="32">
        <f>0.1*AQ34</f>
        <v>7.5324000000000002E-2</v>
      </c>
      <c r="AS34" s="33">
        <f>AJ34*3+0.25*AK34</f>
        <v>0</v>
      </c>
      <c r="AT34" s="33">
        <f>SUM(AQ34:AS34)/4</f>
        <v>0.20714100000000002</v>
      </c>
      <c r="AU34" s="32">
        <f>1333*J32*POWER(10,-6)</f>
        <v>1.5995999999999999E-3</v>
      </c>
      <c r="AV34" s="33">
        <f>AU34+AT34+AS34+AR34+AQ34</f>
        <v>1.0373046000000001</v>
      </c>
      <c r="AW34" s="34">
        <f t="shared" si="39"/>
        <v>0</v>
      </c>
      <c r="AX34" s="34">
        <f t="shared" si="40"/>
        <v>0</v>
      </c>
      <c r="AY34" s="34">
        <f t="shared" si="41"/>
        <v>7.9664993280000006E-7</v>
      </c>
      <c r="AZ34" s="289">
        <f>AW34/DB!$B$23</f>
        <v>0</v>
      </c>
      <c r="BA34" s="289">
        <f>AX34/DB!$B$23</f>
        <v>0</v>
      </c>
    </row>
    <row r="35" spans="1:53" x14ac:dyDescent="0.3">
      <c r="A35" s="8" t="s">
        <v>21</v>
      </c>
      <c r="B35" s="8" t="str">
        <f>B32</f>
        <v>Трубопровод газ</v>
      </c>
      <c r="C35" s="78" t="s">
        <v>108</v>
      </c>
      <c r="D35" s="9" t="s">
        <v>26</v>
      </c>
      <c r="E35" s="66">
        <f>E32</f>
        <v>1.0000000000000001E-5</v>
      </c>
      <c r="F35" s="67">
        <f>F32</f>
        <v>1</v>
      </c>
      <c r="G35" s="8">
        <v>0.60799999999999998</v>
      </c>
      <c r="H35" s="10">
        <f t="shared" si="35"/>
        <v>6.0800000000000002E-6</v>
      </c>
      <c r="I35" s="61">
        <f>I32</f>
        <v>1.2</v>
      </c>
      <c r="J35" s="70">
        <v>0</v>
      </c>
      <c r="K35" s="73" t="s">
        <v>126</v>
      </c>
      <c r="L35" s="77">
        <v>45390</v>
      </c>
      <c r="M35" s="31" t="str">
        <f t="shared" si="31"/>
        <v>С4</v>
      </c>
      <c r="N35" s="31" t="str">
        <f t="shared" si="32"/>
        <v>Трубопровод газ</v>
      </c>
      <c r="O35" s="31" t="str">
        <f t="shared" si="33"/>
        <v>Полное-ликвидация</v>
      </c>
      <c r="P35" s="31" t="s">
        <v>46</v>
      </c>
      <c r="Q35" s="31" t="s">
        <v>46</v>
      </c>
      <c r="R35" s="31" t="s">
        <v>46</v>
      </c>
      <c r="S35" s="31" t="s">
        <v>46</v>
      </c>
      <c r="T35" s="31" t="s">
        <v>46</v>
      </c>
      <c r="U35" s="31" t="s">
        <v>46</v>
      </c>
      <c r="V35" s="31" t="s">
        <v>46</v>
      </c>
      <c r="W35" s="31" t="s">
        <v>46</v>
      </c>
      <c r="X35" s="31" t="s">
        <v>46</v>
      </c>
      <c r="Y35" s="31" t="s">
        <v>46</v>
      </c>
      <c r="Z35" s="31" t="s">
        <v>46</v>
      </c>
      <c r="AA35" s="31" t="s">
        <v>46</v>
      </c>
      <c r="AB35" s="31" t="s">
        <v>46</v>
      </c>
      <c r="AC35" s="31" t="s">
        <v>46</v>
      </c>
      <c r="AD35" s="31" t="s">
        <v>46</v>
      </c>
      <c r="AE35" s="31" t="s">
        <v>46</v>
      </c>
      <c r="AF35" s="31" t="s">
        <v>46</v>
      </c>
      <c r="AG35" s="31" t="s">
        <v>46</v>
      </c>
      <c r="AH35" s="31" t="s">
        <v>46</v>
      </c>
      <c r="AI35" s="31" t="s">
        <v>46</v>
      </c>
      <c r="AJ35" s="31">
        <v>0</v>
      </c>
      <c r="AK35" s="31">
        <v>0</v>
      </c>
      <c r="AL35" s="31">
        <f>AL32</f>
        <v>0.75</v>
      </c>
      <c r="AM35" s="31">
        <f>AM32</f>
        <v>2.7E-2</v>
      </c>
      <c r="AN35" s="31">
        <f>AN32</f>
        <v>3</v>
      </c>
      <c r="AO35" s="31"/>
      <c r="AP35" s="31"/>
      <c r="AQ35" s="32">
        <f>AM35*I35*0.1+AL35</f>
        <v>0.75324000000000002</v>
      </c>
      <c r="AR35" s="32">
        <f t="shared" si="36"/>
        <v>7.5324000000000002E-2</v>
      </c>
      <c r="AS35" s="33">
        <f t="shared" si="37"/>
        <v>0</v>
      </c>
      <c r="AT35" s="33">
        <f t="shared" si="38"/>
        <v>0.20714100000000002</v>
      </c>
      <c r="AU35" s="32">
        <f>1333*J33*POWER(10,-6)</f>
        <v>1.5996000000000001E-4</v>
      </c>
      <c r="AV35" s="33">
        <f t="shared" si="34"/>
        <v>1.0358649600000001</v>
      </c>
      <c r="AW35" s="34">
        <f t="shared" si="39"/>
        <v>0</v>
      </c>
      <c r="AX35" s="34">
        <f t="shared" si="40"/>
        <v>0</v>
      </c>
      <c r="AY35" s="34">
        <f t="shared" si="41"/>
        <v>6.2980589568000003E-6</v>
      </c>
      <c r="AZ35" s="289">
        <f>AW35/DB!$B$23</f>
        <v>0</v>
      </c>
      <c r="BA35" s="289">
        <f>AX35/DB!$B$23</f>
        <v>0</v>
      </c>
    </row>
    <row r="36" spans="1:53" x14ac:dyDescent="0.3">
      <c r="A36" s="8" t="s">
        <v>22</v>
      </c>
      <c r="B36" s="8" t="str">
        <f>B32</f>
        <v>Трубопровод газ</v>
      </c>
      <c r="C36" s="78" t="s">
        <v>133</v>
      </c>
      <c r="D36" s="9" t="s">
        <v>134</v>
      </c>
      <c r="E36" s="65">
        <v>1E-4</v>
      </c>
      <c r="F36" s="67">
        <f>F32</f>
        <v>1</v>
      </c>
      <c r="G36" s="8">
        <v>3.5000000000000003E-2</v>
      </c>
      <c r="H36" s="10">
        <f t="shared" si="35"/>
        <v>3.5000000000000004E-6</v>
      </c>
      <c r="I36" s="61">
        <f>0.15*I32</f>
        <v>0.18</v>
      </c>
      <c r="J36" s="68">
        <f>I36</f>
        <v>0.18</v>
      </c>
      <c r="K36" s="73" t="s">
        <v>127</v>
      </c>
      <c r="L36" s="77">
        <v>3</v>
      </c>
      <c r="M36" s="31" t="str">
        <f t="shared" si="31"/>
        <v>С5</v>
      </c>
      <c r="N36" s="31" t="str">
        <f t="shared" si="32"/>
        <v>Трубопровод газ</v>
      </c>
      <c r="O36" s="31" t="str">
        <f t="shared" si="33"/>
        <v>Частичное-факел</v>
      </c>
      <c r="P36" s="31" t="s">
        <v>46</v>
      </c>
      <c r="Q36" s="31" t="s">
        <v>46</v>
      </c>
      <c r="R36" s="31" t="s">
        <v>46</v>
      </c>
      <c r="S36" s="31" t="s">
        <v>46</v>
      </c>
      <c r="T36" s="31" t="s">
        <v>46</v>
      </c>
      <c r="U36" s="31" t="s">
        <v>46</v>
      </c>
      <c r="V36" s="31" t="s">
        <v>46</v>
      </c>
      <c r="W36" s="31" t="s">
        <v>46</v>
      </c>
      <c r="X36" s="31" t="s">
        <v>46</v>
      </c>
      <c r="Y36" s="31">
        <v>11</v>
      </c>
      <c r="Z36" s="31">
        <v>2</v>
      </c>
      <c r="AA36" s="31" t="s">
        <v>46</v>
      </c>
      <c r="AB36" s="31" t="s">
        <v>46</v>
      </c>
      <c r="AC36" s="31" t="s">
        <v>46</v>
      </c>
      <c r="AD36" s="31" t="s">
        <v>46</v>
      </c>
      <c r="AE36" s="31" t="s">
        <v>46</v>
      </c>
      <c r="AF36" s="31" t="s">
        <v>46</v>
      </c>
      <c r="AG36" s="31" t="s">
        <v>46</v>
      </c>
      <c r="AH36" s="31" t="s">
        <v>46</v>
      </c>
      <c r="AI36" s="31" t="s">
        <v>46</v>
      </c>
      <c r="AJ36" s="31">
        <v>0</v>
      </c>
      <c r="AK36" s="31">
        <v>2</v>
      </c>
      <c r="AL36" s="31">
        <f>0.1*$AL$2</f>
        <v>7.5000000000000011E-2</v>
      </c>
      <c r="AM36" s="31">
        <f>AM32</f>
        <v>2.7E-2</v>
      </c>
      <c r="AN36" s="31">
        <f>ROUNDUP(AN32/3,0)</f>
        <v>1</v>
      </c>
      <c r="AO36" s="31"/>
      <c r="AP36" s="31"/>
      <c r="AQ36" s="32">
        <f>AM36*I36+AL36</f>
        <v>7.9860000000000014E-2</v>
      </c>
      <c r="AR36" s="32">
        <f t="shared" si="36"/>
        <v>7.9860000000000018E-3</v>
      </c>
      <c r="AS36" s="33">
        <f t="shared" si="37"/>
        <v>0.5</v>
      </c>
      <c r="AT36" s="33">
        <f t="shared" si="38"/>
        <v>0.14696149999999999</v>
      </c>
      <c r="AU36" s="32">
        <f>10068.2*J36*POWER(10,-6)</f>
        <v>1.812276E-3</v>
      </c>
      <c r="AV36" s="33">
        <f t="shared" si="34"/>
        <v>0.73661977600000006</v>
      </c>
      <c r="AW36" s="34">
        <f t="shared" si="39"/>
        <v>0</v>
      </c>
      <c r="AX36" s="34">
        <f t="shared" si="40"/>
        <v>7.0000000000000007E-6</v>
      </c>
      <c r="AY36" s="34">
        <f t="shared" si="41"/>
        <v>2.5781692160000003E-6</v>
      </c>
      <c r="AZ36" s="289">
        <f>AW36/DB!$B$23</f>
        <v>0</v>
      </c>
      <c r="BA36" s="289">
        <f>AX36/DB!$B$23</f>
        <v>8.4337349397590378E-9</v>
      </c>
    </row>
    <row r="37" spans="1:53" x14ac:dyDescent="0.3">
      <c r="A37" s="8" t="s">
        <v>23</v>
      </c>
      <c r="B37" s="8" t="str">
        <f>B32</f>
        <v>Трубопровод газ</v>
      </c>
      <c r="C37" s="78" t="s">
        <v>135</v>
      </c>
      <c r="D37" s="9" t="s">
        <v>136</v>
      </c>
      <c r="E37" s="66">
        <f>E36</f>
        <v>1E-4</v>
      </c>
      <c r="F37" s="67">
        <v>1</v>
      </c>
      <c r="G37" s="8">
        <v>8.3000000000000001E-3</v>
      </c>
      <c r="H37" s="10">
        <f>E37*F37*G37</f>
        <v>8.300000000000001E-7</v>
      </c>
      <c r="I37" s="61">
        <f>I36</f>
        <v>0.18</v>
      </c>
      <c r="J37" s="68">
        <f>J33*0.15</f>
        <v>1.7999999999999999E-2</v>
      </c>
      <c r="K37" s="72" t="s">
        <v>138</v>
      </c>
      <c r="L37" s="129">
        <v>4</v>
      </c>
      <c r="M37" s="31" t="str">
        <f>A37</f>
        <v>С6</v>
      </c>
      <c r="N37" s="31" t="str">
        <f>B37</f>
        <v>Трубопровод газ</v>
      </c>
      <c r="O37" s="31" t="str">
        <f>D37</f>
        <v>Частичное-взрыв</v>
      </c>
      <c r="P37" s="31" t="s">
        <v>46</v>
      </c>
      <c r="Q37" s="31" t="s">
        <v>46</v>
      </c>
      <c r="R37" s="31" t="s">
        <v>46</v>
      </c>
      <c r="S37" s="31" t="s">
        <v>46</v>
      </c>
      <c r="T37" s="31">
        <v>0</v>
      </c>
      <c r="U37" s="31">
        <v>0</v>
      </c>
      <c r="V37" s="31">
        <v>20.100000000000001</v>
      </c>
      <c r="W37" s="31">
        <v>66.099999999999994</v>
      </c>
      <c r="X37" s="31">
        <v>172.6</v>
      </c>
      <c r="Y37" s="31" t="s">
        <v>46</v>
      </c>
      <c r="Z37" s="31" t="s">
        <v>46</v>
      </c>
      <c r="AA37" s="31" t="s">
        <v>46</v>
      </c>
      <c r="AB37" s="31" t="s">
        <v>46</v>
      </c>
      <c r="AC37" s="31" t="s">
        <v>46</v>
      </c>
      <c r="AD37" s="31" t="s">
        <v>46</v>
      </c>
      <c r="AE37" s="31" t="s">
        <v>46</v>
      </c>
      <c r="AF37" s="31" t="s">
        <v>46</v>
      </c>
      <c r="AG37" s="31" t="s">
        <v>46</v>
      </c>
      <c r="AH37" s="31" t="s">
        <v>46</v>
      </c>
      <c r="AI37" s="31" t="s">
        <v>46</v>
      </c>
      <c r="AJ37" s="31">
        <v>0</v>
      </c>
      <c r="AK37" s="31">
        <v>1</v>
      </c>
      <c r="AL37" s="31">
        <f>0.1*$AL$2</f>
        <v>7.5000000000000011E-2</v>
      </c>
      <c r="AM37" s="31">
        <f>AM32</f>
        <v>2.7E-2</v>
      </c>
      <c r="AN37" s="31">
        <f>AN36</f>
        <v>1</v>
      </c>
      <c r="AO37" s="31"/>
      <c r="AP37" s="31"/>
      <c r="AQ37" s="32">
        <f>AM37*I37+AL37</f>
        <v>7.9860000000000014E-2</v>
      </c>
      <c r="AR37" s="32">
        <f>0.1*AQ37</f>
        <v>7.9860000000000018E-3</v>
      </c>
      <c r="AS37" s="33">
        <f>AJ37*3+0.25*AK37</f>
        <v>0.25</v>
      </c>
      <c r="AT37" s="33">
        <f>SUM(AQ37:AS37)/4</f>
        <v>8.4461500000000009E-2</v>
      </c>
      <c r="AU37" s="32">
        <f>10068.2*J37*POWER(10,-6)*10</f>
        <v>1.8122759999999998E-3</v>
      </c>
      <c r="AV37" s="33">
        <f>AU37+AT37+AS37+AR37+AQ37</f>
        <v>0.42411977600000006</v>
      </c>
      <c r="AW37" s="34">
        <f t="shared" si="39"/>
        <v>0</v>
      </c>
      <c r="AX37" s="34">
        <f t="shared" si="40"/>
        <v>8.300000000000001E-7</v>
      </c>
      <c r="AY37" s="34">
        <f t="shared" si="41"/>
        <v>3.5201941408000008E-7</v>
      </c>
      <c r="AZ37" s="289">
        <f>AW37/DB!$B$23</f>
        <v>0</v>
      </c>
      <c r="BA37" s="289">
        <f>AX37/DB!$B$23</f>
        <v>1.0000000000000001E-9</v>
      </c>
    </row>
    <row r="38" spans="1:53" x14ac:dyDescent="0.3">
      <c r="A38" s="8" t="s">
        <v>157</v>
      </c>
      <c r="B38" s="8" t="str">
        <f>B32</f>
        <v>Трубопровод газ</v>
      </c>
      <c r="C38" s="78" t="s">
        <v>110</v>
      </c>
      <c r="D38" s="9" t="s">
        <v>112</v>
      </c>
      <c r="E38" s="66">
        <f>E36</f>
        <v>1E-4</v>
      </c>
      <c r="F38" s="67">
        <f>F32</f>
        <v>1</v>
      </c>
      <c r="G38" s="8">
        <v>2.64E-2</v>
      </c>
      <c r="H38" s="10">
        <f t="shared" si="35"/>
        <v>2.6400000000000001E-6</v>
      </c>
      <c r="I38" s="61">
        <f>0.15*I32</f>
        <v>0.18</v>
      </c>
      <c r="J38" s="68">
        <f>J34*0.15</f>
        <v>0.18</v>
      </c>
      <c r="K38" s="73"/>
      <c r="L38" s="77"/>
      <c r="M38" s="31" t="str">
        <f t="shared" si="31"/>
        <v>С7</v>
      </c>
      <c r="N38" s="31" t="str">
        <f t="shared" si="32"/>
        <v>Трубопровод газ</v>
      </c>
      <c r="O38" s="31" t="str">
        <f t="shared" si="33"/>
        <v>Частичное-пожар-вспышка</v>
      </c>
      <c r="P38" s="31" t="s">
        <v>46</v>
      </c>
      <c r="Q38" s="31" t="s">
        <v>46</v>
      </c>
      <c r="R38" s="31" t="s">
        <v>46</v>
      </c>
      <c r="S38" s="31" t="s">
        <v>46</v>
      </c>
      <c r="T38" s="31" t="s">
        <v>46</v>
      </c>
      <c r="U38" s="31" t="s">
        <v>46</v>
      </c>
      <c r="V38" s="31" t="s">
        <v>46</v>
      </c>
      <c r="W38" s="31" t="s">
        <v>46</v>
      </c>
      <c r="X38" s="31" t="s">
        <v>46</v>
      </c>
      <c r="Y38" s="31" t="s">
        <v>46</v>
      </c>
      <c r="Z38" s="31" t="s">
        <v>46</v>
      </c>
      <c r="AA38" s="31">
        <v>19.03</v>
      </c>
      <c r="AB38" s="31">
        <v>22.84</v>
      </c>
      <c r="AC38" s="31" t="s">
        <v>46</v>
      </c>
      <c r="AD38" s="31" t="s">
        <v>46</v>
      </c>
      <c r="AE38" s="31" t="s">
        <v>46</v>
      </c>
      <c r="AF38" s="31" t="s">
        <v>46</v>
      </c>
      <c r="AG38" s="31" t="s">
        <v>46</v>
      </c>
      <c r="AH38" s="31" t="s">
        <v>46</v>
      </c>
      <c r="AI38" s="31" t="s">
        <v>46</v>
      </c>
      <c r="AJ38" s="31">
        <v>0</v>
      </c>
      <c r="AK38" s="31">
        <v>1</v>
      </c>
      <c r="AL38" s="31">
        <f>0.1*$AL$2</f>
        <v>7.5000000000000011E-2</v>
      </c>
      <c r="AM38" s="31">
        <f>AM32</f>
        <v>2.7E-2</v>
      </c>
      <c r="AN38" s="31">
        <f>ROUNDUP(AN32/3,0)</f>
        <v>1</v>
      </c>
      <c r="AO38" s="31"/>
      <c r="AP38" s="31"/>
      <c r="AQ38" s="32">
        <f>AM38*I38+AL38</f>
        <v>7.9860000000000014E-2</v>
      </c>
      <c r="AR38" s="32">
        <f t="shared" si="36"/>
        <v>7.9860000000000018E-3</v>
      </c>
      <c r="AS38" s="33">
        <f t="shared" si="37"/>
        <v>0.25</v>
      </c>
      <c r="AT38" s="33">
        <f t="shared" si="38"/>
        <v>8.4461500000000009E-2</v>
      </c>
      <c r="AU38" s="32">
        <f>10068.2*J38*POWER(10,-6)*10</f>
        <v>1.8122760000000002E-2</v>
      </c>
      <c r="AV38" s="33">
        <f t="shared" si="34"/>
        <v>0.44043025999999996</v>
      </c>
      <c r="AW38" s="34">
        <f t="shared" si="39"/>
        <v>0</v>
      </c>
      <c r="AX38" s="34">
        <f t="shared" si="40"/>
        <v>2.6400000000000001E-6</v>
      </c>
      <c r="AY38" s="34">
        <f t="shared" si="41"/>
        <v>1.1627358863999999E-6</v>
      </c>
      <c r="AZ38" s="289">
        <f>AW38/DB!$B$23</f>
        <v>0</v>
      </c>
      <c r="BA38" s="289">
        <f>AX38/DB!$B$23</f>
        <v>3.1807228915662653E-9</v>
      </c>
    </row>
    <row r="39" spans="1:53" ht="15" thickBot="1" x14ac:dyDescent="0.35">
      <c r="A39" s="8" t="s">
        <v>158</v>
      </c>
      <c r="B39" s="8" t="str">
        <f>B32</f>
        <v>Трубопровод газ</v>
      </c>
      <c r="C39" s="78" t="s">
        <v>111</v>
      </c>
      <c r="D39" s="9" t="s">
        <v>27</v>
      </c>
      <c r="E39" s="66">
        <f>E36</f>
        <v>1E-4</v>
      </c>
      <c r="F39" s="67">
        <f>F32</f>
        <v>1</v>
      </c>
      <c r="G39" s="8">
        <v>0.93030000000000002</v>
      </c>
      <c r="H39" s="10">
        <f t="shared" si="35"/>
        <v>9.3030000000000009E-5</v>
      </c>
      <c r="I39" s="61">
        <f>0.15*I32</f>
        <v>0.18</v>
      </c>
      <c r="J39" s="70">
        <v>0</v>
      </c>
      <c r="K39" s="74"/>
      <c r="L39" s="75"/>
      <c r="M39" s="31" t="str">
        <f t="shared" si="31"/>
        <v>С8</v>
      </c>
      <c r="N39" s="31" t="str">
        <f t="shared" si="32"/>
        <v>Трубопровод газ</v>
      </c>
      <c r="O39" s="31" t="str">
        <f t="shared" si="33"/>
        <v>Частичное-ликвидация</v>
      </c>
      <c r="P39" s="31" t="s">
        <v>46</v>
      </c>
      <c r="Q39" s="31" t="s">
        <v>46</v>
      </c>
      <c r="R39" s="31" t="s">
        <v>46</v>
      </c>
      <c r="S39" s="31" t="s">
        <v>46</v>
      </c>
      <c r="T39" s="31" t="s">
        <v>46</v>
      </c>
      <c r="U39" s="31" t="s">
        <v>46</v>
      </c>
      <c r="V39" s="31" t="s">
        <v>46</v>
      </c>
      <c r="W39" s="31" t="s">
        <v>46</v>
      </c>
      <c r="X39" s="31" t="s">
        <v>46</v>
      </c>
      <c r="Y39" s="31" t="s">
        <v>46</v>
      </c>
      <c r="Z39" s="31" t="s">
        <v>46</v>
      </c>
      <c r="AA39" s="31" t="s">
        <v>46</v>
      </c>
      <c r="AB39" s="31" t="s">
        <v>46</v>
      </c>
      <c r="AC39" s="31" t="s">
        <v>46</v>
      </c>
      <c r="AD39" s="31" t="s">
        <v>46</v>
      </c>
      <c r="AE39" s="31" t="s">
        <v>46</v>
      </c>
      <c r="AF39" s="31" t="s">
        <v>46</v>
      </c>
      <c r="AG39" s="31" t="s">
        <v>46</v>
      </c>
      <c r="AH39" s="31" t="s">
        <v>46</v>
      </c>
      <c r="AI39" s="31" t="s">
        <v>46</v>
      </c>
      <c r="AJ39" s="31">
        <v>0</v>
      </c>
      <c r="AK39" s="31">
        <v>0</v>
      </c>
      <c r="AL39" s="31">
        <f>0.1*$AL$2</f>
        <v>7.5000000000000011E-2</v>
      </c>
      <c r="AM39" s="31">
        <f>AM32</f>
        <v>2.7E-2</v>
      </c>
      <c r="AN39" s="31">
        <f>ROUNDUP(AN32/3,0)</f>
        <v>1</v>
      </c>
      <c r="AO39" s="31"/>
      <c r="AP39" s="31"/>
      <c r="AQ39" s="32">
        <f>AM39*I39*0.1+AL39</f>
        <v>7.5486000000000011E-2</v>
      </c>
      <c r="AR39" s="32">
        <f t="shared" si="36"/>
        <v>7.5486000000000017E-3</v>
      </c>
      <c r="AS39" s="33">
        <f t="shared" si="37"/>
        <v>0</v>
      </c>
      <c r="AT39" s="33">
        <f t="shared" si="38"/>
        <v>2.0758650000000003E-2</v>
      </c>
      <c r="AU39" s="32">
        <f>1333*J38*POWER(10,-6)</f>
        <v>2.3993999999999998E-4</v>
      </c>
      <c r="AV39" s="33">
        <f t="shared" si="34"/>
        <v>0.10403319000000003</v>
      </c>
      <c r="AW39" s="34">
        <f t="shared" si="39"/>
        <v>0</v>
      </c>
      <c r="AX39" s="34">
        <f t="shared" si="40"/>
        <v>0</v>
      </c>
      <c r="AY39" s="34">
        <f t="shared" si="41"/>
        <v>9.6782076657000025E-6</v>
      </c>
      <c r="AZ39" s="289">
        <f>AW39/DB!$B$23</f>
        <v>0</v>
      </c>
      <c r="BA39" s="289">
        <f>AX39/DB!$B$23</f>
        <v>0</v>
      </c>
    </row>
    <row r="40" spans="1:53" x14ac:dyDescent="0.3">
      <c r="A40" s="12"/>
      <c r="B40" s="12"/>
      <c r="C40" s="31"/>
      <c r="D40" s="166"/>
      <c r="E40" s="167"/>
      <c r="F40" s="168"/>
      <c r="G40" s="12"/>
      <c r="H40" s="34"/>
      <c r="I40" s="33"/>
      <c r="J40" s="12"/>
      <c r="K40" s="12"/>
      <c r="L40" s="12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2"/>
      <c r="AR40" s="32"/>
      <c r="AS40" s="33"/>
      <c r="AT40" s="33"/>
      <c r="AU40" s="32"/>
      <c r="AV40" s="33"/>
      <c r="AW40" s="34"/>
      <c r="AX40" s="34"/>
      <c r="AY40" s="34"/>
    </row>
    <row r="41" spans="1:53" ht="15" thickBot="1" x14ac:dyDescent="0.35"/>
    <row r="42" spans="1:53" ht="18" customHeight="1" x14ac:dyDescent="0.3">
      <c r="A42" s="8" t="s">
        <v>18</v>
      </c>
      <c r="B42" s="62" t="s">
        <v>139</v>
      </c>
      <c r="C42" s="78" t="s">
        <v>129</v>
      </c>
      <c r="D42" s="9" t="s">
        <v>130</v>
      </c>
      <c r="E42" s="65">
        <v>1.0000000000000001E-5</v>
      </c>
      <c r="F42" s="62">
        <v>1</v>
      </c>
      <c r="G42" s="8">
        <v>0.2</v>
      </c>
      <c r="H42" s="10">
        <f>E42*F42*G42</f>
        <v>2.0000000000000003E-6</v>
      </c>
      <c r="I42" s="63">
        <v>6.37</v>
      </c>
      <c r="J42" s="68">
        <f>I42</f>
        <v>6.37</v>
      </c>
      <c r="K42" s="71" t="s">
        <v>122</v>
      </c>
      <c r="L42" s="76">
        <v>0</v>
      </c>
      <c r="M42" s="31" t="str">
        <f t="shared" ref="M42:M49" si="42">A42</f>
        <v>С1</v>
      </c>
      <c r="N42" s="31" t="str">
        <f t="shared" ref="N42:N49" si="43">B42</f>
        <v>Трубопровод газ+токси</v>
      </c>
      <c r="O42" s="31" t="str">
        <f t="shared" ref="O42:O49" si="44">D42</f>
        <v>Полное-факел</v>
      </c>
      <c r="P42" s="31" t="s">
        <v>46</v>
      </c>
      <c r="Q42" s="31" t="s">
        <v>46</v>
      </c>
      <c r="R42" s="31" t="s">
        <v>46</v>
      </c>
      <c r="S42" s="31" t="s">
        <v>46</v>
      </c>
      <c r="T42" s="31" t="s">
        <v>46</v>
      </c>
      <c r="U42" s="31" t="s">
        <v>46</v>
      </c>
      <c r="V42" s="31" t="s">
        <v>46</v>
      </c>
      <c r="W42" s="31" t="s">
        <v>46</v>
      </c>
      <c r="X42" s="31" t="s">
        <v>46</v>
      </c>
      <c r="Y42" s="31">
        <v>17</v>
      </c>
      <c r="Z42" s="31">
        <v>3</v>
      </c>
      <c r="AA42" s="31" t="s">
        <v>46</v>
      </c>
      <c r="AB42" s="31" t="s">
        <v>46</v>
      </c>
      <c r="AC42" s="31" t="s">
        <v>46</v>
      </c>
      <c r="AD42" s="31" t="s">
        <v>46</v>
      </c>
      <c r="AE42" s="31" t="s">
        <v>46</v>
      </c>
      <c r="AF42" s="31" t="s">
        <v>46</v>
      </c>
      <c r="AG42" s="31" t="s">
        <v>46</v>
      </c>
      <c r="AH42" s="31" t="s">
        <v>46</v>
      </c>
      <c r="AI42" s="31" t="s">
        <v>46</v>
      </c>
      <c r="AJ42" s="12">
        <v>1</v>
      </c>
      <c r="AK42" s="12">
        <v>2</v>
      </c>
      <c r="AL42" s="64">
        <v>0.75</v>
      </c>
      <c r="AM42" s="64">
        <v>2.7E-2</v>
      </c>
      <c r="AN42" s="64">
        <v>3</v>
      </c>
      <c r="AO42" s="31"/>
      <c r="AP42" s="31"/>
      <c r="AQ42" s="32">
        <f>AM42*I42+AL42</f>
        <v>0.92198999999999998</v>
      </c>
      <c r="AR42" s="32">
        <f>0.1*AQ42</f>
        <v>9.2199000000000003E-2</v>
      </c>
      <c r="AS42" s="33">
        <f>AJ42*3+0.25*AK42</f>
        <v>3.5</v>
      </c>
      <c r="AT42" s="33">
        <f>SUM(AQ42:AS42)/4</f>
        <v>1.12854725</v>
      </c>
      <c r="AU42" s="32">
        <f>10068.2*J42*POWER(10,-6)</f>
        <v>6.4134434000000004E-2</v>
      </c>
      <c r="AV42" s="33">
        <f t="shared" ref="AV42:AV49" si="45">AU42+AT42+AS42+AR42+AQ42</f>
        <v>5.7068706840000001</v>
      </c>
      <c r="AW42" s="34">
        <f>AJ42*H42</f>
        <v>2.0000000000000003E-6</v>
      </c>
      <c r="AX42" s="34">
        <f>H42*AK42</f>
        <v>4.0000000000000007E-6</v>
      </c>
      <c r="AY42" s="34">
        <f>H42*AV42</f>
        <v>1.1413741368000002E-5</v>
      </c>
      <c r="AZ42" s="289">
        <f>AW42/DB!$B$23</f>
        <v>2.4096385542168678E-9</v>
      </c>
      <c r="BA42" s="289">
        <f>AX42/DB!$B$23</f>
        <v>4.8192771084337357E-9</v>
      </c>
    </row>
    <row r="43" spans="1:53" x14ac:dyDescent="0.3">
      <c r="A43" s="8" t="s">
        <v>19</v>
      </c>
      <c r="B43" s="8" t="str">
        <f>B42</f>
        <v>Трубопровод газ+токси</v>
      </c>
      <c r="C43" s="78" t="s">
        <v>107</v>
      </c>
      <c r="D43" s="9" t="s">
        <v>28</v>
      </c>
      <c r="E43" s="66">
        <f>E42</f>
        <v>1.0000000000000001E-5</v>
      </c>
      <c r="F43" s="67">
        <f>F42</f>
        <v>1</v>
      </c>
      <c r="G43" s="8">
        <v>0.1152</v>
      </c>
      <c r="H43" s="10">
        <f t="shared" ref="H43:H49" si="46">E43*F43*G43</f>
        <v>1.1520000000000002E-6</v>
      </c>
      <c r="I43" s="61">
        <f>I42</f>
        <v>6.37</v>
      </c>
      <c r="J43" s="79">
        <f>0.1*I42</f>
        <v>0.63700000000000001</v>
      </c>
      <c r="K43" s="73" t="s">
        <v>123</v>
      </c>
      <c r="L43" s="77">
        <v>2</v>
      </c>
      <c r="M43" s="31" t="str">
        <f t="shared" si="42"/>
        <v>С2</v>
      </c>
      <c r="N43" s="31" t="str">
        <f t="shared" si="43"/>
        <v>Трубопровод газ+токси</v>
      </c>
      <c r="O43" s="31" t="str">
        <f t="shared" si="44"/>
        <v>Полное-взрыв</v>
      </c>
      <c r="P43" s="31" t="s">
        <v>46</v>
      </c>
      <c r="Q43" s="31" t="s">
        <v>46</v>
      </c>
      <c r="R43" s="31" t="s">
        <v>46</v>
      </c>
      <c r="S43" s="31" t="s">
        <v>46</v>
      </c>
      <c r="T43" s="31">
        <v>0</v>
      </c>
      <c r="U43" s="31">
        <v>0</v>
      </c>
      <c r="V43" s="31">
        <v>65.099999999999994</v>
      </c>
      <c r="W43" s="31">
        <v>217.6</v>
      </c>
      <c r="X43" s="31">
        <v>566.1</v>
      </c>
      <c r="Y43" s="31" t="s">
        <v>46</v>
      </c>
      <c r="Z43" s="31" t="s">
        <v>46</v>
      </c>
      <c r="AA43" s="31" t="s">
        <v>46</v>
      </c>
      <c r="AB43" s="31" t="s">
        <v>46</v>
      </c>
      <c r="AC43" s="31" t="s">
        <v>46</v>
      </c>
      <c r="AD43" s="31" t="s">
        <v>46</v>
      </c>
      <c r="AE43" s="31" t="s">
        <v>46</v>
      </c>
      <c r="AF43" s="31" t="s">
        <v>46</v>
      </c>
      <c r="AG43" s="31" t="s">
        <v>46</v>
      </c>
      <c r="AH43" s="31" t="s">
        <v>46</v>
      </c>
      <c r="AI43" s="31" t="s">
        <v>46</v>
      </c>
      <c r="AJ43" s="12">
        <v>2</v>
      </c>
      <c r="AK43" s="12">
        <v>2</v>
      </c>
      <c r="AL43" s="31">
        <f>AL42</f>
        <v>0.75</v>
      </c>
      <c r="AM43" s="31">
        <f>AM42</f>
        <v>2.7E-2</v>
      </c>
      <c r="AN43" s="31">
        <f>AN42</f>
        <v>3</v>
      </c>
      <c r="AO43" s="31"/>
      <c r="AP43" s="31"/>
      <c r="AQ43" s="32">
        <f>AM43*I43+AL43</f>
        <v>0.92198999999999998</v>
      </c>
      <c r="AR43" s="32">
        <f t="shared" ref="AR43:AR49" si="47">0.1*AQ43</f>
        <v>9.2199000000000003E-2</v>
      </c>
      <c r="AS43" s="33">
        <f t="shared" ref="AS43:AS49" si="48">AJ43*3+0.25*AK43</f>
        <v>6.5</v>
      </c>
      <c r="AT43" s="33">
        <f t="shared" ref="AT43:AT49" si="49">SUM(AQ43:AS43)/4</f>
        <v>1.87854725</v>
      </c>
      <c r="AU43" s="32">
        <f>10068.2*J43*POWER(10,-6)*10</f>
        <v>6.4134434000000004E-2</v>
      </c>
      <c r="AV43" s="33">
        <f t="shared" si="45"/>
        <v>9.4568706840000001</v>
      </c>
      <c r="AW43" s="34">
        <f t="shared" ref="AW43:AW49" si="50">AJ43*H43</f>
        <v>2.3040000000000003E-6</v>
      </c>
      <c r="AX43" s="34">
        <f t="shared" ref="AX43:AX49" si="51">H43*AK43</f>
        <v>2.3040000000000003E-6</v>
      </c>
      <c r="AY43" s="34">
        <f t="shared" ref="AY43:AY49" si="52">H43*AV43</f>
        <v>1.0894315027968001E-5</v>
      </c>
      <c r="AZ43" s="289">
        <f>AW43/DB!$B$23</f>
        <v>2.7759036144578319E-9</v>
      </c>
      <c r="BA43" s="289">
        <f>AX43/DB!$B$23</f>
        <v>2.7759036144578319E-9</v>
      </c>
    </row>
    <row r="44" spans="1:53" x14ac:dyDescent="0.3">
      <c r="A44" s="8" t="s">
        <v>20</v>
      </c>
      <c r="B44" s="8" t="str">
        <f>B42</f>
        <v>Трубопровод газ+токси</v>
      </c>
      <c r="C44" s="78" t="s">
        <v>131</v>
      </c>
      <c r="D44" s="9" t="s">
        <v>132</v>
      </c>
      <c r="E44" s="66">
        <f>E42</f>
        <v>1.0000000000000001E-5</v>
      </c>
      <c r="F44" s="67">
        <f>F42</f>
        <v>1</v>
      </c>
      <c r="G44" s="8">
        <v>7.6799999999999993E-2</v>
      </c>
      <c r="H44" s="10">
        <f t="shared" si="46"/>
        <v>7.6799999999999999E-7</v>
      </c>
      <c r="I44" s="61">
        <f>I42</f>
        <v>6.37</v>
      </c>
      <c r="J44" s="68">
        <f>J43</f>
        <v>0.63700000000000001</v>
      </c>
      <c r="K44" s="73" t="s">
        <v>124</v>
      </c>
      <c r="L44" s="77">
        <v>0</v>
      </c>
      <c r="M44" s="31" t="str">
        <f t="shared" si="42"/>
        <v>С3</v>
      </c>
      <c r="N44" s="31" t="str">
        <f t="shared" si="43"/>
        <v>Трубопровод газ+токси</v>
      </c>
      <c r="O44" s="31" t="str">
        <f t="shared" si="44"/>
        <v>Полное-вспышка</v>
      </c>
      <c r="P44" s="31" t="s">
        <v>46</v>
      </c>
      <c r="Q44" s="31" t="s">
        <v>46</v>
      </c>
      <c r="R44" s="31" t="s">
        <v>46</v>
      </c>
      <c r="S44" s="31" t="s">
        <v>46</v>
      </c>
      <c r="T44" s="31" t="s">
        <v>46</v>
      </c>
      <c r="U44" s="31" t="s">
        <v>46</v>
      </c>
      <c r="V44" s="31" t="s">
        <v>46</v>
      </c>
      <c r="W44" s="31" t="s">
        <v>46</v>
      </c>
      <c r="X44" s="31" t="s">
        <v>46</v>
      </c>
      <c r="Y44" s="31" t="s">
        <v>46</v>
      </c>
      <c r="Z44" s="31" t="s">
        <v>46</v>
      </c>
      <c r="AA44" s="31">
        <v>28.88</v>
      </c>
      <c r="AB44" s="31">
        <v>34.659999999999997</v>
      </c>
      <c r="AC44" s="31" t="s">
        <v>46</v>
      </c>
      <c r="AD44" s="31" t="s">
        <v>46</v>
      </c>
      <c r="AE44" s="31" t="s">
        <v>46</v>
      </c>
      <c r="AF44" s="31" t="s">
        <v>46</v>
      </c>
      <c r="AG44" s="31" t="s">
        <v>46</v>
      </c>
      <c r="AH44" s="31" t="s">
        <v>46</v>
      </c>
      <c r="AI44" s="31" t="s">
        <v>46</v>
      </c>
      <c r="AJ44" s="31">
        <v>0</v>
      </c>
      <c r="AK44" s="31">
        <v>0</v>
      </c>
      <c r="AL44" s="31">
        <f>AL42</f>
        <v>0.75</v>
      </c>
      <c r="AM44" s="31">
        <f>AM42</f>
        <v>2.7E-2</v>
      </c>
      <c r="AN44" s="31">
        <f>AN42</f>
        <v>3</v>
      </c>
      <c r="AO44" s="31"/>
      <c r="AP44" s="31"/>
      <c r="AQ44" s="32">
        <f>AM44*I44*0.1+AL44</f>
        <v>0.76719899999999996</v>
      </c>
      <c r="AR44" s="32">
        <f t="shared" si="47"/>
        <v>7.6719900000000008E-2</v>
      </c>
      <c r="AS44" s="33">
        <f t="shared" si="48"/>
        <v>0</v>
      </c>
      <c r="AT44" s="33">
        <f t="shared" si="49"/>
        <v>0.21097972500000001</v>
      </c>
      <c r="AU44" s="32">
        <f>1333*J42*POWER(10,-6)</f>
        <v>8.4912100000000008E-3</v>
      </c>
      <c r="AV44" s="33">
        <f t="shared" si="45"/>
        <v>1.0633898349999999</v>
      </c>
      <c r="AW44" s="34">
        <f t="shared" si="50"/>
        <v>0</v>
      </c>
      <c r="AX44" s="34">
        <f t="shared" si="51"/>
        <v>0</v>
      </c>
      <c r="AY44" s="34">
        <f t="shared" si="52"/>
        <v>8.1668339327999993E-7</v>
      </c>
      <c r="AZ44" s="289">
        <f>AW44/DB!$B$23</f>
        <v>0</v>
      </c>
      <c r="BA44" s="289">
        <f>AX44/DB!$B$23</f>
        <v>0</v>
      </c>
    </row>
    <row r="45" spans="1:53" x14ac:dyDescent="0.3">
      <c r="A45" s="8" t="s">
        <v>21</v>
      </c>
      <c r="B45" s="8" t="str">
        <f>B42</f>
        <v>Трубопровод газ+токси</v>
      </c>
      <c r="C45" s="78" t="s">
        <v>116</v>
      </c>
      <c r="D45" s="9" t="s">
        <v>118</v>
      </c>
      <c r="E45" s="66">
        <f>E42</f>
        <v>1.0000000000000001E-5</v>
      </c>
      <c r="F45" s="67">
        <f>F42</f>
        <v>1</v>
      </c>
      <c r="G45" s="8">
        <v>0.60799999999999998</v>
      </c>
      <c r="H45" s="10">
        <f t="shared" si="46"/>
        <v>6.0800000000000002E-6</v>
      </c>
      <c r="I45" s="61">
        <f>I42</f>
        <v>6.37</v>
      </c>
      <c r="J45" s="68">
        <f>J43</f>
        <v>0.63700000000000001</v>
      </c>
      <c r="K45" s="73" t="s">
        <v>126</v>
      </c>
      <c r="L45" s="77">
        <v>45390</v>
      </c>
      <c r="M45" s="31" t="str">
        <f t="shared" si="42"/>
        <v>С4</v>
      </c>
      <c r="N45" s="31" t="str">
        <f t="shared" si="43"/>
        <v>Трубопровод газ+токси</v>
      </c>
      <c r="O45" s="31" t="str">
        <f t="shared" si="44"/>
        <v>Полное-токси</v>
      </c>
      <c r="P45" s="31" t="s">
        <v>46</v>
      </c>
      <c r="Q45" s="31" t="s">
        <v>46</v>
      </c>
      <c r="R45" s="31" t="s">
        <v>46</v>
      </c>
      <c r="S45" s="31" t="s">
        <v>46</v>
      </c>
      <c r="T45" s="31" t="s">
        <v>46</v>
      </c>
      <c r="U45" s="31" t="s">
        <v>46</v>
      </c>
      <c r="V45" s="31" t="s">
        <v>46</v>
      </c>
      <c r="W45" s="31" t="s">
        <v>46</v>
      </c>
      <c r="X45" s="31" t="s">
        <v>46</v>
      </c>
      <c r="Y45" s="31" t="s">
        <v>46</v>
      </c>
      <c r="Z45" s="31" t="s">
        <v>46</v>
      </c>
      <c r="AA45" s="31" t="s">
        <v>46</v>
      </c>
      <c r="AB45" s="31" t="s">
        <v>46</v>
      </c>
      <c r="AC45" s="31">
        <v>232.5</v>
      </c>
      <c r="AD45" s="31">
        <v>438.9</v>
      </c>
      <c r="AE45" s="31" t="s">
        <v>46</v>
      </c>
      <c r="AF45" s="31" t="s">
        <v>46</v>
      </c>
      <c r="AG45" s="31" t="s">
        <v>46</v>
      </c>
      <c r="AH45" s="31" t="s">
        <v>46</v>
      </c>
      <c r="AI45" s="31" t="s">
        <v>46</v>
      </c>
      <c r="AJ45" s="31">
        <v>1</v>
      </c>
      <c r="AK45" s="31">
        <v>1</v>
      </c>
      <c r="AL45" s="31">
        <f>AL42</f>
        <v>0.75</v>
      </c>
      <c r="AM45" s="31">
        <f>AM42</f>
        <v>2.7E-2</v>
      </c>
      <c r="AN45" s="31">
        <f>AN42</f>
        <v>3</v>
      </c>
      <c r="AO45" s="31"/>
      <c r="AP45" s="31"/>
      <c r="AQ45" s="32">
        <f>AM45*I45*0.1+AL45</f>
        <v>0.76719899999999996</v>
      </c>
      <c r="AR45" s="32">
        <f t="shared" si="47"/>
        <v>7.6719900000000008E-2</v>
      </c>
      <c r="AS45" s="33">
        <f t="shared" si="48"/>
        <v>3.25</v>
      </c>
      <c r="AT45" s="33">
        <f t="shared" si="49"/>
        <v>1.0234797250000001</v>
      </c>
      <c r="AU45" s="32">
        <f>1333*J43*POWER(10,-6)</f>
        <v>8.4912099999999999E-4</v>
      </c>
      <c r="AV45" s="33">
        <f t="shared" si="45"/>
        <v>5.1182477459999989</v>
      </c>
      <c r="AW45" s="34">
        <f t="shared" si="50"/>
        <v>6.0800000000000002E-6</v>
      </c>
      <c r="AX45" s="34">
        <f t="shared" si="51"/>
        <v>6.0800000000000002E-6</v>
      </c>
      <c r="AY45" s="34">
        <f t="shared" si="52"/>
        <v>3.1118946295679995E-5</v>
      </c>
      <c r="AZ45" s="289">
        <f>AW45/DB!$B$23</f>
        <v>7.325301204819277E-9</v>
      </c>
      <c r="BA45" s="289">
        <f>AX45/DB!$B$23</f>
        <v>7.325301204819277E-9</v>
      </c>
    </row>
    <row r="46" spans="1:53" x14ac:dyDescent="0.3">
      <c r="A46" s="8" t="s">
        <v>22</v>
      </c>
      <c r="B46" s="8" t="str">
        <f>B42</f>
        <v>Трубопровод газ+токси</v>
      </c>
      <c r="C46" s="78" t="s">
        <v>133</v>
      </c>
      <c r="D46" s="9" t="s">
        <v>134</v>
      </c>
      <c r="E46" s="65">
        <v>1E-4</v>
      </c>
      <c r="F46" s="67">
        <f>F42</f>
        <v>1</v>
      </c>
      <c r="G46" s="8">
        <v>3.5000000000000003E-2</v>
      </c>
      <c r="H46" s="10">
        <f t="shared" si="46"/>
        <v>3.5000000000000004E-6</v>
      </c>
      <c r="I46" s="61">
        <f>0.15*I42</f>
        <v>0.95550000000000002</v>
      </c>
      <c r="J46" s="68">
        <f>I46</f>
        <v>0.95550000000000002</v>
      </c>
      <c r="K46" s="73" t="s">
        <v>127</v>
      </c>
      <c r="L46" s="77">
        <v>3</v>
      </c>
      <c r="M46" s="31" t="str">
        <f t="shared" si="42"/>
        <v>С5</v>
      </c>
      <c r="N46" s="31" t="str">
        <f t="shared" si="43"/>
        <v>Трубопровод газ+токси</v>
      </c>
      <c r="O46" s="31" t="str">
        <f t="shared" si="44"/>
        <v>Частичное-факел</v>
      </c>
      <c r="P46" s="31" t="s">
        <v>46</v>
      </c>
      <c r="Q46" s="31" t="s">
        <v>46</v>
      </c>
      <c r="R46" s="31" t="s">
        <v>46</v>
      </c>
      <c r="S46" s="31" t="s">
        <v>46</v>
      </c>
      <c r="T46" s="31" t="s">
        <v>46</v>
      </c>
      <c r="U46" s="31" t="s">
        <v>46</v>
      </c>
      <c r="V46" s="31" t="s">
        <v>46</v>
      </c>
      <c r="W46" s="31" t="s">
        <v>46</v>
      </c>
      <c r="X46" s="31" t="s">
        <v>46</v>
      </c>
      <c r="Y46" s="31">
        <v>11</v>
      </c>
      <c r="Z46" s="31">
        <v>2</v>
      </c>
      <c r="AA46" s="31" t="s">
        <v>46</v>
      </c>
      <c r="AB46" s="31" t="s">
        <v>46</v>
      </c>
      <c r="AC46" s="31" t="s">
        <v>46</v>
      </c>
      <c r="AD46" s="31" t="s">
        <v>46</v>
      </c>
      <c r="AE46" s="31" t="s">
        <v>46</v>
      </c>
      <c r="AF46" s="31" t="s">
        <v>46</v>
      </c>
      <c r="AG46" s="31" t="s">
        <v>46</v>
      </c>
      <c r="AH46" s="31" t="s">
        <v>46</v>
      </c>
      <c r="AI46" s="31" t="s">
        <v>46</v>
      </c>
      <c r="AJ46" s="31">
        <v>0</v>
      </c>
      <c r="AK46" s="31">
        <v>2</v>
      </c>
      <c r="AL46" s="31">
        <f>0.1*$AL$2</f>
        <v>7.5000000000000011E-2</v>
      </c>
      <c r="AM46" s="31">
        <f>AM42</f>
        <v>2.7E-2</v>
      </c>
      <c r="AN46" s="31">
        <f>ROUNDUP(AN42/3,0)</f>
        <v>1</v>
      </c>
      <c r="AO46" s="31"/>
      <c r="AP46" s="31"/>
      <c r="AQ46" s="32">
        <f>AM46*I46+AL46</f>
        <v>0.10079850000000001</v>
      </c>
      <c r="AR46" s="32">
        <f t="shared" si="47"/>
        <v>1.0079850000000001E-2</v>
      </c>
      <c r="AS46" s="33">
        <f t="shared" si="48"/>
        <v>0.5</v>
      </c>
      <c r="AT46" s="33">
        <f t="shared" si="49"/>
        <v>0.1527195875</v>
      </c>
      <c r="AU46" s="32">
        <f>10068.2*J46*POWER(10,-6)</f>
        <v>9.6201650999999996E-3</v>
      </c>
      <c r="AV46" s="33">
        <f t="shared" si="45"/>
        <v>0.77321810260000001</v>
      </c>
      <c r="AW46" s="34">
        <f t="shared" si="50"/>
        <v>0</v>
      </c>
      <c r="AX46" s="34">
        <f t="shared" si="51"/>
        <v>7.0000000000000007E-6</v>
      </c>
      <c r="AY46" s="34">
        <f t="shared" si="52"/>
        <v>2.7062633591000003E-6</v>
      </c>
      <c r="AZ46" s="289">
        <f>AW46/DB!$B$23</f>
        <v>0</v>
      </c>
      <c r="BA46" s="289">
        <f>AX46/DB!$B$23</f>
        <v>8.4337349397590378E-9</v>
      </c>
    </row>
    <row r="47" spans="1:53" x14ac:dyDescent="0.3">
      <c r="A47" s="8" t="s">
        <v>23</v>
      </c>
      <c r="B47" s="8" t="str">
        <f>B42</f>
        <v>Трубопровод газ+токси</v>
      </c>
      <c r="C47" s="78" t="s">
        <v>135</v>
      </c>
      <c r="D47" s="9" t="s">
        <v>136</v>
      </c>
      <c r="E47" s="66">
        <f>E46</f>
        <v>1E-4</v>
      </c>
      <c r="F47" s="67">
        <v>1</v>
      </c>
      <c r="G47" s="8">
        <v>8.3000000000000001E-3</v>
      </c>
      <c r="H47" s="10">
        <f t="shared" si="46"/>
        <v>8.300000000000001E-7</v>
      </c>
      <c r="I47" s="61">
        <f>I46</f>
        <v>0.95550000000000002</v>
      </c>
      <c r="J47" s="68">
        <f>J43*0.15</f>
        <v>9.5549999999999996E-2</v>
      </c>
      <c r="K47" s="72" t="s">
        <v>138</v>
      </c>
      <c r="L47" s="129">
        <v>5</v>
      </c>
      <c r="M47" s="31" t="str">
        <f t="shared" si="42"/>
        <v>С6</v>
      </c>
      <c r="N47" s="31" t="str">
        <f t="shared" si="43"/>
        <v>Трубопровод газ+токси</v>
      </c>
      <c r="O47" s="31" t="str">
        <f t="shared" si="44"/>
        <v>Частичное-взрыв</v>
      </c>
      <c r="P47" s="31" t="s">
        <v>46</v>
      </c>
      <c r="Q47" s="31" t="s">
        <v>46</v>
      </c>
      <c r="R47" s="31" t="s">
        <v>46</v>
      </c>
      <c r="S47" s="31" t="s">
        <v>46</v>
      </c>
      <c r="T47" s="31">
        <v>0</v>
      </c>
      <c r="U47" s="31">
        <v>0</v>
      </c>
      <c r="V47" s="31">
        <v>34.6</v>
      </c>
      <c r="W47" s="31">
        <v>115.6</v>
      </c>
      <c r="X47" s="31">
        <v>300.60000000000002</v>
      </c>
      <c r="Y47" s="31" t="s">
        <v>46</v>
      </c>
      <c r="Z47" s="31" t="s">
        <v>46</v>
      </c>
      <c r="AA47" s="31" t="s">
        <v>46</v>
      </c>
      <c r="AB47" s="31" t="s">
        <v>46</v>
      </c>
      <c r="AC47" s="31" t="s">
        <v>46</v>
      </c>
      <c r="AD47" s="31" t="s">
        <v>46</v>
      </c>
      <c r="AE47" s="31" t="s">
        <v>46</v>
      </c>
      <c r="AF47" s="31" t="s">
        <v>46</v>
      </c>
      <c r="AG47" s="31" t="s">
        <v>46</v>
      </c>
      <c r="AH47" s="31" t="s">
        <v>46</v>
      </c>
      <c r="AI47" s="31" t="s">
        <v>46</v>
      </c>
      <c r="AJ47" s="31">
        <v>0</v>
      </c>
      <c r="AK47" s="31">
        <v>2</v>
      </c>
      <c r="AL47" s="31">
        <f>0.1*$AL$2</f>
        <v>7.5000000000000011E-2</v>
      </c>
      <c r="AM47" s="31">
        <f>AM42</f>
        <v>2.7E-2</v>
      </c>
      <c r="AN47" s="31">
        <f>AN46</f>
        <v>1</v>
      </c>
      <c r="AO47" s="31"/>
      <c r="AP47" s="31"/>
      <c r="AQ47" s="32">
        <f>AM47*I47+AL47</f>
        <v>0.10079850000000001</v>
      </c>
      <c r="AR47" s="32">
        <f t="shared" si="47"/>
        <v>1.0079850000000001E-2</v>
      </c>
      <c r="AS47" s="33">
        <f t="shared" si="48"/>
        <v>0.5</v>
      </c>
      <c r="AT47" s="33">
        <f t="shared" si="49"/>
        <v>0.1527195875</v>
      </c>
      <c r="AU47" s="32">
        <f>10068.2*J47*POWER(10,-6)*10</f>
        <v>9.6201650999999996E-3</v>
      </c>
      <c r="AV47" s="33">
        <f t="shared" si="45"/>
        <v>0.77321810260000001</v>
      </c>
      <c r="AW47" s="34">
        <f t="shared" si="50"/>
        <v>0</v>
      </c>
      <c r="AX47" s="34">
        <f t="shared" si="51"/>
        <v>1.6600000000000002E-6</v>
      </c>
      <c r="AY47" s="34">
        <f t="shared" si="52"/>
        <v>6.4177102515800009E-7</v>
      </c>
      <c r="AZ47" s="289">
        <f>AW47/DB!$B$23</f>
        <v>0</v>
      </c>
      <c r="BA47" s="289">
        <f>AX47/DB!$B$23</f>
        <v>2.0000000000000001E-9</v>
      </c>
    </row>
    <row r="48" spans="1:53" x14ac:dyDescent="0.3">
      <c r="A48" s="8" t="s">
        <v>157</v>
      </c>
      <c r="B48" s="8" t="str">
        <f>B42</f>
        <v>Трубопровод газ+токси</v>
      </c>
      <c r="C48" s="78" t="s">
        <v>110</v>
      </c>
      <c r="D48" s="9" t="s">
        <v>112</v>
      </c>
      <c r="E48" s="66">
        <f>E46</f>
        <v>1E-4</v>
      </c>
      <c r="F48" s="67">
        <f>F42</f>
        <v>1</v>
      </c>
      <c r="G48" s="8">
        <v>2.64E-2</v>
      </c>
      <c r="H48" s="10">
        <f t="shared" si="46"/>
        <v>2.6400000000000001E-6</v>
      </c>
      <c r="I48" s="61">
        <f>0.15*I42</f>
        <v>0.95550000000000002</v>
      </c>
      <c r="J48" s="68">
        <f>J44*0.15</f>
        <v>9.5549999999999996E-2</v>
      </c>
      <c r="K48" s="73"/>
      <c r="L48" s="77"/>
      <c r="M48" s="31" t="str">
        <f t="shared" si="42"/>
        <v>С7</v>
      </c>
      <c r="N48" s="31" t="str">
        <f t="shared" si="43"/>
        <v>Трубопровод газ+токси</v>
      </c>
      <c r="O48" s="31" t="str">
        <f t="shared" si="44"/>
        <v>Частичное-пожар-вспышка</v>
      </c>
      <c r="P48" s="31" t="s">
        <v>46</v>
      </c>
      <c r="Q48" s="31" t="s">
        <v>46</v>
      </c>
      <c r="R48" s="31" t="s">
        <v>46</v>
      </c>
      <c r="S48" s="31" t="s">
        <v>46</v>
      </c>
      <c r="T48" s="31" t="s">
        <v>46</v>
      </c>
      <c r="U48" s="31" t="s">
        <v>46</v>
      </c>
      <c r="V48" s="31" t="s">
        <v>46</v>
      </c>
      <c r="W48" s="31" t="s">
        <v>46</v>
      </c>
      <c r="X48" s="31" t="s">
        <v>46</v>
      </c>
      <c r="Y48" s="31" t="s">
        <v>46</v>
      </c>
      <c r="Z48" s="31" t="s">
        <v>46</v>
      </c>
      <c r="AA48" s="31">
        <v>15.44</v>
      </c>
      <c r="AB48" s="31">
        <v>18.53</v>
      </c>
      <c r="AC48" s="31" t="s">
        <v>46</v>
      </c>
      <c r="AD48" s="31" t="s">
        <v>46</v>
      </c>
      <c r="AE48" s="31" t="s">
        <v>46</v>
      </c>
      <c r="AF48" s="31" t="s">
        <v>46</v>
      </c>
      <c r="AG48" s="31" t="s">
        <v>46</v>
      </c>
      <c r="AH48" s="31" t="s">
        <v>46</v>
      </c>
      <c r="AI48" s="31" t="s">
        <v>46</v>
      </c>
      <c r="AJ48" s="31">
        <v>0</v>
      </c>
      <c r="AK48" s="31">
        <v>1</v>
      </c>
      <c r="AL48" s="31">
        <f>0.1*$AL$2</f>
        <v>7.5000000000000011E-2</v>
      </c>
      <c r="AM48" s="31">
        <f>AM42</f>
        <v>2.7E-2</v>
      </c>
      <c r="AN48" s="31">
        <f>ROUNDUP(AN42/3,0)</f>
        <v>1</v>
      </c>
      <c r="AO48" s="31"/>
      <c r="AP48" s="31"/>
      <c r="AQ48" s="32">
        <f>AM48*I48+AL48</f>
        <v>0.10079850000000001</v>
      </c>
      <c r="AR48" s="32">
        <f t="shared" si="47"/>
        <v>1.0079850000000001E-2</v>
      </c>
      <c r="AS48" s="33">
        <f t="shared" si="48"/>
        <v>0.25</v>
      </c>
      <c r="AT48" s="33">
        <f t="shared" si="49"/>
        <v>9.0219587500000004E-2</v>
      </c>
      <c r="AU48" s="32">
        <f>10068.2*J48*POWER(10,-6)*10</f>
        <v>9.6201650999999996E-3</v>
      </c>
      <c r="AV48" s="33">
        <f t="shared" si="45"/>
        <v>0.46071810260000001</v>
      </c>
      <c r="AW48" s="34">
        <f t="shared" si="50"/>
        <v>0</v>
      </c>
      <c r="AX48" s="34">
        <f t="shared" si="51"/>
        <v>2.6400000000000001E-6</v>
      </c>
      <c r="AY48" s="34">
        <f t="shared" si="52"/>
        <v>1.2162957908640002E-6</v>
      </c>
      <c r="AZ48" s="289">
        <f>AW48/DB!$B$23</f>
        <v>0</v>
      </c>
      <c r="BA48" s="289">
        <f>AX48/DB!$B$23</f>
        <v>3.1807228915662653E-9</v>
      </c>
    </row>
    <row r="49" spans="1:53" ht="15" thickBot="1" x14ac:dyDescent="0.35">
      <c r="A49" s="8" t="s">
        <v>158</v>
      </c>
      <c r="B49" s="8" t="str">
        <f>B42</f>
        <v>Трубопровод газ+токси</v>
      </c>
      <c r="C49" s="78" t="s">
        <v>117</v>
      </c>
      <c r="D49" s="9" t="s">
        <v>119</v>
      </c>
      <c r="E49" s="66">
        <f>E46</f>
        <v>1E-4</v>
      </c>
      <c r="F49" s="67">
        <f>F42</f>
        <v>1</v>
      </c>
      <c r="G49" s="8">
        <v>0.93030000000000002</v>
      </c>
      <c r="H49" s="10">
        <f t="shared" si="46"/>
        <v>9.3030000000000009E-5</v>
      </c>
      <c r="I49" s="61">
        <f>0.15*I42</f>
        <v>0.95550000000000002</v>
      </c>
      <c r="J49" s="68">
        <f>J48</f>
        <v>9.5549999999999996E-2</v>
      </c>
      <c r="K49" s="74"/>
      <c r="L49" s="75"/>
      <c r="M49" s="31" t="str">
        <f t="shared" si="42"/>
        <v>С8</v>
      </c>
      <c r="N49" s="31" t="str">
        <f t="shared" si="43"/>
        <v>Трубопровод газ+токси</v>
      </c>
      <c r="O49" s="31" t="str">
        <f t="shared" si="44"/>
        <v>Частичное-токси</v>
      </c>
      <c r="P49" s="31" t="s">
        <v>46</v>
      </c>
      <c r="Q49" s="31" t="s">
        <v>46</v>
      </c>
      <c r="R49" s="31" t="s">
        <v>46</v>
      </c>
      <c r="S49" s="31" t="s">
        <v>46</v>
      </c>
      <c r="T49" s="31" t="s">
        <v>46</v>
      </c>
      <c r="U49" s="31" t="s">
        <v>46</v>
      </c>
      <c r="V49" s="31" t="s">
        <v>46</v>
      </c>
      <c r="W49" s="31" t="s">
        <v>46</v>
      </c>
      <c r="X49" s="31" t="s">
        <v>46</v>
      </c>
      <c r="Y49" s="31" t="s">
        <v>46</v>
      </c>
      <c r="Z49" s="31" t="s">
        <v>46</v>
      </c>
      <c r="AA49" s="31" t="s">
        <v>46</v>
      </c>
      <c r="AB49" s="31" t="s">
        <v>46</v>
      </c>
      <c r="AC49" s="31">
        <v>34.9</v>
      </c>
      <c r="AD49" s="31">
        <v>65.8</v>
      </c>
      <c r="AE49" s="31" t="s">
        <v>46</v>
      </c>
      <c r="AF49" s="31" t="s">
        <v>46</v>
      </c>
      <c r="AG49" s="31" t="s">
        <v>46</v>
      </c>
      <c r="AH49" s="31" t="s">
        <v>46</v>
      </c>
      <c r="AI49" s="31" t="s">
        <v>46</v>
      </c>
      <c r="AJ49" s="31">
        <v>0</v>
      </c>
      <c r="AK49" s="31">
        <v>1</v>
      </c>
      <c r="AL49" s="31">
        <f>0.1*$AL$2</f>
        <v>7.5000000000000011E-2</v>
      </c>
      <c r="AM49" s="31">
        <f>AM42</f>
        <v>2.7E-2</v>
      </c>
      <c r="AN49" s="31">
        <f>ROUNDUP(AN42/3,0)</f>
        <v>1</v>
      </c>
      <c r="AO49" s="31"/>
      <c r="AP49" s="31"/>
      <c r="AQ49" s="32">
        <f>AM49*I49*0.1+AL49</f>
        <v>7.7579850000000006E-2</v>
      </c>
      <c r="AR49" s="32">
        <f t="shared" si="47"/>
        <v>7.7579850000000011E-3</v>
      </c>
      <c r="AS49" s="33">
        <f t="shared" si="48"/>
        <v>0.25</v>
      </c>
      <c r="AT49" s="33">
        <f t="shared" si="49"/>
        <v>8.3834458750000007E-2</v>
      </c>
      <c r="AU49" s="32">
        <f>1333*J48*POWER(10,-6)</f>
        <v>1.2736814999999999E-4</v>
      </c>
      <c r="AV49" s="33">
        <f t="shared" si="45"/>
        <v>0.41929966190000001</v>
      </c>
      <c r="AW49" s="34">
        <f t="shared" si="50"/>
        <v>0</v>
      </c>
      <c r="AX49" s="34">
        <f t="shared" si="51"/>
        <v>9.3030000000000009E-5</v>
      </c>
      <c r="AY49" s="34">
        <f t="shared" si="52"/>
        <v>3.9007447546557005E-5</v>
      </c>
      <c r="AZ49" s="289">
        <f>AW49/DB!$B$23</f>
        <v>0</v>
      </c>
      <c r="BA49" s="289">
        <f>AX49/DB!$B$23</f>
        <v>1.120843373493976E-7</v>
      </c>
    </row>
    <row r="50" spans="1:53" x14ac:dyDescent="0.3">
      <c r="A50" s="12"/>
      <c r="B50" s="12"/>
      <c r="C50" s="31"/>
      <c r="D50" s="166"/>
      <c r="E50" s="167"/>
      <c r="F50" s="168"/>
      <c r="G50" s="12"/>
      <c r="H50" s="34"/>
      <c r="I50" s="33"/>
      <c r="J50" s="12"/>
      <c r="K50" s="12"/>
      <c r="L50" s="12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2"/>
      <c r="AR50" s="32"/>
      <c r="AS50" s="33"/>
      <c r="AT50" s="33"/>
      <c r="AU50" s="32"/>
      <c r="AV50" s="33"/>
      <c r="AW50" s="34"/>
      <c r="AX50" s="34"/>
      <c r="AY50" s="34"/>
    </row>
    <row r="51" spans="1:53" ht="15" thickBot="1" x14ac:dyDescent="0.35"/>
    <row r="52" spans="1:53" s="114" customFormat="1" ht="15" thickBot="1" x14ac:dyDescent="0.35">
      <c r="A52" s="105" t="s">
        <v>18</v>
      </c>
      <c r="B52" s="106" t="s">
        <v>140</v>
      </c>
      <c r="C52" s="11" t="s">
        <v>143</v>
      </c>
      <c r="D52" s="107" t="s">
        <v>25</v>
      </c>
      <c r="E52" s="108">
        <v>3.4999999999999997E-5</v>
      </c>
      <c r="F52" s="106">
        <v>1</v>
      </c>
      <c r="G52" s="105">
        <v>0.05</v>
      </c>
      <c r="H52" s="109">
        <f t="shared" ref="H52:H57" si="53">E52*F52*G52</f>
        <v>1.75E-6</v>
      </c>
      <c r="I52" s="110">
        <v>12.36</v>
      </c>
      <c r="J52" s="111">
        <f>I52</f>
        <v>12.36</v>
      </c>
      <c r="K52" s="112" t="s">
        <v>122</v>
      </c>
      <c r="L52" s="113">
        <v>300</v>
      </c>
      <c r="M52" s="114" t="str">
        <f t="shared" ref="M52:N57" si="54">A52</f>
        <v>С1</v>
      </c>
      <c r="N52" s="114" t="str">
        <f t="shared" si="54"/>
        <v>А/ц ЛВЖ</v>
      </c>
      <c r="O52" s="114" t="str">
        <f t="shared" ref="O52:O57" si="55">D52</f>
        <v>Полное-пожар</v>
      </c>
      <c r="P52" s="114" t="s">
        <v>46</v>
      </c>
      <c r="Q52" s="114" t="s">
        <v>46</v>
      </c>
      <c r="R52" s="114" t="s">
        <v>46</v>
      </c>
      <c r="S52" s="114" t="s">
        <v>46</v>
      </c>
      <c r="T52" s="114" t="s">
        <v>46</v>
      </c>
      <c r="U52" s="114" t="s">
        <v>46</v>
      </c>
      <c r="V52" s="114" t="s">
        <v>46</v>
      </c>
      <c r="W52" s="114" t="s">
        <v>46</v>
      </c>
      <c r="X52" s="114" t="s">
        <v>46</v>
      </c>
      <c r="Y52" s="114" t="s">
        <v>46</v>
      </c>
      <c r="Z52" s="114" t="s">
        <v>46</v>
      </c>
      <c r="AA52" s="114" t="s">
        <v>46</v>
      </c>
      <c r="AB52" s="114" t="s">
        <v>46</v>
      </c>
      <c r="AC52" s="114" t="s">
        <v>46</v>
      </c>
      <c r="AD52" s="114" t="s">
        <v>46</v>
      </c>
      <c r="AE52" s="114" t="s">
        <v>46</v>
      </c>
      <c r="AF52" s="114" t="s">
        <v>46</v>
      </c>
      <c r="AG52" s="114" t="s">
        <v>46</v>
      </c>
      <c r="AH52" s="114" t="s">
        <v>46</v>
      </c>
      <c r="AI52" s="114" t="s">
        <v>46</v>
      </c>
      <c r="AJ52" s="115">
        <v>1</v>
      </c>
      <c r="AK52" s="115">
        <v>2</v>
      </c>
      <c r="AL52" s="116">
        <v>0.75</v>
      </c>
      <c r="AM52" s="116">
        <v>2.7E-2</v>
      </c>
      <c r="AN52" s="116">
        <v>3</v>
      </c>
      <c r="AQ52" s="117">
        <f>AM52*I52+AL52</f>
        <v>1.08372</v>
      </c>
      <c r="AR52" s="117">
        <f t="shared" ref="AR52:AR57" si="56">0.1*AQ52</f>
        <v>0.10837200000000001</v>
      </c>
      <c r="AS52" s="118">
        <f t="shared" ref="AS52:AS57" si="57">AJ52*3+0.25*AK52</f>
        <v>3.5</v>
      </c>
      <c r="AT52" s="118">
        <f t="shared" ref="AT52:AT57" si="58">SUM(AQ52:AS52)/4</f>
        <v>1.1730229999999999</v>
      </c>
      <c r="AU52" s="117">
        <f>10068.2*J52*POWER(10,-6)</f>
        <v>0.124442952</v>
      </c>
      <c r="AV52" s="118">
        <f t="shared" ref="AV52:AV57" si="59">AU52+AT52+AS52+AR52+AQ52</f>
        <v>5.9895579520000002</v>
      </c>
      <c r="AW52" s="119">
        <f t="shared" ref="AW52:AW57" si="60">AJ52*H52</f>
        <v>1.75E-6</v>
      </c>
      <c r="AX52" s="119">
        <f t="shared" ref="AX52:AX57" si="61">H52*AK52</f>
        <v>3.4999999999999999E-6</v>
      </c>
      <c r="AY52" s="119">
        <f t="shared" ref="AY52:AY57" si="62">H52*AV52</f>
        <v>1.0481726416000001E-5</v>
      </c>
      <c r="AZ52" s="289">
        <f>AW52/DB!$B$23</f>
        <v>2.108433734939759E-9</v>
      </c>
      <c r="BA52" s="289">
        <f>AX52/DB!$B$23</f>
        <v>4.2168674698795181E-9</v>
      </c>
    </row>
    <row r="53" spans="1:53" s="114" customFormat="1" ht="15" thickBot="1" x14ac:dyDescent="0.35">
      <c r="A53" s="105" t="s">
        <v>19</v>
      </c>
      <c r="B53" s="105" t="str">
        <f>B52</f>
        <v>А/ц ЛВЖ</v>
      </c>
      <c r="C53" s="11" t="s">
        <v>144</v>
      </c>
      <c r="D53" s="107" t="s">
        <v>28</v>
      </c>
      <c r="E53" s="120">
        <f>E52</f>
        <v>3.4999999999999997E-5</v>
      </c>
      <c r="F53" s="121">
        <f>F52</f>
        <v>1</v>
      </c>
      <c r="G53" s="105">
        <v>4.7500000000000001E-2</v>
      </c>
      <c r="H53" s="109">
        <f t="shared" si="53"/>
        <v>1.6625E-6</v>
      </c>
      <c r="I53" s="122">
        <f>I52</f>
        <v>12.36</v>
      </c>
      <c r="J53" s="123">
        <v>0.625</v>
      </c>
      <c r="K53" s="112" t="s">
        <v>123</v>
      </c>
      <c r="L53" s="113">
        <v>0</v>
      </c>
      <c r="M53" s="114" t="str">
        <f t="shared" si="54"/>
        <v>С2</v>
      </c>
      <c r="N53" s="114" t="str">
        <f t="shared" si="54"/>
        <v>А/ц ЛВЖ</v>
      </c>
      <c r="O53" s="114" t="str">
        <f t="shared" si="55"/>
        <v>Полное-взрыв</v>
      </c>
      <c r="P53" s="114" t="s">
        <v>46</v>
      </c>
      <c r="Q53" s="114" t="s">
        <v>46</v>
      </c>
      <c r="R53" s="114" t="s">
        <v>46</v>
      </c>
      <c r="S53" s="114" t="s">
        <v>46</v>
      </c>
      <c r="T53" s="114" t="s">
        <v>46</v>
      </c>
      <c r="U53" s="114" t="s">
        <v>46</v>
      </c>
      <c r="V53" s="114" t="s">
        <v>46</v>
      </c>
      <c r="W53" s="114" t="s">
        <v>46</v>
      </c>
      <c r="X53" s="114" t="s">
        <v>46</v>
      </c>
      <c r="Y53" s="114" t="s">
        <v>46</v>
      </c>
      <c r="Z53" s="114" t="s">
        <v>46</v>
      </c>
      <c r="AA53" s="114" t="s">
        <v>46</v>
      </c>
      <c r="AB53" s="114" t="s">
        <v>46</v>
      </c>
      <c r="AC53" s="114" t="s">
        <v>46</v>
      </c>
      <c r="AD53" s="114" t="s">
        <v>46</v>
      </c>
      <c r="AE53" s="114" t="s">
        <v>46</v>
      </c>
      <c r="AF53" s="114" t="s">
        <v>46</v>
      </c>
      <c r="AG53" s="114" t="s">
        <v>46</v>
      </c>
      <c r="AH53" s="114" t="s">
        <v>46</v>
      </c>
      <c r="AI53" s="114" t="s">
        <v>46</v>
      </c>
      <c r="AJ53" s="115">
        <v>2</v>
      </c>
      <c r="AK53" s="115">
        <v>2</v>
      </c>
      <c r="AL53" s="114">
        <f>AL52</f>
        <v>0.75</v>
      </c>
      <c r="AM53" s="114">
        <f>AM52</f>
        <v>2.7E-2</v>
      </c>
      <c r="AN53" s="114">
        <f>AN52</f>
        <v>3</v>
      </c>
      <c r="AQ53" s="117">
        <f>AM53*I53+AL53</f>
        <v>1.08372</v>
      </c>
      <c r="AR53" s="117">
        <f t="shared" si="56"/>
        <v>0.10837200000000001</v>
      </c>
      <c r="AS53" s="118">
        <f t="shared" si="57"/>
        <v>6.5</v>
      </c>
      <c r="AT53" s="118">
        <f t="shared" si="58"/>
        <v>1.9230229999999999</v>
      </c>
      <c r="AU53" s="117">
        <f>10068.2*J53*POWER(10,-6)*10</f>
        <v>6.2926249999999989E-2</v>
      </c>
      <c r="AV53" s="118">
        <f t="shared" si="59"/>
        <v>9.6780412499999997</v>
      </c>
      <c r="AW53" s="119">
        <f t="shared" si="60"/>
        <v>3.3249999999999999E-6</v>
      </c>
      <c r="AX53" s="119">
        <f t="shared" si="61"/>
        <v>3.3249999999999999E-6</v>
      </c>
      <c r="AY53" s="119">
        <f t="shared" si="62"/>
        <v>1.6089743578124998E-5</v>
      </c>
      <c r="AZ53" s="289">
        <f>AW53/DB!$B$23</f>
        <v>4.0060240963855423E-9</v>
      </c>
      <c r="BA53" s="289">
        <f>AX53/DB!$B$23</f>
        <v>4.0060240963855423E-9</v>
      </c>
    </row>
    <row r="54" spans="1:53" s="114" customFormat="1" x14ac:dyDescent="0.3">
      <c r="A54" s="105" t="s">
        <v>20</v>
      </c>
      <c r="B54" s="105" t="str">
        <f>B52</f>
        <v>А/ц ЛВЖ</v>
      </c>
      <c r="C54" s="11" t="s">
        <v>145</v>
      </c>
      <c r="D54" s="107" t="s">
        <v>26</v>
      </c>
      <c r="E54" s="120">
        <f>E52</f>
        <v>3.4999999999999997E-5</v>
      </c>
      <c r="F54" s="121">
        <f>F52</f>
        <v>1</v>
      </c>
      <c r="G54" s="105">
        <v>0.90249999999999997</v>
      </c>
      <c r="H54" s="109">
        <f t="shared" si="53"/>
        <v>3.1587499999999995E-5</v>
      </c>
      <c r="I54" s="122">
        <f>I52</f>
        <v>12.36</v>
      </c>
      <c r="J54" s="124">
        <v>0</v>
      </c>
      <c r="K54" s="112" t="s">
        <v>124</v>
      </c>
      <c r="L54" s="113">
        <v>0</v>
      </c>
      <c r="M54" s="114" t="str">
        <f t="shared" si="54"/>
        <v>С3</v>
      </c>
      <c r="N54" s="114" t="str">
        <f t="shared" si="54"/>
        <v>А/ц ЛВЖ</v>
      </c>
      <c r="O54" s="114" t="str">
        <f t="shared" si="55"/>
        <v>Полное-ликвидация</v>
      </c>
      <c r="P54" s="114" t="s">
        <v>46</v>
      </c>
      <c r="Q54" s="114" t="s">
        <v>46</v>
      </c>
      <c r="R54" s="114" t="s">
        <v>46</v>
      </c>
      <c r="S54" s="114" t="s">
        <v>46</v>
      </c>
      <c r="T54" s="114" t="s">
        <v>46</v>
      </c>
      <c r="U54" s="114" t="s">
        <v>46</v>
      </c>
      <c r="V54" s="114" t="s">
        <v>46</v>
      </c>
      <c r="W54" s="114" t="s">
        <v>46</v>
      </c>
      <c r="X54" s="114" t="s">
        <v>46</v>
      </c>
      <c r="Y54" s="114" t="s">
        <v>46</v>
      </c>
      <c r="Z54" s="114" t="s">
        <v>46</v>
      </c>
      <c r="AA54" s="114" t="s">
        <v>46</v>
      </c>
      <c r="AB54" s="114" t="s">
        <v>46</v>
      </c>
      <c r="AC54" s="114" t="s">
        <v>46</v>
      </c>
      <c r="AD54" s="114" t="s">
        <v>46</v>
      </c>
      <c r="AE54" s="114" t="s">
        <v>46</v>
      </c>
      <c r="AF54" s="114" t="s">
        <v>46</v>
      </c>
      <c r="AG54" s="114" t="s">
        <v>46</v>
      </c>
      <c r="AH54" s="114" t="s">
        <v>46</v>
      </c>
      <c r="AI54" s="114" t="s">
        <v>46</v>
      </c>
      <c r="AJ54" s="114">
        <v>0</v>
      </c>
      <c r="AK54" s="114">
        <v>0</v>
      </c>
      <c r="AL54" s="114">
        <f>AL52</f>
        <v>0.75</v>
      </c>
      <c r="AM54" s="114">
        <f>AM52</f>
        <v>2.7E-2</v>
      </c>
      <c r="AN54" s="114">
        <f>AN52</f>
        <v>3</v>
      </c>
      <c r="AQ54" s="117">
        <f>AM54*I54*0.1+AL54</f>
        <v>0.78337199999999996</v>
      </c>
      <c r="AR54" s="117">
        <f t="shared" si="56"/>
        <v>7.8337199999999996E-2</v>
      </c>
      <c r="AS54" s="118">
        <f t="shared" si="57"/>
        <v>0</v>
      </c>
      <c r="AT54" s="118">
        <f t="shared" si="58"/>
        <v>0.21542729999999999</v>
      </c>
      <c r="AU54" s="117">
        <f>1333*J53*POWER(10,-6)</f>
        <v>8.3312499999999999E-4</v>
      </c>
      <c r="AV54" s="118">
        <f t="shared" si="59"/>
        <v>1.0779696249999999</v>
      </c>
      <c r="AW54" s="119">
        <f t="shared" si="60"/>
        <v>0</v>
      </c>
      <c r="AX54" s="119">
        <f t="shared" si="61"/>
        <v>0</v>
      </c>
      <c r="AY54" s="119">
        <f t="shared" si="62"/>
        <v>3.4050365529687493E-5</v>
      </c>
      <c r="AZ54" s="289">
        <f>AW54/DB!$B$23</f>
        <v>0</v>
      </c>
      <c r="BA54" s="289">
        <f>AX54/DB!$B$23</f>
        <v>0</v>
      </c>
    </row>
    <row r="55" spans="1:53" s="114" customFormat="1" x14ac:dyDescent="0.3">
      <c r="A55" s="105" t="s">
        <v>21</v>
      </c>
      <c r="B55" s="105" t="str">
        <f>B52</f>
        <v>А/ц ЛВЖ</v>
      </c>
      <c r="C55" s="11" t="s">
        <v>146</v>
      </c>
      <c r="D55" s="107" t="s">
        <v>47</v>
      </c>
      <c r="E55" s="108">
        <v>2.2000000000000001E-4</v>
      </c>
      <c r="F55" s="121">
        <f>F52</f>
        <v>1</v>
      </c>
      <c r="G55" s="105">
        <v>0.05</v>
      </c>
      <c r="H55" s="109">
        <f t="shared" si="53"/>
        <v>1.1000000000000001E-5</v>
      </c>
      <c r="I55" s="122">
        <f>0.15*I52</f>
        <v>1.8539999999999999</v>
      </c>
      <c r="J55" s="111">
        <f>I55</f>
        <v>1.8539999999999999</v>
      </c>
      <c r="K55" s="125" t="s">
        <v>126</v>
      </c>
      <c r="L55" s="126">
        <v>45390</v>
      </c>
      <c r="M55" s="114" t="str">
        <f t="shared" si="54"/>
        <v>С4</v>
      </c>
      <c r="N55" s="114" t="str">
        <f t="shared" si="54"/>
        <v>А/ц ЛВЖ</v>
      </c>
      <c r="O55" s="114" t="str">
        <f t="shared" si="55"/>
        <v>Частичное-пожар</v>
      </c>
      <c r="P55" s="114" t="s">
        <v>46</v>
      </c>
      <c r="Q55" s="114" t="s">
        <v>46</v>
      </c>
      <c r="R55" s="114" t="s">
        <v>46</v>
      </c>
      <c r="S55" s="114" t="s">
        <v>46</v>
      </c>
      <c r="T55" s="114" t="s">
        <v>46</v>
      </c>
      <c r="U55" s="114" t="s">
        <v>46</v>
      </c>
      <c r="V55" s="114" t="s">
        <v>46</v>
      </c>
      <c r="W55" s="114" t="s">
        <v>46</v>
      </c>
      <c r="X55" s="114" t="s">
        <v>46</v>
      </c>
      <c r="Y55" s="114" t="s">
        <v>46</v>
      </c>
      <c r="Z55" s="114" t="s">
        <v>46</v>
      </c>
      <c r="AA55" s="114" t="s">
        <v>46</v>
      </c>
      <c r="AB55" s="114" t="s">
        <v>46</v>
      </c>
      <c r="AC55" s="114" t="s">
        <v>46</v>
      </c>
      <c r="AD55" s="114" t="s">
        <v>46</v>
      </c>
      <c r="AE55" s="114" t="s">
        <v>46</v>
      </c>
      <c r="AF55" s="114" t="s">
        <v>46</v>
      </c>
      <c r="AG55" s="114" t="s">
        <v>46</v>
      </c>
      <c r="AH55" s="114" t="s">
        <v>46</v>
      </c>
      <c r="AI55" s="114" t="s">
        <v>46</v>
      </c>
      <c r="AJ55" s="114">
        <v>0</v>
      </c>
      <c r="AK55" s="114">
        <v>2</v>
      </c>
      <c r="AL55" s="114">
        <f>0.1*$AL$2</f>
        <v>7.5000000000000011E-2</v>
      </c>
      <c r="AM55" s="114">
        <f>AM52</f>
        <v>2.7E-2</v>
      </c>
      <c r="AN55" s="114">
        <f>ROUNDUP(AN52/3,0)</f>
        <v>1</v>
      </c>
      <c r="AQ55" s="117">
        <f>AM55*I55+AL55</f>
        <v>0.125058</v>
      </c>
      <c r="AR55" s="117">
        <f t="shared" si="56"/>
        <v>1.2505800000000001E-2</v>
      </c>
      <c r="AS55" s="118">
        <f t="shared" si="57"/>
        <v>0.5</v>
      </c>
      <c r="AT55" s="118">
        <f t="shared" si="58"/>
        <v>0.15939095</v>
      </c>
      <c r="AU55" s="117">
        <f>10068.2*J55*POWER(10,-6)</f>
        <v>1.8666442799999999E-2</v>
      </c>
      <c r="AV55" s="118">
        <f t="shared" si="59"/>
        <v>0.81562119280000001</v>
      </c>
      <c r="AW55" s="119">
        <f t="shared" si="60"/>
        <v>0</v>
      </c>
      <c r="AX55" s="119">
        <f t="shared" si="61"/>
        <v>2.2000000000000003E-5</v>
      </c>
      <c r="AY55" s="119">
        <f t="shared" si="62"/>
        <v>8.9718331208000015E-6</v>
      </c>
      <c r="AZ55" s="289">
        <f>AW55/DB!$B$23</f>
        <v>0</v>
      </c>
      <c r="BA55" s="289">
        <f>AX55/DB!$B$23</f>
        <v>2.6506024096385547E-8</v>
      </c>
    </row>
    <row r="56" spans="1:53" s="114" customFormat="1" x14ac:dyDescent="0.3">
      <c r="A56" s="105" t="s">
        <v>22</v>
      </c>
      <c r="B56" s="105" t="str">
        <f>B52</f>
        <v>А/ц ЛВЖ</v>
      </c>
      <c r="C56" s="11" t="s">
        <v>147</v>
      </c>
      <c r="D56" s="107" t="s">
        <v>112</v>
      </c>
      <c r="E56" s="120">
        <f>E55</f>
        <v>2.2000000000000001E-4</v>
      </c>
      <c r="F56" s="121">
        <f>F52</f>
        <v>1</v>
      </c>
      <c r="G56" s="105">
        <v>4.7500000000000001E-2</v>
      </c>
      <c r="H56" s="109">
        <f t="shared" si="53"/>
        <v>1.045E-5</v>
      </c>
      <c r="I56" s="122">
        <f>0.15*I52</f>
        <v>1.8539999999999999</v>
      </c>
      <c r="J56" s="111">
        <f>0.15*J53</f>
        <v>9.375E-2</v>
      </c>
      <c r="K56" s="125" t="s">
        <v>127</v>
      </c>
      <c r="L56" s="126">
        <v>3</v>
      </c>
      <c r="M56" s="114" t="str">
        <f t="shared" si="54"/>
        <v>С5</v>
      </c>
      <c r="N56" s="114" t="str">
        <f t="shared" si="54"/>
        <v>А/ц ЛВЖ</v>
      </c>
      <c r="O56" s="114" t="str">
        <f t="shared" si="55"/>
        <v>Частичное-пожар-вспышка</v>
      </c>
      <c r="P56" s="114" t="s">
        <v>46</v>
      </c>
      <c r="Q56" s="114" t="s">
        <v>46</v>
      </c>
      <c r="R56" s="114" t="s">
        <v>46</v>
      </c>
      <c r="S56" s="114" t="s">
        <v>46</v>
      </c>
      <c r="T56" s="114" t="s">
        <v>46</v>
      </c>
      <c r="U56" s="114" t="s">
        <v>46</v>
      </c>
      <c r="V56" s="114" t="s">
        <v>46</v>
      </c>
      <c r="W56" s="114" t="s">
        <v>46</v>
      </c>
      <c r="X56" s="114" t="s">
        <v>46</v>
      </c>
      <c r="Y56" s="114" t="s">
        <v>46</v>
      </c>
      <c r="Z56" s="114" t="s">
        <v>46</v>
      </c>
      <c r="AA56" s="114" t="s">
        <v>46</v>
      </c>
      <c r="AB56" s="114" t="s">
        <v>46</v>
      </c>
      <c r="AC56" s="114" t="s">
        <v>46</v>
      </c>
      <c r="AD56" s="114" t="s">
        <v>46</v>
      </c>
      <c r="AE56" s="114" t="s">
        <v>46</v>
      </c>
      <c r="AF56" s="114" t="s">
        <v>46</v>
      </c>
      <c r="AG56" s="114" t="s">
        <v>46</v>
      </c>
      <c r="AH56" s="114" t="s">
        <v>46</v>
      </c>
      <c r="AI56" s="114" t="s">
        <v>46</v>
      </c>
      <c r="AJ56" s="114">
        <v>0</v>
      </c>
      <c r="AK56" s="114">
        <v>1</v>
      </c>
      <c r="AL56" s="114">
        <f>0.1*$AL$2</f>
        <v>7.5000000000000011E-2</v>
      </c>
      <c r="AM56" s="114">
        <f>AM52</f>
        <v>2.7E-2</v>
      </c>
      <c r="AN56" s="114">
        <f>ROUNDUP(AN52/3,0)</f>
        <v>1</v>
      </c>
      <c r="AQ56" s="117">
        <f>AM56*I56+AL56</f>
        <v>0.125058</v>
      </c>
      <c r="AR56" s="117">
        <f t="shared" si="56"/>
        <v>1.2505800000000001E-2</v>
      </c>
      <c r="AS56" s="118">
        <f t="shared" si="57"/>
        <v>0.25</v>
      </c>
      <c r="AT56" s="118">
        <f t="shared" si="58"/>
        <v>9.6890950000000003E-2</v>
      </c>
      <c r="AU56" s="117">
        <f>10068.2*J56*POWER(10,-6)*10</f>
        <v>9.4389375000000011E-3</v>
      </c>
      <c r="AV56" s="118">
        <f t="shared" si="59"/>
        <v>0.49389368750000001</v>
      </c>
      <c r="AW56" s="119">
        <f t="shared" si="60"/>
        <v>0</v>
      </c>
      <c r="AX56" s="119">
        <f t="shared" si="61"/>
        <v>1.045E-5</v>
      </c>
      <c r="AY56" s="119">
        <f t="shared" si="62"/>
        <v>5.1611890343749998E-6</v>
      </c>
      <c r="AZ56" s="289">
        <f>AW56/DB!$B$23</f>
        <v>0</v>
      </c>
      <c r="BA56" s="289">
        <f>AX56/DB!$B$23</f>
        <v>1.2590361445783132E-8</v>
      </c>
    </row>
    <row r="57" spans="1:53" s="114" customFormat="1" ht="15" thickBot="1" x14ac:dyDescent="0.35">
      <c r="A57" s="105" t="s">
        <v>23</v>
      </c>
      <c r="B57" s="105" t="str">
        <f>B52</f>
        <v>А/ц ЛВЖ</v>
      </c>
      <c r="C57" s="11" t="s">
        <v>148</v>
      </c>
      <c r="D57" s="107" t="s">
        <v>27</v>
      </c>
      <c r="E57" s="120">
        <f>E55</f>
        <v>2.2000000000000001E-4</v>
      </c>
      <c r="F57" s="121">
        <f>F52</f>
        <v>1</v>
      </c>
      <c r="G57" s="105">
        <v>0.90249999999999997</v>
      </c>
      <c r="H57" s="109">
        <f t="shared" si="53"/>
        <v>1.9855E-4</v>
      </c>
      <c r="I57" s="122">
        <f>0.15*I52</f>
        <v>1.8539999999999999</v>
      </c>
      <c r="J57" s="124">
        <v>0</v>
      </c>
      <c r="K57" s="127" t="s">
        <v>138</v>
      </c>
      <c r="L57" s="128">
        <v>6</v>
      </c>
      <c r="M57" s="114" t="str">
        <f t="shared" si="54"/>
        <v>С6</v>
      </c>
      <c r="N57" s="114" t="str">
        <f t="shared" si="54"/>
        <v>А/ц ЛВЖ</v>
      </c>
      <c r="O57" s="114" t="str">
        <f t="shared" si="55"/>
        <v>Частичное-ликвидация</v>
      </c>
      <c r="P57" s="114" t="s">
        <v>46</v>
      </c>
      <c r="Q57" s="114" t="s">
        <v>46</v>
      </c>
      <c r="R57" s="114" t="s">
        <v>46</v>
      </c>
      <c r="S57" s="114" t="s">
        <v>46</v>
      </c>
      <c r="T57" s="114" t="s">
        <v>46</v>
      </c>
      <c r="U57" s="114" t="s">
        <v>46</v>
      </c>
      <c r="V57" s="114" t="s">
        <v>46</v>
      </c>
      <c r="W57" s="114" t="s">
        <v>46</v>
      </c>
      <c r="X57" s="114" t="s">
        <v>46</v>
      </c>
      <c r="Y57" s="114" t="s">
        <v>46</v>
      </c>
      <c r="Z57" s="114" t="s">
        <v>46</v>
      </c>
      <c r="AA57" s="114" t="s">
        <v>46</v>
      </c>
      <c r="AB57" s="114" t="s">
        <v>46</v>
      </c>
      <c r="AC57" s="114" t="s">
        <v>46</v>
      </c>
      <c r="AD57" s="114" t="s">
        <v>46</v>
      </c>
      <c r="AE57" s="114" t="s">
        <v>46</v>
      </c>
      <c r="AF57" s="114" t="s">
        <v>46</v>
      </c>
      <c r="AG57" s="114" t="s">
        <v>46</v>
      </c>
      <c r="AH57" s="114" t="s">
        <v>46</v>
      </c>
      <c r="AI57" s="114" t="s">
        <v>46</v>
      </c>
      <c r="AJ57" s="114">
        <v>0</v>
      </c>
      <c r="AK57" s="114">
        <v>0</v>
      </c>
      <c r="AL57" s="114">
        <f>0.1*$AL$2</f>
        <v>7.5000000000000011E-2</v>
      </c>
      <c r="AM57" s="114">
        <f>AM52</f>
        <v>2.7E-2</v>
      </c>
      <c r="AN57" s="114">
        <f>ROUNDUP(AN52/3,0)</f>
        <v>1</v>
      </c>
      <c r="AQ57" s="117">
        <f>AM57*I57*0.1+AL57</f>
        <v>8.0005800000000016E-2</v>
      </c>
      <c r="AR57" s="117">
        <f t="shared" si="56"/>
        <v>8.0005800000000019E-3</v>
      </c>
      <c r="AS57" s="118">
        <f t="shared" si="57"/>
        <v>0</v>
      </c>
      <c r="AT57" s="118">
        <f t="shared" si="58"/>
        <v>2.2001595000000006E-2</v>
      </c>
      <c r="AU57" s="117">
        <f>1333*J56*POWER(10,-6)</f>
        <v>1.2496875E-4</v>
      </c>
      <c r="AV57" s="118">
        <f t="shared" si="59"/>
        <v>0.11013294375000002</v>
      </c>
      <c r="AW57" s="119">
        <f t="shared" si="60"/>
        <v>0</v>
      </c>
      <c r="AX57" s="119">
        <f t="shared" si="61"/>
        <v>0</v>
      </c>
      <c r="AY57" s="119">
        <f t="shared" si="62"/>
        <v>2.1866895981562503E-5</v>
      </c>
      <c r="AZ57" s="289">
        <f>AW57/DB!$B$23</f>
        <v>0</v>
      </c>
      <c r="BA57" s="289">
        <f>AX57/DB!$B$23</f>
        <v>0</v>
      </c>
    </row>
    <row r="58" spans="1:53" s="114" customFormat="1" x14ac:dyDescent="0.3">
      <c r="A58" s="11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/>
      <c r="Z58" s="115"/>
      <c r="AA58" s="115"/>
      <c r="AB58" s="115"/>
      <c r="AC58" s="115"/>
      <c r="AD58" s="115"/>
      <c r="AE58" s="115"/>
      <c r="AF58" s="115"/>
      <c r="AG58" s="115"/>
      <c r="AH58" s="115"/>
      <c r="AI58" s="115"/>
      <c r="AJ58" s="115"/>
      <c r="AK58" s="115"/>
      <c r="AL58" s="115"/>
      <c r="AM58" s="115"/>
      <c r="AN58" s="115"/>
      <c r="AO58" s="115"/>
      <c r="AP58" s="115"/>
      <c r="AQ58" s="115"/>
      <c r="AR58" s="115"/>
      <c r="AS58" s="115"/>
      <c r="AT58" s="115"/>
      <c r="AU58" s="115"/>
      <c r="AV58" s="115"/>
      <c r="AW58" s="115"/>
      <c r="AX58" s="115"/>
      <c r="AY58" s="115"/>
    </row>
    <row r="59" spans="1:53" s="114" customFormat="1" x14ac:dyDescent="0.3">
      <c r="A59" s="11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115"/>
      <c r="AA59" s="115"/>
      <c r="AB59" s="115"/>
      <c r="AC59" s="115"/>
      <c r="AD59" s="115"/>
      <c r="AE59" s="115"/>
      <c r="AF59" s="115"/>
      <c r="AG59" s="115"/>
      <c r="AH59" s="115"/>
      <c r="AI59" s="115"/>
      <c r="AJ59" s="115"/>
      <c r="AK59" s="115"/>
      <c r="AL59" s="115"/>
      <c r="AM59" s="115"/>
      <c r="AN59" s="115"/>
      <c r="AO59" s="115"/>
      <c r="AP59" s="115"/>
      <c r="AQ59" s="115"/>
      <c r="AR59" s="115"/>
      <c r="AS59" s="115"/>
      <c r="AT59" s="115"/>
      <c r="AU59" s="115"/>
      <c r="AV59" s="115"/>
      <c r="AW59" s="115"/>
      <c r="AX59" s="115"/>
      <c r="AY59" s="115"/>
    </row>
    <row r="60" spans="1:53" s="114" customFormat="1" x14ac:dyDescent="0.3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/>
      <c r="Z60" s="115"/>
      <c r="AA60" s="115"/>
      <c r="AB60" s="115"/>
      <c r="AC60" s="115"/>
      <c r="AD60" s="115"/>
      <c r="AE60" s="115"/>
      <c r="AF60" s="115"/>
      <c r="AG60" s="115"/>
      <c r="AH60" s="115"/>
      <c r="AI60" s="115"/>
      <c r="AJ60" s="115"/>
      <c r="AK60" s="115"/>
      <c r="AL60" s="115"/>
      <c r="AM60" s="115"/>
      <c r="AN60" s="115"/>
      <c r="AO60" s="115"/>
      <c r="AP60" s="115"/>
      <c r="AQ60" s="115"/>
      <c r="AR60" s="115"/>
      <c r="AS60" s="115"/>
      <c r="AT60" s="115"/>
      <c r="AU60" s="115"/>
      <c r="AV60" s="115"/>
      <c r="AW60" s="115"/>
      <c r="AX60" s="115"/>
      <c r="AY60" s="115"/>
    </row>
    <row r="61" spans="1:53" ht="15" thickBot="1" x14ac:dyDescent="0.35">
      <c r="E61" s="14"/>
      <c r="F61" s="14"/>
    </row>
    <row r="62" spans="1:53" s="114" customFormat="1" ht="15" thickBot="1" x14ac:dyDescent="0.35">
      <c r="A62" s="105" t="s">
        <v>18</v>
      </c>
      <c r="B62" s="106" t="s">
        <v>141</v>
      </c>
      <c r="C62" s="11" t="s">
        <v>143</v>
      </c>
      <c r="D62" s="107" t="s">
        <v>25</v>
      </c>
      <c r="E62" s="108">
        <v>3.4999999999999997E-5</v>
      </c>
      <c r="F62" s="106">
        <v>1</v>
      </c>
      <c r="G62" s="105">
        <v>0.05</v>
      </c>
      <c r="H62" s="109">
        <f t="shared" ref="H62:H67" si="63">E62*F62*G62</f>
        <v>1.75E-6</v>
      </c>
      <c r="I62" s="110">
        <v>12.36</v>
      </c>
      <c r="J62" s="122">
        <f>I62</f>
        <v>12.36</v>
      </c>
      <c r="K62" s="112" t="s">
        <v>122</v>
      </c>
      <c r="L62" s="113">
        <v>300</v>
      </c>
      <c r="M62" s="114" t="str">
        <f t="shared" ref="M62:N67" si="64">A62</f>
        <v>С1</v>
      </c>
      <c r="N62" s="114" t="str">
        <f t="shared" si="64"/>
        <v>А/ц ЛВЖ+токси</v>
      </c>
      <c r="O62" s="114" t="str">
        <f t="shared" ref="O62:O67" si="65">D62</f>
        <v>Полное-пожар</v>
      </c>
      <c r="P62" s="114" t="s">
        <v>46</v>
      </c>
      <c r="Q62" s="114" t="s">
        <v>46</v>
      </c>
      <c r="R62" s="114" t="s">
        <v>46</v>
      </c>
      <c r="S62" s="114" t="s">
        <v>46</v>
      </c>
      <c r="T62" s="114" t="s">
        <v>46</v>
      </c>
      <c r="U62" s="114" t="s">
        <v>46</v>
      </c>
      <c r="V62" s="114" t="s">
        <v>46</v>
      </c>
      <c r="W62" s="114" t="s">
        <v>46</v>
      </c>
      <c r="X62" s="114" t="s">
        <v>46</v>
      </c>
      <c r="Y62" s="114" t="s">
        <v>46</v>
      </c>
      <c r="Z62" s="114" t="s">
        <v>46</v>
      </c>
      <c r="AA62" s="114" t="s">
        <v>46</v>
      </c>
      <c r="AB62" s="114" t="s">
        <v>46</v>
      </c>
      <c r="AC62" s="114" t="s">
        <v>46</v>
      </c>
      <c r="AD62" s="114" t="s">
        <v>46</v>
      </c>
      <c r="AE62" s="114" t="s">
        <v>46</v>
      </c>
      <c r="AF62" s="114" t="s">
        <v>46</v>
      </c>
      <c r="AG62" s="114" t="s">
        <v>46</v>
      </c>
      <c r="AH62" s="114" t="s">
        <v>46</v>
      </c>
      <c r="AI62" s="114" t="s">
        <v>46</v>
      </c>
      <c r="AJ62" s="115">
        <v>1</v>
      </c>
      <c r="AK62" s="115">
        <v>2</v>
      </c>
      <c r="AL62" s="116">
        <v>0.75</v>
      </c>
      <c r="AM62" s="116">
        <v>2.7E-2</v>
      </c>
      <c r="AN62" s="116">
        <v>3</v>
      </c>
      <c r="AQ62" s="117">
        <f>AM62*I62+AL62</f>
        <v>1.08372</v>
      </c>
      <c r="AR62" s="117">
        <f t="shared" ref="AR62:AR67" si="66">0.1*AQ62</f>
        <v>0.10837200000000001</v>
      </c>
      <c r="AS62" s="118">
        <f t="shared" ref="AS62:AS67" si="67">AJ62*3+0.25*AK62</f>
        <v>3.5</v>
      </c>
      <c r="AT62" s="118">
        <f t="shared" ref="AT62:AT67" si="68">SUM(AQ62:AS62)/4</f>
        <v>1.1730229999999999</v>
      </c>
      <c r="AU62" s="117">
        <f>10068.2*J62*POWER(10,-6)</f>
        <v>0.124442952</v>
      </c>
      <c r="AV62" s="118">
        <f t="shared" ref="AV62:AV67" si="69">AU62+AT62+AS62+AR62+AQ62</f>
        <v>5.9895579520000002</v>
      </c>
      <c r="AW62" s="119">
        <f t="shared" ref="AW62:AW67" si="70">AJ62*H62</f>
        <v>1.75E-6</v>
      </c>
      <c r="AX62" s="119">
        <f t="shared" ref="AX62:AX67" si="71">H62*AK62</f>
        <v>3.4999999999999999E-6</v>
      </c>
      <c r="AY62" s="119">
        <f t="shared" ref="AY62:AY67" si="72">H62*AV62</f>
        <v>1.0481726416000001E-5</v>
      </c>
      <c r="AZ62" s="289">
        <f>AW62/DB!$B$23</f>
        <v>2.108433734939759E-9</v>
      </c>
      <c r="BA62" s="289">
        <f>AX62/DB!$B$23</f>
        <v>4.2168674698795181E-9</v>
      </c>
    </row>
    <row r="63" spans="1:53" s="114" customFormat="1" ht="15" thickBot="1" x14ac:dyDescent="0.35">
      <c r="A63" s="105" t="s">
        <v>19</v>
      </c>
      <c r="B63" s="105" t="str">
        <f>B62</f>
        <v>А/ц ЛВЖ+токси</v>
      </c>
      <c r="C63" s="11" t="s">
        <v>149</v>
      </c>
      <c r="D63" s="107" t="s">
        <v>28</v>
      </c>
      <c r="E63" s="120">
        <f>E62</f>
        <v>3.4999999999999997E-5</v>
      </c>
      <c r="F63" s="121">
        <f>F62</f>
        <v>1</v>
      </c>
      <c r="G63" s="105">
        <v>4.7500000000000001E-2</v>
      </c>
      <c r="H63" s="109">
        <f t="shared" si="63"/>
        <v>1.6625E-6</v>
      </c>
      <c r="I63" s="122">
        <f>I62</f>
        <v>12.36</v>
      </c>
      <c r="J63" s="106">
        <v>0.625</v>
      </c>
      <c r="K63" s="112" t="s">
        <v>123</v>
      </c>
      <c r="L63" s="113">
        <v>0</v>
      </c>
      <c r="M63" s="114" t="str">
        <f t="shared" si="64"/>
        <v>С2</v>
      </c>
      <c r="N63" s="114" t="str">
        <f t="shared" si="64"/>
        <v>А/ц ЛВЖ+токси</v>
      </c>
      <c r="O63" s="114" t="str">
        <f t="shared" si="65"/>
        <v>Полное-взрыв</v>
      </c>
      <c r="P63" s="114" t="s">
        <v>46</v>
      </c>
      <c r="Q63" s="114" t="s">
        <v>46</v>
      </c>
      <c r="R63" s="114" t="s">
        <v>46</v>
      </c>
      <c r="S63" s="114" t="s">
        <v>46</v>
      </c>
      <c r="T63" s="114" t="s">
        <v>46</v>
      </c>
      <c r="U63" s="114" t="s">
        <v>46</v>
      </c>
      <c r="V63" s="114" t="s">
        <v>46</v>
      </c>
      <c r="W63" s="114" t="s">
        <v>46</v>
      </c>
      <c r="X63" s="114" t="s">
        <v>46</v>
      </c>
      <c r="Y63" s="114" t="s">
        <v>46</v>
      </c>
      <c r="Z63" s="114" t="s">
        <v>46</v>
      </c>
      <c r="AA63" s="114" t="s">
        <v>46</v>
      </c>
      <c r="AB63" s="114" t="s">
        <v>46</v>
      </c>
      <c r="AC63" s="114" t="s">
        <v>46</v>
      </c>
      <c r="AD63" s="114" t="s">
        <v>46</v>
      </c>
      <c r="AE63" s="114" t="s">
        <v>46</v>
      </c>
      <c r="AF63" s="114" t="s">
        <v>46</v>
      </c>
      <c r="AG63" s="114" t="s">
        <v>46</v>
      </c>
      <c r="AH63" s="114" t="s">
        <v>46</v>
      </c>
      <c r="AI63" s="114" t="s">
        <v>46</v>
      </c>
      <c r="AJ63" s="115">
        <v>2</v>
      </c>
      <c r="AK63" s="115">
        <v>2</v>
      </c>
      <c r="AL63" s="114">
        <f>AL62</f>
        <v>0.75</v>
      </c>
      <c r="AM63" s="114">
        <f>AM62</f>
        <v>2.7E-2</v>
      </c>
      <c r="AN63" s="114">
        <f>AN62</f>
        <v>3</v>
      </c>
      <c r="AQ63" s="117">
        <f>AM63*I63+AL63</f>
        <v>1.08372</v>
      </c>
      <c r="AR63" s="117">
        <f t="shared" si="66"/>
        <v>0.10837200000000001</v>
      </c>
      <c r="AS63" s="118">
        <f t="shared" si="67"/>
        <v>6.5</v>
      </c>
      <c r="AT63" s="118">
        <f t="shared" si="68"/>
        <v>1.9230229999999999</v>
      </c>
      <c r="AU63" s="117">
        <f>10068.2*J63*POWER(10,-6)*10</f>
        <v>6.2926249999999989E-2</v>
      </c>
      <c r="AV63" s="118">
        <f t="shared" si="69"/>
        <v>9.6780412499999997</v>
      </c>
      <c r="AW63" s="119">
        <f t="shared" si="70"/>
        <v>3.3249999999999999E-6</v>
      </c>
      <c r="AX63" s="119">
        <f t="shared" si="71"/>
        <v>3.3249999999999999E-6</v>
      </c>
      <c r="AY63" s="119">
        <f t="shared" si="72"/>
        <v>1.6089743578124998E-5</v>
      </c>
      <c r="AZ63" s="289">
        <f>AW63/DB!$B$23</f>
        <v>4.0060240963855423E-9</v>
      </c>
      <c r="BA63" s="289">
        <f>AX63/DB!$B$23</f>
        <v>4.0060240963855423E-9</v>
      </c>
    </row>
    <row r="64" spans="1:53" s="114" customFormat="1" x14ac:dyDescent="0.3">
      <c r="A64" s="105" t="s">
        <v>20</v>
      </c>
      <c r="B64" s="105" t="str">
        <f>B62</f>
        <v>А/ц ЛВЖ+токси</v>
      </c>
      <c r="C64" s="11" t="s">
        <v>150</v>
      </c>
      <c r="D64" s="107" t="s">
        <v>118</v>
      </c>
      <c r="E64" s="120">
        <f>E62</f>
        <v>3.4999999999999997E-5</v>
      </c>
      <c r="F64" s="121">
        <f>F62</f>
        <v>1</v>
      </c>
      <c r="G64" s="105">
        <v>0.90249999999999997</v>
      </c>
      <c r="H64" s="109">
        <f t="shared" si="63"/>
        <v>3.1587499999999995E-5</v>
      </c>
      <c r="I64" s="122">
        <f>I62</f>
        <v>12.36</v>
      </c>
      <c r="J64" s="105">
        <v>0</v>
      </c>
      <c r="K64" s="112" t="s">
        <v>124</v>
      </c>
      <c r="L64" s="113">
        <v>0</v>
      </c>
      <c r="M64" s="114" t="str">
        <f t="shared" si="64"/>
        <v>С3</v>
      </c>
      <c r="N64" s="114" t="str">
        <f t="shared" si="64"/>
        <v>А/ц ЛВЖ+токси</v>
      </c>
      <c r="O64" s="114" t="str">
        <f t="shared" si="65"/>
        <v>Полное-токси</v>
      </c>
      <c r="P64" s="114" t="s">
        <v>46</v>
      </c>
      <c r="Q64" s="114" t="s">
        <v>46</v>
      </c>
      <c r="R64" s="114" t="s">
        <v>46</v>
      </c>
      <c r="S64" s="114" t="s">
        <v>46</v>
      </c>
      <c r="T64" s="114" t="s">
        <v>46</v>
      </c>
      <c r="U64" s="114" t="s">
        <v>46</v>
      </c>
      <c r="V64" s="114" t="s">
        <v>46</v>
      </c>
      <c r="W64" s="114" t="s">
        <v>46</v>
      </c>
      <c r="X64" s="114" t="s">
        <v>46</v>
      </c>
      <c r="Y64" s="114" t="s">
        <v>46</v>
      </c>
      <c r="Z64" s="114" t="s">
        <v>46</v>
      </c>
      <c r="AA64" s="114" t="s">
        <v>46</v>
      </c>
      <c r="AB64" s="114" t="s">
        <v>46</v>
      </c>
      <c r="AC64" s="114" t="s">
        <v>46</v>
      </c>
      <c r="AD64" s="114" t="s">
        <v>46</v>
      </c>
      <c r="AE64" s="114" t="s">
        <v>46</v>
      </c>
      <c r="AF64" s="114" t="s">
        <v>46</v>
      </c>
      <c r="AG64" s="114" t="s">
        <v>46</v>
      </c>
      <c r="AH64" s="114" t="s">
        <v>46</v>
      </c>
      <c r="AI64" s="114" t="s">
        <v>46</v>
      </c>
      <c r="AJ64" s="114">
        <v>0</v>
      </c>
      <c r="AK64" s="114">
        <v>1</v>
      </c>
      <c r="AL64" s="114">
        <f>AL62</f>
        <v>0.75</v>
      </c>
      <c r="AM64" s="114">
        <f>AM62</f>
        <v>2.7E-2</v>
      </c>
      <c r="AN64" s="114">
        <f>AN62</f>
        <v>3</v>
      </c>
      <c r="AQ64" s="117">
        <f>AM64*I64*0.1+AL64</f>
        <v>0.78337199999999996</v>
      </c>
      <c r="AR64" s="117">
        <f t="shared" si="66"/>
        <v>7.8337199999999996E-2</v>
      </c>
      <c r="AS64" s="118">
        <f t="shared" si="67"/>
        <v>0.25</v>
      </c>
      <c r="AT64" s="118">
        <f t="shared" si="68"/>
        <v>0.27792729999999999</v>
      </c>
      <c r="AU64" s="117">
        <f>1333*J63*POWER(10,-6)</f>
        <v>8.3312499999999999E-4</v>
      </c>
      <c r="AV64" s="118">
        <f t="shared" si="69"/>
        <v>1.3904696249999999</v>
      </c>
      <c r="AW64" s="119">
        <f t="shared" si="70"/>
        <v>0</v>
      </c>
      <c r="AX64" s="119">
        <f t="shared" si="71"/>
        <v>3.1587499999999995E-5</v>
      </c>
      <c r="AY64" s="119">
        <f t="shared" si="72"/>
        <v>4.3921459279687491E-5</v>
      </c>
      <c r="AZ64" s="289">
        <f>AW64/DB!$B$23</f>
        <v>0</v>
      </c>
      <c r="BA64" s="289">
        <f>AX64/DB!$B$23</f>
        <v>3.8057228915662648E-8</v>
      </c>
    </row>
    <row r="65" spans="1:53" s="114" customFormat="1" x14ac:dyDescent="0.3">
      <c r="A65" s="105" t="s">
        <v>21</v>
      </c>
      <c r="B65" s="105" t="str">
        <f>B62</f>
        <v>А/ц ЛВЖ+токси</v>
      </c>
      <c r="C65" s="11" t="s">
        <v>146</v>
      </c>
      <c r="D65" s="107" t="s">
        <v>47</v>
      </c>
      <c r="E65" s="108">
        <v>2.2000000000000001E-4</v>
      </c>
      <c r="F65" s="121">
        <f>F62</f>
        <v>1</v>
      </c>
      <c r="G65" s="105">
        <v>0.05</v>
      </c>
      <c r="H65" s="109">
        <f t="shared" si="63"/>
        <v>1.1000000000000001E-5</v>
      </c>
      <c r="I65" s="122">
        <f>0.15*I62</f>
        <v>1.8539999999999999</v>
      </c>
      <c r="J65" s="122">
        <f>I65</f>
        <v>1.8539999999999999</v>
      </c>
      <c r="K65" s="125" t="s">
        <v>126</v>
      </c>
      <c r="L65" s="126">
        <v>45390</v>
      </c>
      <c r="M65" s="114" t="str">
        <f t="shared" si="64"/>
        <v>С4</v>
      </c>
      <c r="N65" s="114" t="str">
        <f t="shared" si="64"/>
        <v>А/ц ЛВЖ+токси</v>
      </c>
      <c r="O65" s="114" t="str">
        <f t="shared" si="65"/>
        <v>Частичное-пожар</v>
      </c>
      <c r="P65" s="114" t="s">
        <v>46</v>
      </c>
      <c r="Q65" s="114" t="s">
        <v>46</v>
      </c>
      <c r="R65" s="114" t="s">
        <v>46</v>
      </c>
      <c r="S65" s="114" t="s">
        <v>46</v>
      </c>
      <c r="T65" s="114" t="s">
        <v>46</v>
      </c>
      <c r="U65" s="114" t="s">
        <v>46</v>
      </c>
      <c r="V65" s="114" t="s">
        <v>46</v>
      </c>
      <c r="W65" s="114" t="s">
        <v>46</v>
      </c>
      <c r="X65" s="114" t="s">
        <v>46</v>
      </c>
      <c r="Y65" s="114" t="s">
        <v>46</v>
      </c>
      <c r="Z65" s="114" t="s">
        <v>46</v>
      </c>
      <c r="AA65" s="114" t="s">
        <v>46</v>
      </c>
      <c r="AB65" s="114" t="s">
        <v>46</v>
      </c>
      <c r="AC65" s="114" t="s">
        <v>46</v>
      </c>
      <c r="AD65" s="114" t="s">
        <v>46</v>
      </c>
      <c r="AE65" s="114" t="s">
        <v>46</v>
      </c>
      <c r="AF65" s="114" t="s">
        <v>46</v>
      </c>
      <c r="AG65" s="114" t="s">
        <v>46</v>
      </c>
      <c r="AH65" s="114" t="s">
        <v>46</v>
      </c>
      <c r="AI65" s="114" t="s">
        <v>46</v>
      </c>
      <c r="AJ65" s="114">
        <v>0</v>
      </c>
      <c r="AK65" s="114">
        <v>2</v>
      </c>
      <c r="AL65" s="114">
        <f>0.1*$AL$2</f>
        <v>7.5000000000000011E-2</v>
      </c>
      <c r="AM65" s="114">
        <f>AM62</f>
        <v>2.7E-2</v>
      </c>
      <c r="AN65" s="114">
        <f>ROUNDUP(AN62/3,0)</f>
        <v>1</v>
      </c>
      <c r="AQ65" s="117">
        <f>AM65*I65+AL65</f>
        <v>0.125058</v>
      </c>
      <c r="AR65" s="117">
        <f t="shared" si="66"/>
        <v>1.2505800000000001E-2</v>
      </c>
      <c r="AS65" s="118">
        <f t="shared" si="67"/>
        <v>0.5</v>
      </c>
      <c r="AT65" s="118">
        <f t="shared" si="68"/>
        <v>0.15939095</v>
      </c>
      <c r="AU65" s="117">
        <f>10068.2*J65*POWER(10,-6)</f>
        <v>1.8666442799999999E-2</v>
      </c>
      <c r="AV65" s="118">
        <f t="shared" si="69"/>
        <v>0.81562119280000001</v>
      </c>
      <c r="AW65" s="119">
        <f t="shared" si="70"/>
        <v>0</v>
      </c>
      <c r="AX65" s="119">
        <f t="shared" si="71"/>
        <v>2.2000000000000003E-5</v>
      </c>
      <c r="AY65" s="119">
        <f t="shared" si="72"/>
        <v>8.9718331208000015E-6</v>
      </c>
      <c r="AZ65" s="289">
        <f>AW65/DB!$B$23</f>
        <v>0</v>
      </c>
      <c r="BA65" s="289">
        <f>AX65/DB!$B$23</f>
        <v>2.6506024096385547E-8</v>
      </c>
    </row>
    <row r="66" spans="1:53" s="114" customFormat="1" x14ac:dyDescent="0.3">
      <c r="A66" s="105" t="s">
        <v>22</v>
      </c>
      <c r="B66" s="105" t="str">
        <f>B62</f>
        <v>А/ц ЛВЖ+токси</v>
      </c>
      <c r="C66" s="11" t="s">
        <v>147</v>
      </c>
      <c r="D66" s="107" t="s">
        <v>112</v>
      </c>
      <c r="E66" s="120">
        <f>E65</f>
        <v>2.2000000000000001E-4</v>
      </c>
      <c r="F66" s="121">
        <f>F62</f>
        <v>1</v>
      </c>
      <c r="G66" s="105">
        <v>4.7500000000000001E-2</v>
      </c>
      <c r="H66" s="109">
        <f t="shared" si="63"/>
        <v>1.045E-5</v>
      </c>
      <c r="I66" s="122">
        <f>0.15*I62</f>
        <v>1.8539999999999999</v>
      </c>
      <c r="J66" s="122">
        <f>0.15*J63</f>
        <v>9.375E-2</v>
      </c>
      <c r="K66" s="125" t="s">
        <v>127</v>
      </c>
      <c r="L66" s="126">
        <v>3</v>
      </c>
      <c r="M66" s="114" t="str">
        <f t="shared" si="64"/>
        <v>С5</v>
      </c>
      <c r="N66" s="114" t="str">
        <f t="shared" si="64"/>
        <v>А/ц ЛВЖ+токси</v>
      </c>
      <c r="O66" s="114" t="str">
        <f t="shared" si="65"/>
        <v>Частичное-пожар-вспышка</v>
      </c>
      <c r="P66" s="114" t="s">
        <v>46</v>
      </c>
      <c r="Q66" s="114" t="s">
        <v>46</v>
      </c>
      <c r="R66" s="114" t="s">
        <v>46</v>
      </c>
      <c r="S66" s="114" t="s">
        <v>46</v>
      </c>
      <c r="T66" s="114" t="s">
        <v>46</v>
      </c>
      <c r="U66" s="114" t="s">
        <v>46</v>
      </c>
      <c r="V66" s="114" t="s">
        <v>46</v>
      </c>
      <c r="W66" s="114" t="s">
        <v>46</v>
      </c>
      <c r="X66" s="114" t="s">
        <v>46</v>
      </c>
      <c r="Y66" s="114" t="s">
        <v>46</v>
      </c>
      <c r="Z66" s="114" t="s">
        <v>46</v>
      </c>
      <c r="AA66" s="114" t="s">
        <v>46</v>
      </c>
      <c r="AB66" s="114" t="s">
        <v>46</v>
      </c>
      <c r="AC66" s="114" t="s">
        <v>46</v>
      </c>
      <c r="AD66" s="114" t="s">
        <v>46</v>
      </c>
      <c r="AE66" s="114" t="s">
        <v>46</v>
      </c>
      <c r="AF66" s="114" t="s">
        <v>46</v>
      </c>
      <c r="AG66" s="114" t="s">
        <v>46</v>
      </c>
      <c r="AH66" s="114" t="s">
        <v>46</v>
      </c>
      <c r="AI66" s="114" t="s">
        <v>46</v>
      </c>
      <c r="AJ66" s="114">
        <v>0</v>
      </c>
      <c r="AK66" s="114">
        <v>1</v>
      </c>
      <c r="AL66" s="114">
        <f>0.1*$AL$2</f>
        <v>7.5000000000000011E-2</v>
      </c>
      <c r="AM66" s="114">
        <f>AM62</f>
        <v>2.7E-2</v>
      </c>
      <c r="AN66" s="114">
        <f>ROUNDUP(AN62/3,0)</f>
        <v>1</v>
      </c>
      <c r="AQ66" s="117">
        <f>AM66*I66+AL66</f>
        <v>0.125058</v>
      </c>
      <c r="AR66" s="117">
        <f t="shared" si="66"/>
        <v>1.2505800000000001E-2</v>
      </c>
      <c r="AS66" s="118">
        <f t="shared" si="67"/>
        <v>0.25</v>
      </c>
      <c r="AT66" s="118">
        <f t="shared" si="68"/>
        <v>9.6890950000000003E-2</v>
      </c>
      <c r="AU66" s="117">
        <f>10068.2*J66*POWER(10,-6)*10</f>
        <v>9.4389375000000011E-3</v>
      </c>
      <c r="AV66" s="118">
        <f t="shared" si="69"/>
        <v>0.49389368750000001</v>
      </c>
      <c r="AW66" s="119">
        <f t="shared" si="70"/>
        <v>0</v>
      </c>
      <c r="AX66" s="119">
        <f t="shared" si="71"/>
        <v>1.045E-5</v>
      </c>
      <c r="AY66" s="119">
        <f t="shared" si="72"/>
        <v>5.1611890343749998E-6</v>
      </c>
      <c r="AZ66" s="289">
        <f>AW66/DB!$B$23</f>
        <v>0</v>
      </c>
      <c r="BA66" s="289">
        <f>AX66/DB!$B$23</f>
        <v>1.2590361445783132E-8</v>
      </c>
    </row>
    <row r="67" spans="1:53" s="114" customFormat="1" ht="15" thickBot="1" x14ac:dyDescent="0.35">
      <c r="A67" s="105" t="s">
        <v>23</v>
      </c>
      <c r="B67" s="105" t="str">
        <f>B62</f>
        <v>А/ц ЛВЖ+токси</v>
      </c>
      <c r="C67" s="11" t="s">
        <v>151</v>
      </c>
      <c r="D67" s="107" t="s">
        <v>119</v>
      </c>
      <c r="E67" s="120">
        <f>E65</f>
        <v>2.2000000000000001E-4</v>
      </c>
      <c r="F67" s="121">
        <f>F62</f>
        <v>1</v>
      </c>
      <c r="G67" s="105">
        <v>0.90249999999999997</v>
      </c>
      <c r="H67" s="109">
        <f t="shared" si="63"/>
        <v>1.9855E-4</v>
      </c>
      <c r="I67" s="122">
        <f>0.15*I62</f>
        <v>1.8539999999999999</v>
      </c>
      <c r="J67" s="105">
        <v>0</v>
      </c>
      <c r="K67" s="127" t="s">
        <v>138</v>
      </c>
      <c r="L67" s="128">
        <v>7</v>
      </c>
      <c r="M67" s="114" t="str">
        <f t="shared" si="64"/>
        <v>С6</v>
      </c>
      <c r="N67" s="114" t="str">
        <f t="shared" si="64"/>
        <v>А/ц ЛВЖ+токси</v>
      </c>
      <c r="O67" s="114" t="str">
        <f t="shared" si="65"/>
        <v>Частичное-токси</v>
      </c>
      <c r="P67" s="114" t="s">
        <v>46</v>
      </c>
      <c r="Q67" s="114" t="s">
        <v>46</v>
      </c>
      <c r="R67" s="114" t="s">
        <v>46</v>
      </c>
      <c r="S67" s="114" t="s">
        <v>46</v>
      </c>
      <c r="T67" s="114" t="s">
        <v>46</v>
      </c>
      <c r="U67" s="114" t="s">
        <v>46</v>
      </c>
      <c r="V67" s="114" t="s">
        <v>46</v>
      </c>
      <c r="W67" s="114" t="s">
        <v>46</v>
      </c>
      <c r="X67" s="114" t="s">
        <v>46</v>
      </c>
      <c r="Y67" s="114" t="s">
        <v>46</v>
      </c>
      <c r="Z67" s="114" t="s">
        <v>46</v>
      </c>
      <c r="AA67" s="114" t="s">
        <v>46</v>
      </c>
      <c r="AB67" s="114" t="s">
        <v>46</v>
      </c>
      <c r="AC67" s="114" t="s">
        <v>46</v>
      </c>
      <c r="AD67" s="114" t="s">
        <v>46</v>
      </c>
      <c r="AE67" s="114" t="s">
        <v>46</v>
      </c>
      <c r="AF67" s="114" t="s">
        <v>46</v>
      </c>
      <c r="AG67" s="114" t="s">
        <v>46</v>
      </c>
      <c r="AH67" s="114" t="s">
        <v>46</v>
      </c>
      <c r="AI67" s="114" t="s">
        <v>46</v>
      </c>
      <c r="AJ67" s="114">
        <v>0</v>
      </c>
      <c r="AK67" s="114">
        <v>1</v>
      </c>
      <c r="AL67" s="114">
        <f>0.1*$AL$2</f>
        <v>7.5000000000000011E-2</v>
      </c>
      <c r="AM67" s="114">
        <f>AM62</f>
        <v>2.7E-2</v>
      </c>
      <c r="AN67" s="114">
        <f>ROUNDUP(AN62/3,0)</f>
        <v>1</v>
      </c>
      <c r="AQ67" s="117">
        <f>AM67*I67*0.1+AL67</f>
        <v>8.0005800000000016E-2</v>
      </c>
      <c r="AR67" s="117">
        <f t="shared" si="66"/>
        <v>8.0005800000000019E-3</v>
      </c>
      <c r="AS67" s="118">
        <f t="shared" si="67"/>
        <v>0.25</v>
      </c>
      <c r="AT67" s="118">
        <f t="shared" si="68"/>
        <v>8.4501595000000013E-2</v>
      </c>
      <c r="AU67" s="117">
        <f>1333*J66*POWER(10,-6)</f>
        <v>1.2496875E-4</v>
      </c>
      <c r="AV67" s="118">
        <f t="shared" si="69"/>
        <v>0.42263294374999999</v>
      </c>
      <c r="AW67" s="119">
        <f t="shared" si="70"/>
        <v>0</v>
      </c>
      <c r="AX67" s="119">
        <f t="shared" si="71"/>
        <v>1.9855E-4</v>
      </c>
      <c r="AY67" s="119">
        <f t="shared" si="72"/>
        <v>8.3913770981562495E-5</v>
      </c>
      <c r="AZ67" s="289">
        <f>AW67/DB!$B$23</f>
        <v>0</v>
      </c>
      <c r="BA67" s="289">
        <f>AX67/DB!$B$23</f>
        <v>2.3921686746987952E-7</v>
      </c>
    </row>
    <row r="68" spans="1:53" s="114" customFormat="1" x14ac:dyDescent="0.3">
      <c r="A68" s="115"/>
      <c r="B68" s="115"/>
      <c r="D68" s="180"/>
      <c r="E68" s="181"/>
      <c r="F68" s="182"/>
      <c r="G68" s="115"/>
      <c r="H68" s="119"/>
      <c r="I68" s="118"/>
      <c r="J68" s="115"/>
      <c r="K68" s="115"/>
      <c r="L68" s="182"/>
      <c r="AQ68" s="117"/>
      <c r="AR68" s="117"/>
      <c r="AS68" s="118"/>
      <c r="AT68" s="118"/>
      <c r="AU68" s="117"/>
      <c r="AV68" s="118"/>
      <c r="AW68" s="119"/>
      <c r="AX68" s="119"/>
      <c r="AY68" s="119"/>
    </row>
    <row r="69" spans="1:53" s="114" customFormat="1" x14ac:dyDescent="0.3">
      <c r="A69" s="115"/>
      <c r="B69" s="115"/>
      <c r="D69" s="180"/>
      <c r="E69" s="181"/>
      <c r="F69" s="182"/>
      <c r="G69" s="115"/>
      <c r="H69" s="119"/>
      <c r="I69" s="118"/>
      <c r="J69" s="115"/>
      <c r="K69" s="115"/>
      <c r="L69" s="182"/>
      <c r="AQ69" s="117"/>
      <c r="AR69" s="117"/>
      <c r="AS69" s="118"/>
      <c r="AT69" s="118"/>
      <c r="AU69" s="117"/>
      <c r="AV69" s="118"/>
      <c r="AW69" s="119"/>
      <c r="AX69" s="119"/>
      <c r="AY69" s="119"/>
    </row>
    <row r="70" spans="1:53" s="114" customFormat="1" x14ac:dyDescent="0.3">
      <c r="A70" s="115"/>
      <c r="B70" s="115"/>
      <c r="D70" s="180"/>
      <c r="E70" s="181"/>
      <c r="F70" s="182"/>
      <c r="G70" s="115"/>
      <c r="H70" s="119"/>
      <c r="I70" s="118"/>
      <c r="J70" s="115"/>
      <c r="K70" s="115"/>
      <c r="L70" s="182"/>
      <c r="AQ70" s="117"/>
      <c r="AR70" s="117"/>
      <c r="AS70" s="118"/>
      <c r="AT70" s="118"/>
      <c r="AU70" s="117"/>
      <c r="AV70" s="118"/>
      <c r="AW70" s="119"/>
      <c r="AX70" s="119"/>
      <c r="AY70" s="119"/>
    </row>
    <row r="71" spans="1:53" ht="15" thickBot="1" x14ac:dyDescent="0.35"/>
    <row r="72" spans="1:53" s="114" customFormat="1" ht="15" thickBot="1" x14ac:dyDescent="0.35">
      <c r="A72" s="105" t="s">
        <v>18</v>
      </c>
      <c r="B72" s="106" t="s">
        <v>142</v>
      </c>
      <c r="C72" s="11" t="s">
        <v>143</v>
      </c>
      <c r="D72" s="107" t="s">
        <v>25</v>
      </c>
      <c r="E72" s="108">
        <v>3.4999999999999997E-5</v>
      </c>
      <c r="F72" s="106">
        <v>1</v>
      </c>
      <c r="G72" s="105">
        <v>0.05</v>
      </c>
      <c r="H72" s="109">
        <f t="shared" ref="H72:H77" si="73">E72*F72*G72</f>
        <v>1.75E-6</v>
      </c>
      <c r="I72" s="110">
        <v>12.36</v>
      </c>
      <c r="J72" s="122">
        <f>I72</f>
        <v>12.36</v>
      </c>
      <c r="K72" s="112" t="s">
        <v>122</v>
      </c>
      <c r="L72" s="113">
        <v>300</v>
      </c>
      <c r="M72" s="114" t="str">
        <f t="shared" ref="M72:M77" si="74">A72</f>
        <v>С1</v>
      </c>
      <c r="N72" s="114" t="str">
        <f t="shared" ref="N72:N77" si="75">B72</f>
        <v>А/ц ГЖ</v>
      </c>
      <c r="O72" s="114" t="str">
        <f t="shared" ref="O72:O77" si="76">D72</f>
        <v>Полное-пожар</v>
      </c>
      <c r="P72" s="114">
        <v>17.100000000000001</v>
      </c>
      <c r="Q72" s="114">
        <v>23.5</v>
      </c>
      <c r="R72" s="114">
        <v>33.1</v>
      </c>
      <c r="S72" s="114">
        <v>61.2</v>
      </c>
      <c r="T72" s="114" t="s">
        <v>46</v>
      </c>
      <c r="U72" s="114" t="s">
        <v>46</v>
      </c>
      <c r="V72" s="114" t="s">
        <v>46</v>
      </c>
      <c r="W72" s="114" t="s">
        <v>46</v>
      </c>
      <c r="X72" s="114" t="s">
        <v>46</v>
      </c>
      <c r="Y72" s="114" t="s">
        <v>46</v>
      </c>
      <c r="Z72" s="114" t="s">
        <v>46</v>
      </c>
      <c r="AA72" s="114" t="s">
        <v>46</v>
      </c>
      <c r="AB72" s="114" t="s">
        <v>46</v>
      </c>
      <c r="AC72" s="114" t="s">
        <v>46</v>
      </c>
      <c r="AD72" s="114" t="s">
        <v>46</v>
      </c>
      <c r="AE72" s="114" t="s">
        <v>46</v>
      </c>
      <c r="AF72" s="114" t="s">
        <v>46</v>
      </c>
      <c r="AG72" s="114" t="s">
        <v>46</v>
      </c>
      <c r="AH72" s="114" t="s">
        <v>46</v>
      </c>
      <c r="AI72" s="114" t="s">
        <v>46</v>
      </c>
      <c r="AJ72" s="115">
        <v>1</v>
      </c>
      <c r="AK72" s="115">
        <v>2</v>
      </c>
      <c r="AL72" s="116">
        <v>0.75</v>
      </c>
      <c r="AM72" s="116">
        <v>2.7E-2</v>
      </c>
      <c r="AN72" s="116">
        <v>3</v>
      </c>
      <c r="AQ72" s="117">
        <f>AM72*I72+AL72</f>
        <v>1.08372</v>
      </c>
      <c r="AR72" s="117">
        <f t="shared" ref="AR72:AR77" si="77">0.1*AQ72</f>
        <v>0.10837200000000001</v>
      </c>
      <c r="AS72" s="118">
        <f t="shared" ref="AS72:AS77" si="78">AJ72*3+0.25*AK72</f>
        <v>3.5</v>
      </c>
      <c r="AT72" s="118">
        <f t="shared" ref="AT72:AT77" si="79">SUM(AQ72:AS72)/4</f>
        <v>1.1730229999999999</v>
      </c>
      <c r="AU72" s="117">
        <f>10068.2*J72*POWER(10,-6)</f>
        <v>0.124442952</v>
      </c>
      <c r="AV72" s="118">
        <f t="shared" ref="AV72:AV77" si="80">AU72+AT72+AS72+AR72+AQ72</f>
        <v>5.9895579520000002</v>
      </c>
      <c r="AW72" s="119">
        <f t="shared" ref="AW72:AW77" si="81">AJ72*H72</f>
        <v>1.75E-6</v>
      </c>
      <c r="AX72" s="119">
        <f t="shared" ref="AX72:AX77" si="82">H72*AK72</f>
        <v>3.4999999999999999E-6</v>
      </c>
      <c r="AY72" s="119">
        <f t="shared" ref="AY72:AY77" si="83">H72*AV72</f>
        <v>1.0481726416000001E-5</v>
      </c>
      <c r="AZ72" s="289">
        <f>AW72/DB!$B$23</f>
        <v>2.108433734939759E-9</v>
      </c>
      <c r="BA72" s="289">
        <f>AX72/DB!$B$23</f>
        <v>4.2168674698795181E-9</v>
      </c>
    </row>
    <row r="73" spans="1:53" s="114" customFormat="1" ht="15" thickBot="1" x14ac:dyDescent="0.35">
      <c r="A73" s="105" t="s">
        <v>19</v>
      </c>
      <c r="B73" s="105" t="str">
        <f>B72</f>
        <v>А/ц ГЖ</v>
      </c>
      <c r="C73" s="11" t="s">
        <v>152</v>
      </c>
      <c r="D73" s="107" t="s">
        <v>25</v>
      </c>
      <c r="E73" s="120">
        <f>E72</f>
        <v>3.4999999999999997E-5</v>
      </c>
      <c r="F73" s="121">
        <f>F72</f>
        <v>1</v>
      </c>
      <c r="G73" s="105">
        <v>4.7500000000000001E-2</v>
      </c>
      <c r="H73" s="109">
        <f t="shared" si="73"/>
        <v>1.6625E-6</v>
      </c>
      <c r="I73" s="122">
        <f>I72</f>
        <v>12.36</v>
      </c>
      <c r="J73" s="122">
        <f>I72</f>
        <v>12.36</v>
      </c>
      <c r="K73" s="112" t="s">
        <v>123</v>
      </c>
      <c r="L73" s="113">
        <v>0</v>
      </c>
      <c r="M73" s="114" t="str">
        <f t="shared" si="74"/>
        <v>С2</v>
      </c>
      <c r="N73" s="114" t="str">
        <f t="shared" si="75"/>
        <v>А/ц ГЖ</v>
      </c>
      <c r="O73" s="114" t="str">
        <f t="shared" si="76"/>
        <v>Полное-пожар</v>
      </c>
      <c r="P73" s="114">
        <v>17.100000000000001</v>
      </c>
      <c r="Q73" s="114">
        <v>23.5</v>
      </c>
      <c r="R73" s="114">
        <v>33.1</v>
      </c>
      <c r="S73" s="114">
        <v>61.2</v>
      </c>
      <c r="T73" s="114" t="s">
        <v>46</v>
      </c>
      <c r="U73" s="114" t="s">
        <v>46</v>
      </c>
      <c r="V73" s="114" t="s">
        <v>46</v>
      </c>
      <c r="W73" s="114" t="s">
        <v>46</v>
      </c>
      <c r="X73" s="114" t="s">
        <v>46</v>
      </c>
      <c r="Y73" s="114" t="s">
        <v>46</v>
      </c>
      <c r="Z73" s="114" t="s">
        <v>46</v>
      </c>
      <c r="AA73" s="114" t="s">
        <v>46</v>
      </c>
      <c r="AB73" s="114" t="s">
        <v>46</v>
      </c>
      <c r="AC73" s="114" t="s">
        <v>46</v>
      </c>
      <c r="AD73" s="114" t="s">
        <v>46</v>
      </c>
      <c r="AE73" s="114" t="s">
        <v>46</v>
      </c>
      <c r="AF73" s="114" t="s">
        <v>46</v>
      </c>
      <c r="AG73" s="114" t="s">
        <v>46</v>
      </c>
      <c r="AH73" s="114" t="s">
        <v>46</v>
      </c>
      <c r="AI73" s="114" t="s">
        <v>46</v>
      </c>
      <c r="AJ73" s="115">
        <v>2</v>
      </c>
      <c r="AK73" s="115">
        <v>2</v>
      </c>
      <c r="AL73" s="114">
        <f>AL72</f>
        <v>0.75</v>
      </c>
      <c r="AM73" s="114">
        <f>AM72</f>
        <v>2.7E-2</v>
      </c>
      <c r="AN73" s="114">
        <f>AN72</f>
        <v>3</v>
      </c>
      <c r="AQ73" s="117">
        <f>AM73*I73+AL73</f>
        <v>1.08372</v>
      </c>
      <c r="AR73" s="117">
        <f t="shared" si="77"/>
        <v>0.10837200000000001</v>
      </c>
      <c r="AS73" s="118">
        <f t="shared" si="78"/>
        <v>6.5</v>
      </c>
      <c r="AT73" s="118">
        <f t="shared" si="79"/>
        <v>1.9230229999999999</v>
      </c>
      <c r="AU73" s="117">
        <f>10068.2*J73*POWER(10,-6)</f>
        <v>0.124442952</v>
      </c>
      <c r="AV73" s="118">
        <f t="shared" si="80"/>
        <v>9.7395579519999984</v>
      </c>
      <c r="AW73" s="119">
        <f t="shared" si="81"/>
        <v>3.3249999999999999E-6</v>
      </c>
      <c r="AX73" s="119">
        <f t="shared" si="82"/>
        <v>3.3249999999999999E-6</v>
      </c>
      <c r="AY73" s="119">
        <f t="shared" si="83"/>
        <v>1.6192015095199996E-5</v>
      </c>
      <c r="AZ73" s="289">
        <f>AW73/DB!$B$23</f>
        <v>4.0060240963855423E-9</v>
      </c>
      <c r="BA73" s="289">
        <f>AX73/DB!$B$23</f>
        <v>4.0060240963855423E-9</v>
      </c>
    </row>
    <row r="74" spans="1:53" s="114" customFormat="1" x14ac:dyDescent="0.3">
      <c r="A74" s="105" t="s">
        <v>20</v>
      </c>
      <c r="B74" s="105" t="str">
        <f>B72</f>
        <v>А/ц ГЖ</v>
      </c>
      <c r="C74" s="11" t="s">
        <v>145</v>
      </c>
      <c r="D74" s="107" t="s">
        <v>26</v>
      </c>
      <c r="E74" s="120">
        <f>E72</f>
        <v>3.4999999999999997E-5</v>
      </c>
      <c r="F74" s="121">
        <f>F72</f>
        <v>1</v>
      </c>
      <c r="G74" s="105">
        <v>0.90249999999999997</v>
      </c>
      <c r="H74" s="109">
        <f t="shared" si="73"/>
        <v>3.1587499999999995E-5</v>
      </c>
      <c r="I74" s="122">
        <f>I72</f>
        <v>12.36</v>
      </c>
      <c r="J74" s="105">
        <v>0</v>
      </c>
      <c r="K74" s="112" t="s">
        <v>124</v>
      </c>
      <c r="L74" s="113">
        <v>0</v>
      </c>
      <c r="M74" s="114" t="str">
        <f t="shared" si="74"/>
        <v>С3</v>
      </c>
      <c r="N74" s="114" t="str">
        <f t="shared" si="75"/>
        <v>А/ц ГЖ</v>
      </c>
      <c r="O74" s="114" t="str">
        <f t="shared" si="76"/>
        <v>Полное-ликвидация</v>
      </c>
      <c r="P74" s="114" t="s">
        <v>46</v>
      </c>
      <c r="Q74" s="114" t="s">
        <v>46</v>
      </c>
      <c r="R74" s="114" t="s">
        <v>46</v>
      </c>
      <c r="S74" s="114" t="s">
        <v>46</v>
      </c>
      <c r="T74" s="114" t="s">
        <v>46</v>
      </c>
      <c r="U74" s="114" t="s">
        <v>46</v>
      </c>
      <c r="V74" s="114" t="s">
        <v>46</v>
      </c>
      <c r="W74" s="114" t="s">
        <v>46</v>
      </c>
      <c r="X74" s="114" t="s">
        <v>46</v>
      </c>
      <c r="Y74" s="114" t="s">
        <v>46</v>
      </c>
      <c r="Z74" s="114" t="s">
        <v>46</v>
      </c>
      <c r="AA74" s="114" t="s">
        <v>46</v>
      </c>
      <c r="AB74" s="114" t="s">
        <v>46</v>
      </c>
      <c r="AC74" s="114" t="s">
        <v>46</v>
      </c>
      <c r="AD74" s="114" t="s">
        <v>46</v>
      </c>
      <c r="AE74" s="114" t="s">
        <v>46</v>
      </c>
      <c r="AF74" s="114" t="s">
        <v>46</v>
      </c>
      <c r="AG74" s="114" t="s">
        <v>46</v>
      </c>
      <c r="AH74" s="114" t="s">
        <v>46</v>
      </c>
      <c r="AI74" s="114" t="s">
        <v>46</v>
      </c>
      <c r="AJ74" s="114">
        <v>0</v>
      </c>
      <c r="AK74" s="114">
        <v>0</v>
      </c>
      <c r="AL74" s="114">
        <f>AL72</f>
        <v>0.75</v>
      </c>
      <c r="AM74" s="114">
        <f>AM72</f>
        <v>2.7E-2</v>
      </c>
      <c r="AN74" s="114">
        <f>AN72</f>
        <v>3</v>
      </c>
      <c r="AQ74" s="117">
        <f>AM74*I74*0.1+AL74</f>
        <v>0.78337199999999996</v>
      </c>
      <c r="AR74" s="117">
        <f t="shared" si="77"/>
        <v>7.8337199999999996E-2</v>
      </c>
      <c r="AS74" s="118">
        <f t="shared" si="78"/>
        <v>0</v>
      </c>
      <c r="AT74" s="118">
        <f t="shared" si="79"/>
        <v>0.21542729999999999</v>
      </c>
      <c r="AU74" s="117">
        <f>1333*J73*POWER(10,-6)</f>
        <v>1.6475880000000002E-2</v>
      </c>
      <c r="AV74" s="118">
        <f t="shared" si="80"/>
        <v>1.0936123799999999</v>
      </c>
      <c r="AW74" s="119">
        <f t="shared" si="81"/>
        <v>0</v>
      </c>
      <c r="AX74" s="119">
        <f t="shared" si="82"/>
        <v>0</v>
      </c>
      <c r="AY74" s="119">
        <f t="shared" si="83"/>
        <v>3.4544481053249996E-5</v>
      </c>
      <c r="AZ74" s="289">
        <f>AW74/DB!$B$23</f>
        <v>0</v>
      </c>
      <c r="BA74" s="289">
        <f>AX74/DB!$B$23</f>
        <v>0</v>
      </c>
    </row>
    <row r="75" spans="1:53" s="114" customFormat="1" x14ac:dyDescent="0.3">
      <c r="A75" s="105" t="s">
        <v>21</v>
      </c>
      <c r="B75" s="105" t="str">
        <f>B72</f>
        <v>А/ц ГЖ</v>
      </c>
      <c r="C75" s="11" t="s">
        <v>146</v>
      </c>
      <c r="D75" s="107" t="s">
        <v>47</v>
      </c>
      <c r="E75" s="108">
        <v>2.2000000000000001E-4</v>
      </c>
      <c r="F75" s="121">
        <f>F72</f>
        <v>1</v>
      </c>
      <c r="G75" s="105">
        <v>0.05</v>
      </c>
      <c r="H75" s="109">
        <f t="shared" si="73"/>
        <v>1.1000000000000001E-5</v>
      </c>
      <c r="I75" s="122">
        <f>0.15*I72</f>
        <v>1.8539999999999999</v>
      </c>
      <c r="J75" s="122">
        <f>I75</f>
        <v>1.8539999999999999</v>
      </c>
      <c r="K75" s="125" t="s">
        <v>126</v>
      </c>
      <c r="L75" s="126">
        <v>45390</v>
      </c>
      <c r="M75" s="114" t="str">
        <f t="shared" si="74"/>
        <v>С4</v>
      </c>
      <c r="N75" s="114" t="str">
        <f t="shared" si="75"/>
        <v>А/ц ГЖ</v>
      </c>
      <c r="O75" s="114" t="str">
        <f t="shared" si="76"/>
        <v>Частичное-пожар</v>
      </c>
      <c r="P75" s="114">
        <v>12.8</v>
      </c>
      <c r="Q75" s="114">
        <v>16.399999999999999</v>
      </c>
      <c r="R75" s="114">
        <v>21.7</v>
      </c>
      <c r="S75" s="114">
        <v>37.299999999999997</v>
      </c>
      <c r="T75" s="114" t="s">
        <v>46</v>
      </c>
      <c r="U75" s="114" t="s">
        <v>46</v>
      </c>
      <c r="V75" s="114" t="s">
        <v>46</v>
      </c>
      <c r="W75" s="114" t="s">
        <v>46</v>
      </c>
      <c r="X75" s="114" t="s">
        <v>46</v>
      </c>
      <c r="Y75" s="114" t="s">
        <v>46</v>
      </c>
      <c r="Z75" s="114" t="s">
        <v>46</v>
      </c>
      <c r="AA75" s="114" t="s">
        <v>46</v>
      </c>
      <c r="AB75" s="114" t="s">
        <v>46</v>
      </c>
      <c r="AC75" s="114" t="s">
        <v>46</v>
      </c>
      <c r="AD75" s="114" t="s">
        <v>46</v>
      </c>
      <c r="AE75" s="114" t="s">
        <v>46</v>
      </c>
      <c r="AF75" s="114" t="s">
        <v>46</v>
      </c>
      <c r="AG75" s="114" t="s">
        <v>46</v>
      </c>
      <c r="AH75" s="114" t="s">
        <v>46</v>
      </c>
      <c r="AI75" s="114" t="s">
        <v>46</v>
      </c>
      <c r="AJ75" s="114">
        <v>0</v>
      </c>
      <c r="AK75" s="114">
        <v>2</v>
      </c>
      <c r="AL75" s="114">
        <f>0.1*$AL$2</f>
        <v>7.5000000000000011E-2</v>
      </c>
      <c r="AM75" s="114">
        <f>AM72</f>
        <v>2.7E-2</v>
      </c>
      <c r="AN75" s="114">
        <f>ROUNDUP(AN72/3,0)</f>
        <v>1</v>
      </c>
      <c r="AQ75" s="117">
        <f>AM75*I75+AL75</f>
        <v>0.125058</v>
      </c>
      <c r="AR75" s="117">
        <f t="shared" si="77"/>
        <v>1.2505800000000001E-2</v>
      </c>
      <c r="AS75" s="118">
        <f t="shared" si="78"/>
        <v>0.5</v>
      </c>
      <c r="AT75" s="118">
        <f t="shared" si="79"/>
        <v>0.15939095</v>
      </c>
      <c r="AU75" s="117">
        <f>10068.2*J75*POWER(10,-6)</f>
        <v>1.8666442799999999E-2</v>
      </c>
      <c r="AV75" s="118">
        <f t="shared" si="80"/>
        <v>0.81562119280000001</v>
      </c>
      <c r="AW75" s="119">
        <f t="shared" si="81"/>
        <v>0</v>
      </c>
      <c r="AX75" s="119">
        <f t="shared" si="82"/>
        <v>2.2000000000000003E-5</v>
      </c>
      <c r="AY75" s="119">
        <f t="shared" si="83"/>
        <v>8.9718331208000015E-6</v>
      </c>
      <c r="AZ75" s="289">
        <f>AW75/DB!$B$23</f>
        <v>0</v>
      </c>
      <c r="BA75" s="289">
        <f>AX75/DB!$B$23</f>
        <v>2.6506024096385547E-8</v>
      </c>
    </row>
    <row r="76" spans="1:53" s="114" customFormat="1" x14ac:dyDescent="0.3">
      <c r="A76" s="105" t="s">
        <v>22</v>
      </c>
      <c r="B76" s="105" t="str">
        <f>B72</f>
        <v>А/ц ГЖ</v>
      </c>
      <c r="C76" s="11" t="s">
        <v>153</v>
      </c>
      <c r="D76" s="107" t="s">
        <v>47</v>
      </c>
      <c r="E76" s="120">
        <f>E75</f>
        <v>2.2000000000000001E-4</v>
      </c>
      <c r="F76" s="121">
        <f>F72</f>
        <v>1</v>
      </c>
      <c r="G76" s="105">
        <v>4.7500000000000001E-2</v>
      </c>
      <c r="H76" s="109">
        <f t="shared" si="73"/>
        <v>1.045E-5</v>
      </c>
      <c r="I76" s="122">
        <f>0.15*I72</f>
        <v>1.8539999999999999</v>
      </c>
      <c r="J76" s="122">
        <f>I75</f>
        <v>1.8539999999999999</v>
      </c>
      <c r="K76" s="125" t="s">
        <v>127</v>
      </c>
      <c r="L76" s="126">
        <v>3</v>
      </c>
      <c r="M76" s="114" t="str">
        <f t="shared" si="74"/>
        <v>С5</v>
      </c>
      <c r="N76" s="114" t="str">
        <f t="shared" si="75"/>
        <v>А/ц ГЖ</v>
      </c>
      <c r="O76" s="114" t="str">
        <f t="shared" si="76"/>
        <v>Частичное-пожар</v>
      </c>
      <c r="P76" s="114">
        <v>12.8</v>
      </c>
      <c r="Q76" s="114">
        <v>16.399999999999999</v>
      </c>
      <c r="R76" s="114">
        <v>21.7</v>
      </c>
      <c r="S76" s="114">
        <v>37.299999999999997</v>
      </c>
      <c r="T76" s="114" t="s">
        <v>46</v>
      </c>
      <c r="U76" s="114" t="s">
        <v>46</v>
      </c>
      <c r="V76" s="114" t="s">
        <v>46</v>
      </c>
      <c r="W76" s="114" t="s">
        <v>46</v>
      </c>
      <c r="X76" s="114" t="s">
        <v>46</v>
      </c>
      <c r="Y76" s="114" t="s">
        <v>46</v>
      </c>
      <c r="Z76" s="114" t="s">
        <v>46</v>
      </c>
      <c r="AA76" s="114" t="s">
        <v>46</v>
      </c>
      <c r="AB76" s="114" t="s">
        <v>46</v>
      </c>
      <c r="AC76" s="114" t="s">
        <v>46</v>
      </c>
      <c r="AD76" s="114" t="s">
        <v>46</v>
      </c>
      <c r="AE76" s="114" t="s">
        <v>46</v>
      </c>
      <c r="AF76" s="114" t="s">
        <v>46</v>
      </c>
      <c r="AG76" s="114" t="s">
        <v>46</v>
      </c>
      <c r="AH76" s="114" t="s">
        <v>46</v>
      </c>
      <c r="AI76" s="114" t="s">
        <v>46</v>
      </c>
      <c r="AJ76" s="114">
        <v>0</v>
      </c>
      <c r="AK76" s="114">
        <v>1</v>
      </c>
      <c r="AL76" s="114">
        <f>0.1*$AL$2</f>
        <v>7.5000000000000011E-2</v>
      </c>
      <c r="AM76" s="114">
        <f>AM72</f>
        <v>2.7E-2</v>
      </c>
      <c r="AN76" s="114">
        <f>ROUNDUP(AN72/3,0)</f>
        <v>1</v>
      </c>
      <c r="AQ76" s="117">
        <f>AM76*I76+AL76</f>
        <v>0.125058</v>
      </c>
      <c r="AR76" s="117">
        <f t="shared" si="77"/>
        <v>1.2505800000000001E-2</v>
      </c>
      <c r="AS76" s="118">
        <f t="shared" si="78"/>
        <v>0.25</v>
      </c>
      <c r="AT76" s="118">
        <f t="shared" si="79"/>
        <v>9.6890950000000003E-2</v>
      </c>
      <c r="AU76" s="117">
        <f>10068.2*J76*POWER(10,-6)</f>
        <v>1.8666442799999999E-2</v>
      </c>
      <c r="AV76" s="118">
        <f t="shared" si="80"/>
        <v>0.50312119280000001</v>
      </c>
      <c r="AW76" s="119">
        <f t="shared" si="81"/>
        <v>0</v>
      </c>
      <c r="AX76" s="119">
        <f t="shared" si="82"/>
        <v>1.045E-5</v>
      </c>
      <c r="AY76" s="119">
        <f t="shared" si="83"/>
        <v>5.2576164647600002E-6</v>
      </c>
      <c r="AZ76" s="289">
        <f>AW76/DB!$B$23</f>
        <v>0</v>
      </c>
      <c r="BA76" s="289">
        <f>AX76/DB!$B$23</f>
        <v>1.2590361445783132E-8</v>
      </c>
    </row>
    <row r="77" spans="1:53" s="114" customFormat="1" ht="15" thickBot="1" x14ac:dyDescent="0.35">
      <c r="A77" s="105" t="s">
        <v>23</v>
      </c>
      <c r="B77" s="105" t="str">
        <f>B72</f>
        <v>А/ц ГЖ</v>
      </c>
      <c r="C77" s="11" t="s">
        <v>148</v>
      </c>
      <c r="D77" s="107" t="s">
        <v>27</v>
      </c>
      <c r="E77" s="120">
        <f>E75</f>
        <v>2.2000000000000001E-4</v>
      </c>
      <c r="F77" s="121">
        <f>F72</f>
        <v>1</v>
      </c>
      <c r="G77" s="105">
        <v>0.90249999999999997</v>
      </c>
      <c r="H77" s="109">
        <f t="shared" si="73"/>
        <v>1.9855E-4</v>
      </c>
      <c r="I77" s="122">
        <f>0.15*I72</f>
        <v>1.8539999999999999</v>
      </c>
      <c r="J77" s="105">
        <v>0</v>
      </c>
      <c r="K77" s="127" t="s">
        <v>138</v>
      </c>
      <c r="L77" s="128">
        <v>8</v>
      </c>
      <c r="M77" s="114" t="str">
        <f t="shared" si="74"/>
        <v>С6</v>
      </c>
      <c r="N77" s="114" t="str">
        <f t="shared" si="75"/>
        <v>А/ц ГЖ</v>
      </c>
      <c r="O77" s="114" t="str">
        <f t="shared" si="76"/>
        <v>Частичное-ликвидация</v>
      </c>
      <c r="P77" s="114" t="s">
        <v>46</v>
      </c>
      <c r="Q77" s="114" t="s">
        <v>46</v>
      </c>
      <c r="R77" s="114" t="s">
        <v>46</v>
      </c>
      <c r="S77" s="114" t="s">
        <v>46</v>
      </c>
      <c r="T77" s="114" t="s">
        <v>46</v>
      </c>
      <c r="U77" s="114" t="s">
        <v>46</v>
      </c>
      <c r="V77" s="114" t="s">
        <v>46</v>
      </c>
      <c r="W77" s="114" t="s">
        <v>46</v>
      </c>
      <c r="X77" s="114" t="s">
        <v>46</v>
      </c>
      <c r="Y77" s="114" t="s">
        <v>46</v>
      </c>
      <c r="Z77" s="114" t="s">
        <v>46</v>
      </c>
      <c r="AA77" s="114" t="s">
        <v>46</v>
      </c>
      <c r="AB77" s="114" t="s">
        <v>46</v>
      </c>
      <c r="AC77" s="114" t="s">
        <v>46</v>
      </c>
      <c r="AD77" s="114" t="s">
        <v>46</v>
      </c>
      <c r="AE77" s="114" t="s">
        <v>46</v>
      </c>
      <c r="AF77" s="114" t="s">
        <v>46</v>
      </c>
      <c r="AG77" s="114" t="s">
        <v>46</v>
      </c>
      <c r="AH77" s="114" t="s">
        <v>46</v>
      </c>
      <c r="AI77" s="114" t="s">
        <v>46</v>
      </c>
      <c r="AJ77" s="114">
        <v>0</v>
      </c>
      <c r="AK77" s="114">
        <v>0</v>
      </c>
      <c r="AL77" s="114">
        <f>0.1*$AL$2</f>
        <v>7.5000000000000011E-2</v>
      </c>
      <c r="AM77" s="114">
        <f>AM72</f>
        <v>2.7E-2</v>
      </c>
      <c r="AN77" s="114">
        <f>ROUNDUP(AN72/3,0)</f>
        <v>1</v>
      </c>
      <c r="AQ77" s="117">
        <f>AM77*I77*0.1+AL77</f>
        <v>8.0005800000000016E-2</v>
      </c>
      <c r="AR77" s="117">
        <f t="shared" si="77"/>
        <v>8.0005800000000019E-3</v>
      </c>
      <c r="AS77" s="118">
        <f t="shared" si="78"/>
        <v>0</v>
      </c>
      <c r="AT77" s="118">
        <f t="shared" si="79"/>
        <v>2.2001595000000006E-2</v>
      </c>
      <c r="AU77" s="117">
        <f>1333*J76*POWER(10,-6)</f>
        <v>2.4713819999999994E-3</v>
      </c>
      <c r="AV77" s="118">
        <f t="shared" si="80"/>
        <v>0.11247935700000003</v>
      </c>
      <c r="AW77" s="119">
        <f t="shared" si="81"/>
        <v>0</v>
      </c>
      <c r="AX77" s="119">
        <f t="shared" si="82"/>
        <v>0</v>
      </c>
      <c r="AY77" s="119">
        <f t="shared" si="83"/>
        <v>2.2332776332350008E-5</v>
      </c>
      <c r="AZ77" s="289">
        <f>AW77/DB!$B$23</f>
        <v>0</v>
      </c>
      <c r="BA77" s="289">
        <f>AX77/DB!$B$23</f>
        <v>0</v>
      </c>
    </row>
    <row r="78" spans="1:53" s="114" customFormat="1" x14ac:dyDescent="0.3">
      <c r="A78" s="115"/>
      <c r="B78" s="115"/>
      <c r="D78" s="180"/>
      <c r="E78" s="181"/>
      <c r="F78" s="182"/>
      <c r="G78" s="115"/>
      <c r="H78" s="119"/>
      <c r="I78" s="118"/>
      <c r="J78" s="115"/>
      <c r="K78" s="115"/>
      <c r="L78" s="182"/>
      <c r="AQ78" s="117"/>
      <c r="AR78" s="117"/>
      <c r="AS78" s="118"/>
      <c r="AT78" s="118"/>
      <c r="AU78" s="117"/>
      <c r="AV78" s="118"/>
      <c r="AW78" s="119"/>
      <c r="AX78" s="119"/>
      <c r="AY78" s="119"/>
    </row>
    <row r="79" spans="1:53" s="114" customFormat="1" x14ac:dyDescent="0.3">
      <c r="A79" s="115"/>
      <c r="B79" s="115"/>
      <c r="D79" s="180"/>
      <c r="E79" s="181"/>
      <c r="F79" s="182"/>
      <c r="G79" s="115"/>
      <c r="H79" s="119"/>
      <c r="I79" s="118"/>
      <c r="J79" s="115"/>
      <c r="K79" s="115"/>
      <c r="L79" s="182"/>
      <c r="AQ79" s="117"/>
      <c r="AR79" s="117"/>
      <c r="AS79" s="118"/>
      <c r="AT79" s="118"/>
      <c r="AU79" s="117"/>
      <c r="AV79" s="118"/>
      <c r="AW79" s="119"/>
      <c r="AX79" s="119"/>
      <c r="AY79" s="119"/>
    </row>
    <row r="80" spans="1:53" s="114" customFormat="1" x14ac:dyDescent="0.3">
      <c r="A80" s="115"/>
      <c r="B80" s="115"/>
      <c r="D80" s="180"/>
      <c r="E80" s="181"/>
      <c r="F80" s="182"/>
      <c r="G80" s="115"/>
      <c r="H80" s="119"/>
      <c r="I80" s="118"/>
      <c r="J80" s="115"/>
      <c r="K80" s="115"/>
      <c r="L80" s="182"/>
      <c r="AQ80" s="117"/>
      <c r="AR80" s="117"/>
      <c r="AS80" s="118"/>
      <c r="AT80" s="118"/>
      <c r="AU80" s="117"/>
      <c r="AV80" s="118"/>
      <c r="AW80" s="119"/>
      <c r="AX80" s="119"/>
      <c r="AY80" s="119"/>
    </row>
    <row r="81" spans="1:53" ht="15" thickBot="1" x14ac:dyDescent="0.35"/>
    <row r="82" spans="1:53" s="91" customFormat="1" ht="15" thickBot="1" x14ac:dyDescent="0.35">
      <c r="A82" s="81" t="s">
        <v>18</v>
      </c>
      <c r="B82" s="82" t="s">
        <v>154</v>
      </c>
      <c r="C82" s="83" t="s">
        <v>143</v>
      </c>
      <c r="D82" s="84" t="s">
        <v>25</v>
      </c>
      <c r="E82" s="85">
        <v>1.0000000000000001E-5</v>
      </c>
      <c r="F82" s="82">
        <v>1</v>
      </c>
      <c r="G82" s="81">
        <v>0.1</v>
      </c>
      <c r="H82" s="86">
        <f t="shared" ref="H82:H87" si="84">E82*F82*G82</f>
        <v>1.0000000000000002E-6</v>
      </c>
      <c r="I82" s="87">
        <v>12.36</v>
      </c>
      <c r="J82" s="88">
        <f>I82</f>
        <v>12.36</v>
      </c>
      <c r="K82" s="89" t="s">
        <v>122</v>
      </c>
      <c r="L82" s="90">
        <v>5000</v>
      </c>
      <c r="M82" s="91" t="str">
        <f t="shared" ref="M82:N87" si="85">A82</f>
        <v>С1</v>
      </c>
      <c r="N82" s="91" t="str">
        <f t="shared" si="85"/>
        <v>РВС ЛВЖ</v>
      </c>
      <c r="O82" s="91" t="str">
        <f t="shared" ref="O82:O87" si="86">D82</f>
        <v>Полное-пожар</v>
      </c>
      <c r="P82" s="91">
        <v>47.1</v>
      </c>
      <c r="Q82" s="91">
        <v>64.099999999999994</v>
      </c>
      <c r="R82" s="91">
        <v>90.1</v>
      </c>
      <c r="S82" s="91">
        <v>161.69999999999999</v>
      </c>
      <c r="T82" s="91" t="s">
        <v>46</v>
      </c>
      <c r="U82" s="91" t="s">
        <v>46</v>
      </c>
      <c r="V82" s="91" t="s">
        <v>46</v>
      </c>
      <c r="W82" s="91" t="s">
        <v>46</v>
      </c>
      <c r="X82" s="91" t="s">
        <v>46</v>
      </c>
      <c r="Y82" s="91" t="s">
        <v>46</v>
      </c>
      <c r="Z82" s="91" t="s">
        <v>46</v>
      </c>
      <c r="AA82" s="91" t="s">
        <v>46</v>
      </c>
      <c r="AB82" s="91" t="s">
        <v>46</v>
      </c>
      <c r="AC82" s="91" t="s">
        <v>46</v>
      </c>
      <c r="AD82" s="91" t="s">
        <v>46</v>
      </c>
      <c r="AE82" s="91" t="s">
        <v>46</v>
      </c>
      <c r="AF82" s="91" t="s">
        <v>46</v>
      </c>
      <c r="AG82" s="91" t="s">
        <v>46</v>
      </c>
      <c r="AH82" s="91" t="s">
        <v>46</v>
      </c>
      <c r="AI82" s="91" t="s">
        <v>46</v>
      </c>
      <c r="AJ82" s="92">
        <v>1</v>
      </c>
      <c r="AK82" s="92">
        <v>2</v>
      </c>
      <c r="AL82" s="93">
        <v>0.75</v>
      </c>
      <c r="AM82" s="93">
        <v>2.7E-2</v>
      </c>
      <c r="AN82" s="93">
        <v>3</v>
      </c>
      <c r="AQ82" s="94">
        <f>AM82*I82+AL82</f>
        <v>1.08372</v>
      </c>
      <c r="AR82" s="94">
        <f t="shared" ref="AR82:AR87" si="87">0.1*AQ82</f>
        <v>0.10837200000000001</v>
      </c>
      <c r="AS82" s="95">
        <f t="shared" ref="AS82:AS87" si="88">AJ82*3+0.25*AK82</f>
        <v>3.5</v>
      </c>
      <c r="AT82" s="95">
        <f t="shared" ref="AT82:AT87" si="89">SUM(AQ82:AS82)/4</f>
        <v>1.1730229999999999</v>
      </c>
      <c r="AU82" s="94">
        <f>10068.2*J82*POWER(10,-6)</f>
        <v>0.124442952</v>
      </c>
      <c r="AV82" s="95">
        <f t="shared" ref="AV82:AV87" si="90">AU82+AT82+AS82+AR82+AQ82</f>
        <v>5.9895579520000002</v>
      </c>
      <c r="AW82" s="96">
        <f t="shared" ref="AW82:AW87" si="91">AJ82*H82</f>
        <v>1.0000000000000002E-6</v>
      </c>
      <c r="AX82" s="96">
        <f t="shared" ref="AX82:AX87" si="92">H82*AK82</f>
        <v>2.0000000000000003E-6</v>
      </c>
      <c r="AY82" s="96">
        <f t="shared" ref="AY82:AY87" si="93">H82*AV82</f>
        <v>5.989557952000001E-6</v>
      </c>
      <c r="AZ82" s="289">
        <f>AW82/DB!$B$23</f>
        <v>1.2048192771084339E-9</v>
      </c>
      <c r="BA82" s="289">
        <f>AX82/DB!$B$23</f>
        <v>2.4096385542168678E-9</v>
      </c>
    </row>
    <row r="83" spans="1:53" s="91" customFormat="1" ht="15" thickBot="1" x14ac:dyDescent="0.35">
      <c r="A83" s="81" t="s">
        <v>19</v>
      </c>
      <c r="B83" s="81" t="str">
        <f>B82</f>
        <v>РВС ЛВЖ</v>
      </c>
      <c r="C83" s="83" t="s">
        <v>518</v>
      </c>
      <c r="D83" s="84" t="s">
        <v>28</v>
      </c>
      <c r="E83" s="97">
        <f>E82</f>
        <v>1.0000000000000001E-5</v>
      </c>
      <c r="F83" s="98">
        <f>F82</f>
        <v>1</v>
      </c>
      <c r="G83" s="81">
        <v>0.18000000000000002</v>
      </c>
      <c r="H83" s="86">
        <f t="shared" si="84"/>
        <v>1.8000000000000003E-6</v>
      </c>
      <c r="I83" s="99">
        <f>I82</f>
        <v>12.36</v>
      </c>
      <c r="J83" s="100">
        <v>0.625</v>
      </c>
      <c r="K83" s="89" t="s">
        <v>123</v>
      </c>
      <c r="L83" s="90">
        <v>0</v>
      </c>
      <c r="M83" s="91" t="str">
        <f t="shared" si="85"/>
        <v>С2</v>
      </c>
      <c r="N83" s="91" t="str">
        <f t="shared" si="85"/>
        <v>РВС ЛВЖ</v>
      </c>
      <c r="O83" s="91" t="str">
        <f t="shared" si="86"/>
        <v>Полное-взрыв</v>
      </c>
      <c r="P83" s="91" t="s">
        <v>46</v>
      </c>
      <c r="Q83" s="91" t="s">
        <v>46</v>
      </c>
      <c r="R83" s="91" t="s">
        <v>46</v>
      </c>
      <c r="S83" s="91" t="s">
        <v>46</v>
      </c>
      <c r="T83" s="91">
        <v>0</v>
      </c>
      <c r="U83" s="91">
        <v>0</v>
      </c>
      <c r="V83" s="91">
        <v>64.599999999999994</v>
      </c>
      <c r="W83" s="91">
        <v>216.1</v>
      </c>
      <c r="X83" s="91">
        <v>562.6</v>
      </c>
      <c r="Y83" s="91" t="s">
        <v>46</v>
      </c>
      <c r="Z83" s="91" t="s">
        <v>46</v>
      </c>
      <c r="AA83" s="91" t="s">
        <v>46</v>
      </c>
      <c r="AB83" s="91" t="s">
        <v>46</v>
      </c>
      <c r="AC83" s="91" t="s">
        <v>46</v>
      </c>
      <c r="AD83" s="91" t="s">
        <v>46</v>
      </c>
      <c r="AE83" s="91" t="s">
        <v>46</v>
      </c>
      <c r="AF83" s="91" t="s">
        <v>46</v>
      </c>
      <c r="AG83" s="91" t="s">
        <v>46</v>
      </c>
      <c r="AH83" s="91" t="s">
        <v>46</v>
      </c>
      <c r="AI83" s="91" t="s">
        <v>46</v>
      </c>
      <c r="AJ83" s="92">
        <v>2</v>
      </c>
      <c r="AK83" s="92">
        <v>2</v>
      </c>
      <c r="AL83" s="91">
        <f>AL82</f>
        <v>0.75</v>
      </c>
      <c r="AM83" s="91">
        <f>AM82</f>
        <v>2.7E-2</v>
      </c>
      <c r="AN83" s="91">
        <f>AN82</f>
        <v>3</v>
      </c>
      <c r="AQ83" s="94">
        <f>AM83*I83+AL83</f>
        <v>1.08372</v>
      </c>
      <c r="AR83" s="94">
        <f t="shared" si="87"/>
        <v>0.10837200000000001</v>
      </c>
      <c r="AS83" s="95">
        <f t="shared" si="88"/>
        <v>6.5</v>
      </c>
      <c r="AT83" s="95">
        <f t="shared" si="89"/>
        <v>1.9230229999999999</v>
      </c>
      <c r="AU83" s="94">
        <f>AU82</f>
        <v>0.124442952</v>
      </c>
      <c r="AV83" s="95">
        <f t="shared" si="90"/>
        <v>9.7395579519999984</v>
      </c>
      <c r="AW83" s="96">
        <f t="shared" si="91"/>
        <v>3.6000000000000007E-6</v>
      </c>
      <c r="AX83" s="96">
        <f t="shared" si="92"/>
        <v>3.6000000000000007E-6</v>
      </c>
      <c r="AY83" s="96">
        <f t="shared" si="93"/>
        <v>1.75312043136E-5</v>
      </c>
      <c r="AZ83" s="289">
        <f>AW83/DB!$B$23</f>
        <v>4.3373493975903624E-9</v>
      </c>
      <c r="BA83" s="289">
        <f>AX83/DB!$B$23</f>
        <v>4.3373493975903624E-9</v>
      </c>
    </row>
    <row r="84" spans="1:53" s="91" customFormat="1" x14ac:dyDescent="0.3">
      <c r="A84" s="81" t="s">
        <v>20</v>
      </c>
      <c r="B84" s="81" t="str">
        <f>B82</f>
        <v>РВС ЛВЖ</v>
      </c>
      <c r="C84" s="83" t="s">
        <v>145</v>
      </c>
      <c r="D84" s="84" t="s">
        <v>26</v>
      </c>
      <c r="E84" s="97">
        <f>E82</f>
        <v>1.0000000000000001E-5</v>
      </c>
      <c r="F84" s="98">
        <f>F82</f>
        <v>1</v>
      </c>
      <c r="G84" s="81">
        <v>0.72000000000000008</v>
      </c>
      <c r="H84" s="86">
        <f t="shared" si="84"/>
        <v>7.2000000000000014E-6</v>
      </c>
      <c r="I84" s="99">
        <f>I82</f>
        <v>12.36</v>
      </c>
      <c r="J84" s="101">
        <v>0</v>
      </c>
      <c r="K84" s="89" t="s">
        <v>124</v>
      </c>
      <c r="L84" s="90">
        <v>0</v>
      </c>
      <c r="M84" s="91" t="str">
        <f t="shared" si="85"/>
        <v>С3</v>
      </c>
      <c r="N84" s="91" t="str">
        <f t="shared" si="85"/>
        <v>РВС ЛВЖ</v>
      </c>
      <c r="O84" s="91" t="str">
        <f t="shared" si="86"/>
        <v>Полное-ликвидация</v>
      </c>
      <c r="P84" s="91" t="s">
        <v>46</v>
      </c>
      <c r="Q84" s="91" t="s">
        <v>46</v>
      </c>
      <c r="R84" s="91" t="s">
        <v>46</v>
      </c>
      <c r="S84" s="91" t="s">
        <v>46</v>
      </c>
      <c r="T84" s="91" t="s">
        <v>46</v>
      </c>
      <c r="U84" s="91" t="s">
        <v>46</v>
      </c>
      <c r="V84" s="91" t="s">
        <v>46</v>
      </c>
      <c r="W84" s="91" t="s">
        <v>46</v>
      </c>
      <c r="X84" s="91" t="s">
        <v>46</v>
      </c>
      <c r="Y84" s="91" t="s">
        <v>46</v>
      </c>
      <c r="Z84" s="91" t="s">
        <v>46</v>
      </c>
      <c r="AA84" s="91" t="s">
        <v>46</v>
      </c>
      <c r="AB84" s="91" t="s">
        <v>46</v>
      </c>
      <c r="AC84" s="91" t="s">
        <v>46</v>
      </c>
      <c r="AD84" s="91" t="s">
        <v>46</v>
      </c>
      <c r="AE84" s="91" t="s">
        <v>46</v>
      </c>
      <c r="AF84" s="91" t="s">
        <v>46</v>
      </c>
      <c r="AG84" s="91" t="s">
        <v>46</v>
      </c>
      <c r="AH84" s="91" t="s">
        <v>46</v>
      </c>
      <c r="AI84" s="91" t="s">
        <v>46</v>
      </c>
      <c r="AJ84" s="91">
        <v>0</v>
      </c>
      <c r="AK84" s="91">
        <v>0</v>
      </c>
      <c r="AL84" s="91">
        <f>AL82</f>
        <v>0.75</v>
      </c>
      <c r="AM84" s="91">
        <f>AM82</f>
        <v>2.7E-2</v>
      </c>
      <c r="AN84" s="91">
        <f>AN82</f>
        <v>3</v>
      </c>
      <c r="AQ84" s="94">
        <f>AM84*I84*0.1+AL84</f>
        <v>0.78337199999999996</v>
      </c>
      <c r="AR84" s="94">
        <f t="shared" si="87"/>
        <v>7.8337199999999996E-2</v>
      </c>
      <c r="AS84" s="95">
        <f t="shared" si="88"/>
        <v>0</v>
      </c>
      <c r="AT84" s="95">
        <f t="shared" si="89"/>
        <v>0.21542729999999999</v>
      </c>
      <c r="AU84" s="94">
        <f>1333*J83*POWER(10,-6)</f>
        <v>8.3312499999999999E-4</v>
      </c>
      <c r="AV84" s="95">
        <f t="shared" si="90"/>
        <v>1.0779696249999999</v>
      </c>
      <c r="AW84" s="96">
        <f t="shared" si="91"/>
        <v>0</v>
      </c>
      <c r="AX84" s="96">
        <f t="shared" si="92"/>
        <v>0</v>
      </c>
      <c r="AY84" s="96">
        <f t="shared" si="93"/>
        <v>7.7613813000000011E-6</v>
      </c>
      <c r="AZ84" s="289">
        <f>AW84/DB!$B$23</f>
        <v>0</v>
      </c>
      <c r="BA84" s="289">
        <f>AX84/DB!$B$23</f>
        <v>0</v>
      </c>
    </row>
    <row r="85" spans="1:53" s="91" customFormat="1" x14ac:dyDescent="0.3">
      <c r="A85" s="81" t="s">
        <v>21</v>
      </c>
      <c r="B85" s="81" t="str">
        <f>B82</f>
        <v>РВС ЛВЖ</v>
      </c>
      <c r="C85" s="83" t="s">
        <v>146</v>
      </c>
      <c r="D85" s="84" t="s">
        <v>47</v>
      </c>
      <c r="E85" s="85">
        <v>1E-4</v>
      </c>
      <c r="F85" s="98">
        <f>F82</f>
        <v>1</v>
      </c>
      <c r="G85" s="81">
        <v>0.1</v>
      </c>
      <c r="H85" s="86">
        <f t="shared" si="84"/>
        <v>1.0000000000000001E-5</v>
      </c>
      <c r="I85" s="99">
        <f>0.15*I82</f>
        <v>1.8539999999999999</v>
      </c>
      <c r="J85" s="88">
        <f>I85</f>
        <v>1.8539999999999999</v>
      </c>
      <c r="K85" s="102" t="s">
        <v>126</v>
      </c>
      <c r="L85" s="103">
        <v>45390</v>
      </c>
      <c r="M85" s="91" t="str">
        <f t="shared" si="85"/>
        <v>С4</v>
      </c>
      <c r="N85" s="91" t="str">
        <f t="shared" si="85"/>
        <v>РВС ЛВЖ</v>
      </c>
      <c r="O85" s="91" t="str">
        <f t="shared" si="86"/>
        <v>Частичное-пожар</v>
      </c>
      <c r="P85" s="91">
        <v>18.600000000000001</v>
      </c>
      <c r="Q85" s="91">
        <v>25.8</v>
      </c>
      <c r="R85" s="91">
        <v>36.9</v>
      </c>
      <c r="S85" s="91">
        <v>68.8</v>
      </c>
      <c r="T85" s="91" t="s">
        <v>46</v>
      </c>
      <c r="U85" s="91" t="s">
        <v>46</v>
      </c>
      <c r="V85" s="91" t="s">
        <v>46</v>
      </c>
      <c r="W85" s="91" t="s">
        <v>46</v>
      </c>
      <c r="X85" s="91" t="s">
        <v>46</v>
      </c>
      <c r="Y85" s="91" t="s">
        <v>46</v>
      </c>
      <c r="Z85" s="91" t="s">
        <v>46</v>
      </c>
      <c r="AA85" s="91" t="s">
        <v>46</v>
      </c>
      <c r="AB85" s="91" t="s">
        <v>46</v>
      </c>
      <c r="AC85" s="91" t="s">
        <v>46</v>
      </c>
      <c r="AD85" s="91" t="s">
        <v>46</v>
      </c>
      <c r="AE85" s="91" t="s">
        <v>46</v>
      </c>
      <c r="AF85" s="91" t="s">
        <v>46</v>
      </c>
      <c r="AG85" s="91" t="s">
        <v>46</v>
      </c>
      <c r="AH85" s="91" t="s">
        <v>46</v>
      </c>
      <c r="AI85" s="91" t="s">
        <v>46</v>
      </c>
      <c r="AJ85" s="91">
        <v>0</v>
      </c>
      <c r="AK85" s="91">
        <v>2</v>
      </c>
      <c r="AL85" s="91">
        <f>0.1*$AL$2</f>
        <v>7.5000000000000011E-2</v>
      </c>
      <c r="AM85" s="91">
        <f>AM82</f>
        <v>2.7E-2</v>
      </c>
      <c r="AN85" s="91">
        <f>ROUNDUP(AN82/3,0)</f>
        <v>1</v>
      </c>
      <c r="AQ85" s="94">
        <f>AM85*I85+AL85</f>
        <v>0.125058</v>
      </c>
      <c r="AR85" s="94">
        <f t="shared" si="87"/>
        <v>1.2505800000000001E-2</v>
      </c>
      <c r="AS85" s="95">
        <f t="shared" si="88"/>
        <v>0.5</v>
      </c>
      <c r="AT85" s="95">
        <f t="shared" si="89"/>
        <v>0.15939095</v>
      </c>
      <c r="AU85" s="94">
        <f>10068.2*J85*POWER(10,-6)</f>
        <v>1.8666442799999999E-2</v>
      </c>
      <c r="AV85" s="95">
        <f t="shared" si="90"/>
        <v>0.81562119280000001</v>
      </c>
      <c r="AW85" s="96">
        <f t="shared" si="91"/>
        <v>0</v>
      </c>
      <c r="AX85" s="96">
        <f t="shared" si="92"/>
        <v>2.0000000000000002E-5</v>
      </c>
      <c r="AY85" s="96">
        <f t="shared" si="93"/>
        <v>8.156211928E-6</v>
      </c>
      <c r="AZ85" s="289">
        <f>AW85/DB!$B$23</f>
        <v>0</v>
      </c>
      <c r="BA85" s="289">
        <f>AX85/DB!$B$23</f>
        <v>2.4096385542168677E-8</v>
      </c>
    </row>
    <row r="86" spans="1:53" s="91" customFormat="1" x14ac:dyDescent="0.3">
      <c r="A86" s="81" t="s">
        <v>22</v>
      </c>
      <c r="B86" s="81" t="str">
        <f>B82</f>
        <v>РВС ЛВЖ</v>
      </c>
      <c r="C86" s="83" t="s">
        <v>147</v>
      </c>
      <c r="D86" s="84" t="s">
        <v>112</v>
      </c>
      <c r="E86" s="97">
        <f>E85</f>
        <v>1E-4</v>
      </c>
      <c r="F86" s="98">
        <f>F82</f>
        <v>1</v>
      </c>
      <c r="G86" s="81">
        <v>4.5000000000000005E-2</v>
      </c>
      <c r="H86" s="86">
        <f t="shared" si="84"/>
        <v>4.500000000000001E-6</v>
      </c>
      <c r="I86" s="99">
        <f>0.15*I82</f>
        <v>1.8539999999999999</v>
      </c>
      <c r="J86" s="88">
        <f>0.15*J83</f>
        <v>9.375E-2</v>
      </c>
      <c r="K86" s="102" t="s">
        <v>127</v>
      </c>
      <c r="L86" s="103">
        <v>3</v>
      </c>
      <c r="M86" s="91" t="str">
        <f t="shared" si="85"/>
        <v>С5</v>
      </c>
      <c r="N86" s="91" t="str">
        <f t="shared" si="85"/>
        <v>РВС ЛВЖ</v>
      </c>
      <c r="O86" s="91" t="str">
        <f t="shared" si="86"/>
        <v>Частичное-пожар-вспышка</v>
      </c>
      <c r="P86" s="91" t="s">
        <v>46</v>
      </c>
      <c r="Q86" s="91" t="s">
        <v>46</v>
      </c>
      <c r="R86" s="91" t="s">
        <v>46</v>
      </c>
      <c r="S86" s="91" t="s">
        <v>46</v>
      </c>
      <c r="T86" s="91" t="s">
        <v>46</v>
      </c>
      <c r="U86" s="91" t="s">
        <v>46</v>
      </c>
      <c r="V86" s="91" t="s">
        <v>46</v>
      </c>
      <c r="W86" s="91" t="s">
        <v>46</v>
      </c>
      <c r="X86" s="91" t="s">
        <v>46</v>
      </c>
      <c r="Y86" s="91" t="s">
        <v>46</v>
      </c>
      <c r="Z86" s="91" t="s">
        <v>46</v>
      </c>
      <c r="AA86" s="91">
        <v>15.35</v>
      </c>
      <c r="AB86" s="91">
        <v>18.420000000000002</v>
      </c>
      <c r="AC86" s="91" t="s">
        <v>46</v>
      </c>
      <c r="AD86" s="91" t="s">
        <v>46</v>
      </c>
      <c r="AE86" s="91" t="s">
        <v>46</v>
      </c>
      <c r="AF86" s="91" t="s">
        <v>46</v>
      </c>
      <c r="AG86" s="91" t="s">
        <v>46</v>
      </c>
      <c r="AH86" s="91" t="s">
        <v>46</v>
      </c>
      <c r="AI86" s="91" t="s">
        <v>46</v>
      </c>
      <c r="AJ86" s="91">
        <v>0</v>
      </c>
      <c r="AK86" s="91">
        <v>1</v>
      </c>
      <c r="AL86" s="91">
        <f>0.1*$AL$2</f>
        <v>7.5000000000000011E-2</v>
      </c>
      <c r="AM86" s="91">
        <f>AM82</f>
        <v>2.7E-2</v>
      </c>
      <c r="AN86" s="91">
        <f>ROUNDUP(AN82/3,0)</f>
        <v>1</v>
      </c>
      <c r="AQ86" s="94">
        <f>AM86*I86+AL86</f>
        <v>0.125058</v>
      </c>
      <c r="AR86" s="94">
        <f t="shared" si="87"/>
        <v>1.2505800000000001E-2</v>
      </c>
      <c r="AS86" s="95">
        <f t="shared" si="88"/>
        <v>0.25</v>
      </c>
      <c r="AT86" s="95">
        <f t="shared" si="89"/>
        <v>9.6890950000000003E-2</v>
      </c>
      <c r="AU86" s="94">
        <f>10068.2*J86*POWER(10,-6)*10</f>
        <v>9.4389375000000011E-3</v>
      </c>
      <c r="AV86" s="95">
        <f t="shared" si="90"/>
        <v>0.49389368750000001</v>
      </c>
      <c r="AW86" s="96">
        <f t="shared" si="91"/>
        <v>0</v>
      </c>
      <c r="AX86" s="96">
        <f t="shared" si="92"/>
        <v>4.500000000000001E-6</v>
      </c>
      <c r="AY86" s="96">
        <f t="shared" si="93"/>
        <v>2.2225215937500004E-6</v>
      </c>
      <c r="AZ86" s="289">
        <f>AW86/DB!$B$23</f>
        <v>0</v>
      </c>
      <c r="BA86" s="289">
        <f>AX86/DB!$B$23</f>
        <v>5.4216867469879532E-9</v>
      </c>
    </row>
    <row r="87" spans="1:53" s="91" customFormat="1" ht="15" thickBot="1" x14ac:dyDescent="0.35">
      <c r="A87" s="81" t="s">
        <v>23</v>
      </c>
      <c r="B87" s="81" t="str">
        <f>B82</f>
        <v>РВС ЛВЖ</v>
      </c>
      <c r="C87" s="83" t="s">
        <v>148</v>
      </c>
      <c r="D87" s="84" t="s">
        <v>27</v>
      </c>
      <c r="E87" s="97">
        <f>E85</f>
        <v>1E-4</v>
      </c>
      <c r="F87" s="98">
        <f>F82</f>
        <v>1</v>
      </c>
      <c r="G87" s="81">
        <v>0.85499999999999998</v>
      </c>
      <c r="H87" s="86">
        <f t="shared" si="84"/>
        <v>8.5500000000000005E-5</v>
      </c>
      <c r="I87" s="99">
        <f>0.15*I82</f>
        <v>1.8539999999999999</v>
      </c>
      <c r="J87" s="101">
        <v>0</v>
      </c>
      <c r="K87" s="104" t="s">
        <v>138</v>
      </c>
      <c r="L87" s="104">
        <v>9</v>
      </c>
      <c r="M87" s="91" t="str">
        <f t="shared" si="85"/>
        <v>С6</v>
      </c>
      <c r="N87" s="91" t="str">
        <f t="shared" si="85"/>
        <v>РВС ЛВЖ</v>
      </c>
      <c r="O87" s="91" t="str">
        <f t="shared" si="86"/>
        <v>Частичное-ликвидация</v>
      </c>
      <c r="P87" s="91" t="s">
        <v>46</v>
      </c>
      <c r="Q87" s="91" t="s">
        <v>46</v>
      </c>
      <c r="R87" s="91" t="s">
        <v>46</v>
      </c>
      <c r="S87" s="91" t="s">
        <v>46</v>
      </c>
      <c r="T87" s="91" t="s">
        <v>46</v>
      </c>
      <c r="U87" s="91" t="s">
        <v>46</v>
      </c>
      <c r="V87" s="91" t="s">
        <v>46</v>
      </c>
      <c r="W87" s="91" t="s">
        <v>46</v>
      </c>
      <c r="X87" s="91" t="s">
        <v>46</v>
      </c>
      <c r="Y87" s="91" t="s">
        <v>46</v>
      </c>
      <c r="Z87" s="91" t="s">
        <v>46</v>
      </c>
      <c r="AA87" s="91" t="s">
        <v>46</v>
      </c>
      <c r="AB87" s="91" t="s">
        <v>46</v>
      </c>
      <c r="AC87" s="91" t="s">
        <v>46</v>
      </c>
      <c r="AD87" s="91" t="s">
        <v>46</v>
      </c>
      <c r="AE87" s="91" t="s">
        <v>46</v>
      </c>
      <c r="AF87" s="91" t="s">
        <v>46</v>
      </c>
      <c r="AG87" s="91" t="s">
        <v>46</v>
      </c>
      <c r="AH87" s="91" t="s">
        <v>46</v>
      </c>
      <c r="AI87" s="91" t="s">
        <v>46</v>
      </c>
      <c r="AJ87" s="91">
        <v>0</v>
      </c>
      <c r="AK87" s="91">
        <v>0</v>
      </c>
      <c r="AL87" s="91">
        <f>0.1*$AL$2</f>
        <v>7.5000000000000011E-2</v>
      </c>
      <c r="AM87" s="91">
        <f>AM82</f>
        <v>2.7E-2</v>
      </c>
      <c r="AN87" s="91">
        <f>ROUNDUP(AN82/3,0)</f>
        <v>1</v>
      </c>
      <c r="AQ87" s="94">
        <f>AM87*I87*0.1+AL87</f>
        <v>8.0005800000000016E-2</v>
      </c>
      <c r="AR87" s="94">
        <f t="shared" si="87"/>
        <v>8.0005800000000019E-3</v>
      </c>
      <c r="AS87" s="95">
        <f t="shared" si="88"/>
        <v>0</v>
      </c>
      <c r="AT87" s="95">
        <f t="shared" si="89"/>
        <v>2.2001595000000006E-2</v>
      </c>
      <c r="AU87" s="94">
        <f>1333*J86*POWER(10,-6)</f>
        <v>1.2496875E-4</v>
      </c>
      <c r="AV87" s="95">
        <f t="shared" si="90"/>
        <v>0.11013294375000002</v>
      </c>
      <c r="AW87" s="96">
        <f t="shared" si="91"/>
        <v>0</v>
      </c>
      <c r="AX87" s="96">
        <f t="shared" si="92"/>
        <v>0</v>
      </c>
      <c r="AY87" s="96">
        <f t="shared" si="93"/>
        <v>9.4163666906250021E-6</v>
      </c>
      <c r="AZ87" s="289">
        <f>AW87/DB!$B$23</f>
        <v>0</v>
      </c>
      <c r="BA87" s="289">
        <f>AX87/DB!$B$23</f>
        <v>0</v>
      </c>
    </row>
    <row r="88" spans="1:53" s="91" customFormat="1" x14ac:dyDescent="0.3">
      <c r="A88" s="92"/>
      <c r="B88" s="92"/>
      <c r="D88" s="183"/>
      <c r="E88" s="184"/>
      <c r="F88" s="185"/>
      <c r="G88" s="92"/>
      <c r="H88" s="96"/>
      <c r="I88" s="95"/>
      <c r="J88" s="92"/>
      <c r="K88" s="92"/>
      <c r="L88" s="92"/>
      <c r="AQ88" s="94"/>
      <c r="AR88" s="94"/>
      <c r="AS88" s="95"/>
      <c r="AT88" s="95"/>
      <c r="AU88" s="94"/>
      <c r="AV88" s="95"/>
      <c r="AW88" s="96"/>
      <c r="AX88" s="96"/>
      <c r="AY88" s="96"/>
    </row>
    <row r="89" spans="1:53" s="91" customFormat="1" x14ac:dyDescent="0.3">
      <c r="A89" s="92"/>
      <c r="B89" s="92"/>
      <c r="D89" s="183"/>
      <c r="E89" s="184"/>
      <c r="F89" s="185"/>
      <c r="G89" s="92"/>
      <c r="H89" s="96"/>
      <c r="I89" s="95"/>
      <c r="J89" s="92"/>
      <c r="K89" s="92"/>
      <c r="L89" s="92"/>
      <c r="AQ89" s="94"/>
      <c r="AR89" s="94"/>
      <c r="AS89" s="95"/>
      <c r="AT89" s="95"/>
      <c r="AU89" s="94"/>
      <c r="AV89" s="95"/>
      <c r="AW89" s="96"/>
      <c r="AX89" s="96"/>
      <c r="AY89" s="96"/>
    </row>
    <row r="90" spans="1:53" s="91" customFormat="1" x14ac:dyDescent="0.3">
      <c r="A90" s="92"/>
      <c r="B90" s="92"/>
      <c r="D90" s="183"/>
      <c r="E90" s="184"/>
      <c r="F90" s="185"/>
      <c r="G90" s="92"/>
      <c r="H90" s="96"/>
      <c r="I90" s="95"/>
      <c r="J90" s="92"/>
      <c r="K90" s="92"/>
      <c r="L90" s="92"/>
      <c r="AQ90" s="94"/>
      <c r="AR90" s="94"/>
      <c r="AS90" s="95"/>
      <c r="AT90" s="95"/>
      <c r="AU90" s="94"/>
      <c r="AV90" s="95"/>
      <c r="AW90" s="96"/>
      <c r="AX90" s="96"/>
      <c r="AY90" s="96"/>
    </row>
    <row r="91" spans="1:53" ht="15" thickBot="1" x14ac:dyDescent="0.35">
      <c r="E91" s="14"/>
      <c r="F91" s="14"/>
    </row>
    <row r="92" spans="1:53" s="91" customFormat="1" ht="15" thickBot="1" x14ac:dyDescent="0.35">
      <c r="A92" s="81" t="s">
        <v>18</v>
      </c>
      <c r="B92" s="82" t="s">
        <v>155</v>
      </c>
      <c r="C92" s="83" t="s">
        <v>143</v>
      </c>
      <c r="D92" s="84" t="s">
        <v>25</v>
      </c>
      <c r="E92" s="85">
        <v>1.0000000000000001E-5</v>
      </c>
      <c r="F92" s="82">
        <v>1</v>
      </c>
      <c r="G92" s="81">
        <v>0.1</v>
      </c>
      <c r="H92" s="86">
        <f t="shared" ref="H92:H97" si="94">E92*F92*G92</f>
        <v>1.0000000000000002E-6</v>
      </c>
      <c r="I92" s="87">
        <v>5.4</v>
      </c>
      <c r="J92" s="99">
        <f>I92</f>
        <v>5.4</v>
      </c>
      <c r="K92" s="89" t="s">
        <v>122</v>
      </c>
      <c r="L92" s="90">
        <v>5000</v>
      </c>
      <c r="M92" s="91" t="str">
        <f t="shared" ref="M92:N97" si="95">A92</f>
        <v>С1</v>
      </c>
      <c r="N92" s="91" t="str">
        <f t="shared" si="95"/>
        <v>РВС ЛВЖ+токси</v>
      </c>
      <c r="O92" s="91" t="str">
        <f t="shared" ref="O92:O97" si="96">D92</f>
        <v>Полное-пожар</v>
      </c>
      <c r="P92" s="91">
        <v>47.1</v>
      </c>
      <c r="Q92" s="91">
        <v>64.099999999999994</v>
      </c>
      <c r="R92" s="91">
        <v>90.1</v>
      </c>
      <c r="S92" s="91">
        <v>161.69999999999999</v>
      </c>
      <c r="T92" s="91" t="s">
        <v>46</v>
      </c>
      <c r="U92" s="91" t="s">
        <v>46</v>
      </c>
      <c r="V92" s="91" t="s">
        <v>46</v>
      </c>
      <c r="W92" s="91" t="s">
        <v>46</v>
      </c>
      <c r="X92" s="91" t="s">
        <v>46</v>
      </c>
      <c r="Y92" s="91" t="s">
        <v>46</v>
      </c>
      <c r="Z92" s="91" t="s">
        <v>46</v>
      </c>
      <c r="AA92" s="91" t="s">
        <v>46</v>
      </c>
      <c r="AB92" s="91" t="s">
        <v>46</v>
      </c>
      <c r="AC92" s="91" t="s">
        <v>46</v>
      </c>
      <c r="AD92" s="91" t="s">
        <v>46</v>
      </c>
      <c r="AE92" s="91" t="s">
        <v>46</v>
      </c>
      <c r="AF92" s="91" t="s">
        <v>46</v>
      </c>
      <c r="AG92" s="91" t="s">
        <v>46</v>
      </c>
      <c r="AH92" s="91" t="s">
        <v>46</v>
      </c>
      <c r="AI92" s="91" t="s">
        <v>46</v>
      </c>
      <c r="AJ92" s="92">
        <v>1</v>
      </c>
      <c r="AK92" s="92">
        <v>2</v>
      </c>
      <c r="AL92" s="93">
        <v>0.75</v>
      </c>
      <c r="AM92" s="93">
        <v>2.7E-2</v>
      </c>
      <c r="AN92" s="93">
        <v>3</v>
      </c>
      <c r="AQ92" s="94">
        <f>AM92*I92+AL92</f>
        <v>0.89580000000000004</v>
      </c>
      <c r="AR92" s="94">
        <f t="shared" ref="AR92:AR97" si="97">0.1*AQ92</f>
        <v>8.9580000000000007E-2</v>
      </c>
      <c r="AS92" s="95">
        <f t="shared" ref="AS92:AS97" si="98">AJ92*3+0.25*AK92</f>
        <v>3.5</v>
      </c>
      <c r="AT92" s="95">
        <f t="shared" ref="AT92:AT97" si="99">SUM(AQ92:AS92)/4</f>
        <v>1.121345</v>
      </c>
      <c r="AU92" s="94">
        <f>10068.2*J92*POWER(10,-6)</f>
        <v>5.4368280000000005E-2</v>
      </c>
      <c r="AV92" s="95">
        <f t="shared" ref="AV92:AV97" si="100">AU92+AT92+AS92+AR92+AQ92</f>
        <v>5.6610932800000002</v>
      </c>
      <c r="AW92" s="96">
        <f t="shared" ref="AW92:AW97" si="101">AJ92*H92</f>
        <v>1.0000000000000002E-6</v>
      </c>
      <c r="AX92" s="96">
        <f t="shared" ref="AX92:AX97" si="102">H92*AK92</f>
        <v>2.0000000000000003E-6</v>
      </c>
      <c r="AY92" s="96">
        <f t="shared" ref="AY92:AY97" si="103">H92*AV92</f>
        <v>5.6610932800000009E-6</v>
      </c>
      <c r="AZ92" s="289">
        <f>AW92/DB!$B$23</f>
        <v>1.2048192771084339E-9</v>
      </c>
      <c r="BA92" s="289">
        <f>AX92/DB!$B$23</f>
        <v>2.4096385542168678E-9</v>
      </c>
    </row>
    <row r="93" spans="1:53" s="91" customFormat="1" ht="15" thickBot="1" x14ac:dyDescent="0.35">
      <c r="A93" s="81" t="s">
        <v>19</v>
      </c>
      <c r="B93" s="81" t="str">
        <f>B92</f>
        <v>РВС ЛВЖ+токси</v>
      </c>
      <c r="C93" s="83" t="s">
        <v>149</v>
      </c>
      <c r="D93" s="84" t="s">
        <v>28</v>
      </c>
      <c r="E93" s="97">
        <f>E92</f>
        <v>1.0000000000000001E-5</v>
      </c>
      <c r="F93" s="98">
        <f>F92</f>
        <v>1</v>
      </c>
      <c r="G93" s="81">
        <v>0.18000000000000002</v>
      </c>
      <c r="H93" s="86">
        <f t="shared" si="94"/>
        <v>1.8000000000000003E-6</v>
      </c>
      <c r="I93" s="99">
        <f>I92</f>
        <v>5.4</v>
      </c>
      <c r="J93" s="82">
        <v>0.12</v>
      </c>
      <c r="K93" s="89" t="s">
        <v>123</v>
      </c>
      <c r="L93" s="90">
        <v>0</v>
      </c>
      <c r="M93" s="91" t="str">
        <f t="shared" si="95"/>
        <v>С2</v>
      </c>
      <c r="N93" s="91" t="str">
        <f t="shared" si="95"/>
        <v>РВС ЛВЖ+токси</v>
      </c>
      <c r="O93" s="91" t="str">
        <f t="shared" si="96"/>
        <v>Полное-взрыв</v>
      </c>
      <c r="P93" s="91" t="s">
        <v>46</v>
      </c>
      <c r="Q93" s="91" t="s">
        <v>46</v>
      </c>
      <c r="R93" s="91" t="s">
        <v>46</v>
      </c>
      <c r="S93" s="91" t="s">
        <v>46</v>
      </c>
      <c r="T93" s="91">
        <v>0</v>
      </c>
      <c r="U93" s="91">
        <v>0</v>
      </c>
      <c r="V93" s="91">
        <v>37.6</v>
      </c>
      <c r="W93" s="91">
        <v>124.6</v>
      </c>
      <c r="X93" s="91">
        <v>324.60000000000002</v>
      </c>
      <c r="Y93" s="91" t="s">
        <v>46</v>
      </c>
      <c r="Z93" s="91" t="s">
        <v>46</v>
      </c>
      <c r="AA93" s="91" t="s">
        <v>46</v>
      </c>
      <c r="AB93" s="91" t="s">
        <v>46</v>
      </c>
      <c r="AC93" s="91" t="s">
        <v>46</v>
      </c>
      <c r="AD93" s="91" t="s">
        <v>46</v>
      </c>
      <c r="AE93" s="91" t="s">
        <v>46</v>
      </c>
      <c r="AF93" s="91" t="s">
        <v>46</v>
      </c>
      <c r="AG93" s="91" t="s">
        <v>46</v>
      </c>
      <c r="AH93" s="91" t="s">
        <v>46</v>
      </c>
      <c r="AI93" s="91" t="s">
        <v>46</v>
      </c>
      <c r="AJ93" s="92">
        <v>2</v>
      </c>
      <c r="AK93" s="92">
        <v>2</v>
      </c>
      <c r="AL93" s="91">
        <f>AL92</f>
        <v>0.75</v>
      </c>
      <c r="AM93" s="91">
        <f>AM92</f>
        <v>2.7E-2</v>
      </c>
      <c r="AN93" s="91">
        <f>AN92</f>
        <v>3</v>
      </c>
      <c r="AQ93" s="94">
        <f>AM93*I93+AL93</f>
        <v>0.89580000000000004</v>
      </c>
      <c r="AR93" s="94">
        <f t="shared" si="97"/>
        <v>8.9580000000000007E-2</v>
      </c>
      <c r="AS93" s="95">
        <f t="shared" si="98"/>
        <v>6.5</v>
      </c>
      <c r="AT93" s="95">
        <f t="shared" si="99"/>
        <v>1.871345</v>
      </c>
      <c r="AU93" s="94">
        <f>AU92</f>
        <v>5.4368280000000005E-2</v>
      </c>
      <c r="AV93" s="95">
        <f t="shared" si="100"/>
        <v>9.4110932799999993</v>
      </c>
      <c r="AW93" s="96">
        <f t="shared" si="101"/>
        <v>3.6000000000000007E-6</v>
      </c>
      <c r="AX93" s="96">
        <f t="shared" si="102"/>
        <v>3.6000000000000007E-6</v>
      </c>
      <c r="AY93" s="96">
        <f t="shared" si="103"/>
        <v>1.6939967904000003E-5</v>
      </c>
      <c r="AZ93" s="289">
        <f>AW93/DB!$B$23</f>
        <v>4.3373493975903624E-9</v>
      </c>
      <c r="BA93" s="289">
        <f>AX93/DB!$B$23</f>
        <v>4.3373493975903624E-9</v>
      </c>
    </row>
    <row r="94" spans="1:53" s="91" customFormat="1" x14ac:dyDescent="0.3">
      <c r="A94" s="81" t="s">
        <v>20</v>
      </c>
      <c r="B94" s="81" t="str">
        <f>B92</f>
        <v>РВС ЛВЖ+токси</v>
      </c>
      <c r="C94" s="83" t="s">
        <v>150</v>
      </c>
      <c r="D94" s="84" t="s">
        <v>118</v>
      </c>
      <c r="E94" s="97">
        <f>E92</f>
        <v>1.0000000000000001E-5</v>
      </c>
      <c r="F94" s="98">
        <f>F92</f>
        <v>1</v>
      </c>
      <c r="G94" s="81">
        <v>0.72000000000000008</v>
      </c>
      <c r="H94" s="86">
        <f t="shared" si="94"/>
        <v>7.2000000000000014E-6</v>
      </c>
      <c r="I94" s="99">
        <f>I92</f>
        <v>5.4</v>
      </c>
      <c r="J94" s="81">
        <f>J93</f>
        <v>0.12</v>
      </c>
      <c r="K94" s="89" t="s">
        <v>124</v>
      </c>
      <c r="L94" s="90">
        <v>0</v>
      </c>
      <c r="M94" s="91" t="str">
        <f t="shared" si="95"/>
        <v>С3</v>
      </c>
      <c r="N94" s="91" t="str">
        <f t="shared" si="95"/>
        <v>РВС ЛВЖ+токси</v>
      </c>
      <c r="O94" s="91" t="str">
        <f t="shared" si="96"/>
        <v>Полное-токси</v>
      </c>
      <c r="P94" s="91" t="s">
        <v>46</v>
      </c>
      <c r="Q94" s="91" t="s">
        <v>46</v>
      </c>
      <c r="R94" s="91" t="s">
        <v>46</v>
      </c>
      <c r="S94" s="91" t="s">
        <v>46</v>
      </c>
      <c r="T94" s="91" t="s">
        <v>46</v>
      </c>
      <c r="U94" s="91" t="s">
        <v>46</v>
      </c>
      <c r="V94" s="91" t="s">
        <v>46</v>
      </c>
      <c r="W94" s="91" t="s">
        <v>46</v>
      </c>
      <c r="X94" s="91" t="s">
        <v>46</v>
      </c>
      <c r="Y94" s="91" t="s">
        <v>46</v>
      </c>
      <c r="Z94" s="91" t="s">
        <v>46</v>
      </c>
      <c r="AA94" s="91" t="s">
        <v>46</v>
      </c>
      <c r="AB94" s="91" t="s">
        <v>46</v>
      </c>
      <c r="AC94" s="91">
        <v>43.8</v>
      </c>
      <c r="AD94" s="91">
        <v>82.7</v>
      </c>
      <c r="AE94" s="91" t="s">
        <v>46</v>
      </c>
      <c r="AF94" s="91" t="s">
        <v>46</v>
      </c>
      <c r="AG94" s="91" t="s">
        <v>46</v>
      </c>
      <c r="AH94" s="91" t="s">
        <v>46</v>
      </c>
      <c r="AI94" s="91" t="s">
        <v>46</v>
      </c>
      <c r="AJ94" s="91">
        <v>0</v>
      </c>
      <c r="AK94" s="91">
        <v>1</v>
      </c>
      <c r="AL94" s="91">
        <f>AL92</f>
        <v>0.75</v>
      </c>
      <c r="AM94" s="91">
        <f>AM92</f>
        <v>2.7E-2</v>
      </c>
      <c r="AN94" s="91">
        <f>AN92</f>
        <v>3</v>
      </c>
      <c r="AQ94" s="94">
        <f>AM94*I94*0.1+AL94</f>
        <v>0.76458000000000004</v>
      </c>
      <c r="AR94" s="94">
        <f t="shared" si="97"/>
        <v>7.6458000000000012E-2</v>
      </c>
      <c r="AS94" s="95">
        <f t="shared" si="98"/>
        <v>0.25</v>
      </c>
      <c r="AT94" s="95">
        <f t="shared" si="99"/>
        <v>0.27275950000000004</v>
      </c>
      <c r="AU94" s="94">
        <f>1333*J93*POWER(10,-6)</f>
        <v>1.5996000000000001E-4</v>
      </c>
      <c r="AV94" s="95">
        <f t="shared" si="100"/>
        <v>1.36395746</v>
      </c>
      <c r="AW94" s="96">
        <f t="shared" si="101"/>
        <v>0</v>
      </c>
      <c r="AX94" s="96">
        <f t="shared" si="102"/>
        <v>7.2000000000000014E-6</v>
      </c>
      <c r="AY94" s="96">
        <f t="shared" si="103"/>
        <v>9.8204937120000012E-6</v>
      </c>
      <c r="AZ94" s="289">
        <f>AW94/DB!$B$23</f>
        <v>0</v>
      </c>
      <c r="BA94" s="289">
        <f>AX94/DB!$B$23</f>
        <v>8.6746987951807248E-9</v>
      </c>
    </row>
    <row r="95" spans="1:53" s="91" customFormat="1" x14ac:dyDescent="0.3">
      <c r="A95" s="81" t="s">
        <v>21</v>
      </c>
      <c r="B95" s="81" t="str">
        <f>B92</f>
        <v>РВС ЛВЖ+токси</v>
      </c>
      <c r="C95" s="83" t="s">
        <v>146</v>
      </c>
      <c r="D95" s="84" t="s">
        <v>47</v>
      </c>
      <c r="E95" s="85">
        <v>1E-4</v>
      </c>
      <c r="F95" s="98">
        <f>F92</f>
        <v>1</v>
      </c>
      <c r="G95" s="81">
        <v>0.1</v>
      </c>
      <c r="H95" s="86">
        <f t="shared" si="94"/>
        <v>1.0000000000000001E-5</v>
      </c>
      <c r="I95" s="99">
        <f>0.15*I92</f>
        <v>0.81</v>
      </c>
      <c r="J95" s="99">
        <f>I95</f>
        <v>0.81</v>
      </c>
      <c r="K95" s="102" t="s">
        <v>126</v>
      </c>
      <c r="L95" s="103">
        <v>45390</v>
      </c>
      <c r="M95" s="91" t="str">
        <f t="shared" si="95"/>
        <v>С4</v>
      </c>
      <c r="N95" s="91" t="str">
        <f t="shared" si="95"/>
        <v>РВС ЛВЖ+токси</v>
      </c>
      <c r="O95" s="91" t="str">
        <f t="shared" si="96"/>
        <v>Частичное-пожар</v>
      </c>
      <c r="P95" s="91">
        <v>18.600000000000001</v>
      </c>
      <c r="Q95" s="91">
        <v>25.8</v>
      </c>
      <c r="R95" s="91">
        <v>36.9</v>
      </c>
      <c r="S95" s="91">
        <v>68.8</v>
      </c>
      <c r="T95" s="91" t="s">
        <v>46</v>
      </c>
      <c r="U95" s="91" t="s">
        <v>46</v>
      </c>
      <c r="V95" s="91" t="s">
        <v>46</v>
      </c>
      <c r="W95" s="91" t="s">
        <v>46</v>
      </c>
      <c r="X95" s="91" t="s">
        <v>46</v>
      </c>
      <c r="Y95" s="91" t="s">
        <v>46</v>
      </c>
      <c r="Z95" s="91" t="s">
        <v>46</v>
      </c>
      <c r="AA95" s="91" t="s">
        <v>46</v>
      </c>
      <c r="AB95" s="91" t="s">
        <v>46</v>
      </c>
      <c r="AC95" s="91" t="s">
        <v>46</v>
      </c>
      <c r="AD95" s="91" t="s">
        <v>46</v>
      </c>
      <c r="AE95" s="91" t="s">
        <v>46</v>
      </c>
      <c r="AF95" s="91" t="s">
        <v>46</v>
      </c>
      <c r="AG95" s="91" t="s">
        <v>46</v>
      </c>
      <c r="AH95" s="91" t="s">
        <v>46</v>
      </c>
      <c r="AI95" s="91" t="s">
        <v>46</v>
      </c>
      <c r="AJ95" s="91">
        <v>0</v>
      </c>
      <c r="AK95" s="91">
        <v>2</v>
      </c>
      <c r="AL95" s="91">
        <f>0.1*$AL$2</f>
        <v>7.5000000000000011E-2</v>
      </c>
      <c r="AM95" s="91">
        <f>AM92</f>
        <v>2.7E-2</v>
      </c>
      <c r="AN95" s="91">
        <f>ROUNDUP(AN92/3,0)</f>
        <v>1</v>
      </c>
      <c r="AQ95" s="94">
        <f>AM95*I95+AL95</f>
        <v>9.6870000000000012E-2</v>
      </c>
      <c r="AR95" s="94">
        <f t="shared" si="97"/>
        <v>9.6870000000000012E-3</v>
      </c>
      <c r="AS95" s="95">
        <f t="shared" si="98"/>
        <v>0.5</v>
      </c>
      <c r="AT95" s="95">
        <f t="shared" si="99"/>
        <v>0.15163925</v>
      </c>
      <c r="AU95" s="94">
        <f>10068.2*J95*POWER(10,-6)</f>
        <v>8.155242E-3</v>
      </c>
      <c r="AV95" s="95">
        <f t="shared" si="100"/>
        <v>0.76635149200000008</v>
      </c>
      <c r="AW95" s="96">
        <f t="shared" si="101"/>
        <v>0</v>
      </c>
      <c r="AX95" s="96">
        <f t="shared" si="102"/>
        <v>2.0000000000000002E-5</v>
      </c>
      <c r="AY95" s="96">
        <f t="shared" si="103"/>
        <v>7.6635149200000012E-6</v>
      </c>
      <c r="AZ95" s="289">
        <f>AW95/DB!$B$23</f>
        <v>0</v>
      </c>
      <c r="BA95" s="289">
        <f>AX95/DB!$B$23</f>
        <v>2.4096385542168677E-8</v>
      </c>
    </row>
    <row r="96" spans="1:53" s="91" customFormat="1" x14ac:dyDescent="0.3">
      <c r="A96" s="81" t="s">
        <v>22</v>
      </c>
      <c r="B96" s="81" t="str">
        <f>B92</f>
        <v>РВС ЛВЖ+токси</v>
      </c>
      <c r="C96" s="83" t="s">
        <v>147</v>
      </c>
      <c r="D96" s="84" t="s">
        <v>112</v>
      </c>
      <c r="E96" s="97">
        <f>E95</f>
        <v>1E-4</v>
      </c>
      <c r="F96" s="98">
        <f>F92</f>
        <v>1</v>
      </c>
      <c r="G96" s="81">
        <v>4.5000000000000005E-2</v>
      </c>
      <c r="H96" s="86">
        <f t="shared" si="94"/>
        <v>4.500000000000001E-6</v>
      </c>
      <c r="I96" s="99">
        <f>0.15*I92</f>
        <v>0.81</v>
      </c>
      <c r="J96" s="99">
        <f>0.15*J93</f>
        <v>1.7999999999999999E-2</v>
      </c>
      <c r="K96" s="102" t="s">
        <v>127</v>
      </c>
      <c r="L96" s="103">
        <v>3</v>
      </c>
      <c r="M96" s="91" t="str">
        <f t="shared" si="95"/>
        <v>С5</v>
      </c>
      <c r="N96" s="91" t="str">
        <f t="shared" si="95"/>
        <v>РВС ЛВЖ+токси</v>
      </c>
      <c r="O96" s="91" t="str">
        <f t="shared" si="96"/>
        <v>Частичное-пожар-вспышка</v>
      </c>
      <c r="P96" s="91" t="s">
        <v>46</v>
      </c>
      <c r="Q96" s="91" t="s">
        <v>46</v>
      </c>
      <c r="R96" s="91" t="s">
        <v>46</v>
      </c>
      <c r="S96" s="91" t="s">
        <v>46</v>
      </c>
      <c r="T96" s="91" t="s">
        <v>46</v>
      </c>
      <c r="U96" s="91" t="s">
        <v>46</v>
      </c>
      <c r="V96" s="91" t="s">
        <v>46</v>
      </c>
      <c r="W96" s="91" t="s">
        <v>46</v>
      </c>
      <c r="X96" s="91" t="s">
        <v>46</v>
      </c>
      <c r="Y96" s="91" t="s">
        <v>46</v>
      </c>
      <c r="Z96" s="91" t="s">
        <v>46</v>
      </c>
      <c r="AA96" s="91">
        <v>8.9</v>
      </c>
      <c r="AB96" s="91">
        <v>10.68</v>
      </c>
      <c r="AC96" s="91" t="s">
        <v>46</v>
      </c>
      <c r="AD96" s="91" t="s">
        <v>46</v>
      </c>
      <c r="AE96" s="91" t="s">
        <v>46</v>
      </c>
      <c r="AF96" s="91" t="s">
        <v>46</v>
      </c>
      <c r="AG96" s="91" t="s">
        <v>46</v>
      </c>
      <c r="AH96" s="91" t="s">
        <v>46</v>
      </c>
      <c r="AI96" s="91" t="s">
        <v>46</v>
      </c>
      <c r="AJ96" s="91">
        <v>0</v>
      </c>
      <c r="AK96" s="91">
        <v>1</v>
      </c>
      <c r="AL96" s="91">
        <f>0.1*$AL$2</f>
        <v>7.5000000000000011E-2</v>
      </c>
      <c r="AM96" s="91">
        <f>AM92</f>
        <v>2.7E-2</v>
      </c>
      <c r="AN96" s="91">
        <f>ROUNDUP(AN92/3,0)</f>
        <v>1</v>
      </c>
      <c r="AQ96" s="94">
        <f>AM96*I96+AL96</f>
        <v>9.6870000000000012E-2</v>
      </c>
      <c r="AR96" s="94">
        <f t="shared" si="97"/>
        <v>9.6870000000000012E-3</v>
      </c>
      <c r="AS96" s="95">
        <f t="shared" si="98"/>
        <v>0.25</v>
      </c>
      <c r="AT96" s="95">
        <f t="shared" si="99"/>
        <v>8.9139250000000003E-2</v>
      </c>
      <c r="AU96" s="94">
        <f>10068.2*J96*POWER(10,-6)*10</f>
        <v>1.8122759999999998E-3</v>
      </c>
      <c r="AV96" s="95">
        <f t="shared" si="100"/>
        <v>0.44750852600000002</v>
      </c>
      <c r="AW96" s="96">
        <f t="shared" si="101"/>
        <v>0</v>
      </c>
      <c r="AX96" s="96">
        <f t="shared" si="102"/>
        <v>4.500000000000001E-6</v>
      </c>
      <c r="AY96" s="96">
        <f t="shared" si="103"/>
        <v>2.0137883670000004E-6</v>
      </c>
      <c r="AZ96" s="289">
        <f>AW96/DB!$B$23</f>
        <v>0</v>
      </c>
      <c r="BA96" s="289">
        <f>AX96/DB!$B$23</f>
        <v>5.4216867469879532E-9</v>
      </c>
    </row>
    <row r="97" spans="1:53" s="91" customFormat="1" ht="15" thickBot="1" x14ac:dyDescent="0.35">
      <c r="A97" s="81" t="s">
        <v>23</v>
      </c>
      <c r="B97" s="81" t="str">
        <f>B92</f>
        <v>РВС ЛВЖ+токси</v>
      </c>
      <c r="C97" s="83" t="s">
        <v>151</v>
      </c>
      <c r="D97" s="84" t="s">
        <v>119</v>
      </c>
      <c r="E97" s="97">
        <f>E95</f>
        <v>1E-4</v>
      </c>
      <c r="F97" s="98">
        <f>F92</f>
        <v>1</v>
      </c>
      <c r="G97" s="81">
        <v>0.85499999999999998</v>
      </c>
      <c r="H97" s="86">
        <f t="shared" si="94"/>
        <v>8.5500000000000005E-5</v>
      </c>
      <c r="I97" s="99">
        <f>0.15*I92</f>
        <v>0.81</v>
      </c>
      <c r="J97" s="99">
        <f>J96</f>
        <v>1.7999999999999999E-2</v>
      </c>
      <c r="K97" s="104" t="s">
        <v>138</v>
      </c>
      <c r="L97" s="104">
        <v>10</v>
      </c>
      <c r="M97" s="91" t="str">
        <f t="shared" si="95"/>
        <v>С6</v>
      </c>
      <c r="N97" s="91" t="str">
        <f t="shared" si="95"/>
        <v>РВС ЛВЖ+токси</v>
      </c>
      <c r="O97" s="91" t="str">
        <f t="shared" si="96"/>
        <v>Частичное-токси</v>
      </c>
      <c r="P97" s="91" t="s">
        <v>46</v>
      </c>
      <c r="Q97" s="91" t="s">
        <v>46</v>
      </c>
      <c r="R97" s="91" t="s">
        <v>46</v>
      </c>
      <c r="S97" s="91" t="s">
        <v>46</v>
      </c>
      <c r="T97" s="91" t="s">
        <v>46</v>
      </c>
      <c r="U97" s="91" t="s">
        <v>46</v>
      </c>
      <c r="V97" s="91" t="s">
        <v>46</v>
      </c>
      <c r="W97" s="91" t="s">
        <v>46</v>
      </c>
      <c r="X97" s="91" t="s">
        <v>46</v>
      </c>
      <c r="Y97" s="91" t="s">
        <v>46</v>
      </c>
      <c r="Z97" s="91" t="s">
        <v>46</v>
      </c>
      <c r="AA97" s="91" t="s">
        <v>46</v>
      </c>
      <c r="AB97" s="91" t="s">
        <v>46</v>
      </c>
      <c r="AC97" s="91">
        <v>6.6</v>
      </c>
      <c r="AD97" s="91">
        <v>12.4</v>
      </c>
      <c r="AE97" s="91" t="s">
        <v>46</v>
      </c>
      <c r="AF97" s="91" t="s">
        <v>46</v>
      </c>
      <c r="AG97" s="91" t="s">
        <v>46</v>
      </c>
      <c r="AH97" s="91" t="s">
        <v>46</v>
      </c>
      <c r="AI97" s="91" t="s">
        <v>46</v>
      </c>
      <c r="AJ97" s="91">
        <v>0</v>
      </c>
      <c r="AK97" s="91">
        <v>1</v>
      </c>
      <c r="AL97" s="91">
        <f>0.1*$AL$2</f>
        <v>7.5000000000000011E-2</v>
      </c>
      <c r="AM97" s="91">
        <f>AM92</f>
        <v>2.7E-2</v>
      </c>
      <c r="AN97" s="91">
        <f>ROUNDUP(AN92/3,0)</f>
        <v>1</v>
      </c>
      <c r="AQ97" s="94">
        <f>AM97*I97*0.1+AL97</f>
        <v>7.7187000000000006E-2</v>
      </c>
      <c r="AR97" s="94">
        <f t="shared" si="97"/>
        <v>7.7187000000000011E-3</v>
      </c>
      <c r="AS97" s="95">
        <f t="shared" si="98"/>
        <v>0.25</v>
      </c>
      <c r="AT97" s="95">
        <f t="shared" si="99"/>
        <v>8.3726424999999993E-2</v>
      </c>
      <c r="AU97" s="94">
        <f>1333*J96*POWER(10,-6)</f>
        <v>2.3993999999999998E-5</v>
      </c>
      <c r="AV97" s="95">
        <f t="shared" si="100"/>
        <v>0.41865611900000005</v>
      </c>
      <c r="AW97" s="96">
        <f t="shared" si="101"/>
        <v>0</v>
      </c>
      <c r="AX97" s="96">
        <f t="shared" si="102"/>
        <v>8.5500000000000005E-5</v>
      </c>
      <c r="AY97" s="96">
        <f t="shared" si="103"/>
        <v>3.5795098174500009E-5</v>
      </c>
      <c r="AZ97" s="289">
        <f>AW97/DB!$B$23</f>
        <v>0</v>
      </c>
      <c r="BA97" s="289">
        <f>AX97/DB!$B$23</f>
        <v>1.0301204819277109E-7</v>
      </c>
    </row>
    <row r="98" spans="1:53" s="91" customFormat="1" x14ac:dyDescent="0.3">
      <c r="A98" s="92"/>
      <c r="B98" s="92"/>
      <c r="D98" s="183"/>
      <c r="E98" s="184"/>
      <c r="F98" s="185"/>
      <c r="G98" s="92"/>
      <c r="H98" s="96"/>
      <c r="I98" s="95"/>
      <c r="J98" s="92"/>
      <c r="K98" s="92"/>
      <c r="L98" s="92"/>
      <c r="AQ98" s="94"/>
      <c r="AR98" s="94"/>
      <c r="AS98" s="95"/>
      <c r="AT98" s="95"/>
      <c r="AU98" s="94"/>
      <c r="AV98" s="95"/>
      <c r="AW98" s="96"/>
      <c r="AX98" s="96"/>
      <c r="AY98" s="96"/>
    </row>
    <row r="99" spans="1:53" s="91" customFormat="1" x14ac:dyDescent="0.3">
      <c r="A99" s="92"/>
      <c r="B99" s="92"/>
      <c r="D99" s="183"/>
      <c r="E99" s="184"/>
      <c r="F99" s="185"/>
      <c r="G99" s="92"/>
      <c r="H99" s="96"/>
      <c r="I99" s="95"/>
      <c r="J99" s="92"/>
      <c r="K99" s="92"/>
      <c r="L99" s="92"/>
      <c r="AQ99" s="94"/>
      <c r="AR99" s="94"/>
      <c r="AS99" s="95"/>
      <c r="AT99" s="95"/>
      <c r="AU99" s="94"/>
      <c r="AV99" s="95"/>
      <c r="AW99" s="96"/>
      <c r="AX99" s="96"/>
      <c r="AY99" s="96"/>
    </row>
    <row r="100" spans="1:53" s="91" customFormat="1" x14ac:dyDescent="0.3">
      <c r="A100" s="92"/>
      <c r="B100" s="92"/>
      <c r="D100" s="183"/>
      <c r="E100" s="184"/>
      <c r="F100" s="185"/>
      <c r="G100" s="92"/>
      <c r="H100" s="96"/>
      <c r="I100" s="95"/>
      <c r="J100" s="92"/>
      <c r="K100" s="92"/>
      <c r="L100" s="92"/>
      <c r="AQ100" s="94"/>
      <c r="AR100" s="94"/>
      <c r="AS100" s="95"/>
      <c r="AT100" s="95"/>
      <c r="AU100" s="94"/>
      <c r="AV100" s="95"/>
      <c r="AW100" s="96"/>
      <c r="AX100" s="96"/>
      <c r="AY100" s="96"/>
    </row>
    <row r="101" spans="1:53" ht="15" thickBot="1" x14ac:dyDescent="0.35"/>
    <row r="102" spans="1:53" s="91" customFormat="1" ht="15" thickBot="1" x14ac:dyDescent="0.35">
      <c r="A102" s="81" t="s">
        <v>18</v>
      </c>
      <c r="B102" s="82" t="s">
        <v>156</v>
      </c>
      <c r="C102" s="83" t="s">
        <v>143</v>
      </c>
      <c r="D102" s="84" t="s">
        <v>25</v>
      </c>
      <c r="E102" s="85">
        <v>1.0000000000000001E-5</v>
      </c>
      <c r="F102" s="82">
        <v>1</v>
      </c>
      <c r="G102" s="81">
        <v>0.1</v>
      </c>
      <c r="H102" s="86">
        <f t="shared" ref="H102:H107" si="104">E102*F102*G102</f>
        <v>1.0000000000000002E-6</v>
      </c>
      <c r="I102" s="87">
        <v>12.36</v>
      </c>
      <c r="J102" s="99">
        <f>I102</f>
        <v>12.36</v>
      </c>
      <c r="K102" s="89" t="s">
        <v>122</v>
      </c>
      <c r="L102" s="90">
        <v>5000</v>
      </c>
      <c r="M102" s="91" t="str">
        <f t="shared" ref="M102:M107" si="105">A102</f>
        <v>С1</v>
      </c>
      <c r="N102" s="91" t="str">
        <f t="shared" ref="N102:N107" si="106">B102</f>
        <v>РВС ГЖ</v>
      </c>
      <c r="O102" s="91" t="str">
        <f t="shared" ref="O102:O107" si="107">D102</f>
        <v>Полное-пожар</v>
      </c>
      <c r="P102" s="91" t="s">
        <v>46</v>
      </c>
      <c r="Q102" s="91" t="s">
        <v>46</v>
      </c>
      <c r="R102" s="91" t="s">
        <v>46</v>
      </c>
      <c r="S102" s="91" t="s">
        <v>46</v>
      </c>
      <c r="T102" s="91" t="s">
        <v>46</v>
      </c>
      <c r="U102" s="91" t="s">
        <v>46</v>
      </c>
      <c r="V102" s="91" t="s">
        <v>46</v>
      </c>
      <c r="W102" s="91" t="s">
        <v>46</v>
      </c>
      <c r="X102" s="91" t="s">
        <v>46</v>
      </c>
      <c r="Y102" s="91" t="s">
        <v>46</v>
      </c>
      <c r="Z102" s="91" t="s">
        <v>46</v>
      </c>
      <c r="AA102" s="91" t="s">
        <v>46</v>
      </c>
      <c r="AB102" s="91" t="s">
        <v>46</v>
      </c>
      <c r="AC102" s="91" t="s">
        <v>46</v>
      </c>
      <c r="AD102" s="91" t="s">
        <v>46</v>
      </c>
      <c r="AE102" s="91" t="s">
        <v>46</v>
      </c>
      <c r="AF102" s="91" t="s">
        <v>46</v>
      </c>
      <c r="AG102" s="91" t="s">
        <v>46</v>
      </c>
      <c r="AH102" s="91" t="s">
        <v>46</v>
      </c>
      <c r="AI102" s="91" t="s">
        <v>46</v>
      </c>
      <c r="AJ102" s="92">
        <v>1</v>
      </c>
      <c r="AK102" s="92">
        <v>2</v>
      </c>
      <c r="AL102" s="93">
        <v>0.75</v>
      </c>
      <c r="AM102" s="93">
        <v>2.7E-2</v>
      </c>
      <c r="AN102" s="93">
        <v>3</v>
      </c>
      <c r="AQ102" s="94">
        <f>AM102*I102+AL102</f>
        <v>1.08372</v>
      </c>
      <c r="AR102" s="94">
        <f t="shared" ref="AR102:AR107" si="108">0.1*AQ102</f>
        <v>0.10837200000000001</v>
      </c>
      <c r="AS102" s="95">
        <f t="shared" ref="AS102:AS107" si="109">AJ102*3+0.25*AK102</f>
        <v>3.5</v>
      </c>
      <c r="AT102" s="95">
        <f t="shared" ref="AT102:AT107" si="110">SUM(AQ102:AS102)/4</f>
        <v>1.1730229999999999</v>
      </c>
      <c r="AU102" s="94">
        <f>10068.2*J102*POWER(10,-6)</f>
        <v>0.124442952</v>
      </c>
      <c r="AV102" s="95">
        <f t="shared" ref="AV102:AV107" si="111">AU102+AT102+AS102+AR102+AQ102</f>
        <v>5.9895579520000002</v>
      </c>
      <c r="AW102" s="96">
        <f t="shared" ref="AW102:AW107" si="112">AJ102*H102</f>
        <v>1.0000000000000002E-6</v>
      </c>
      <c r="AX102" s="96">
        <f t="shared" ref="AX102:AX107" si="113">H102*AK102</f>
        <v>2.0000000000000003E-6</v>
      </c>
      <c r="AY102" s="96">
        <f t="shared" ref="AY102:AY107" si="114">H102*AV102</f>
        <v>5.989557952000001E-6</v>
      </c>
      <c r="AZ102" s="289">
        <f>AW102/DB!$B$23</f>
        <v>1.2048192771084339E-9</v>
      </c>
      <c r="BA102" s="289">
        <f>AX102/DB!$B$23</f>
        <v>2.4096385542168678E-9</v>
      </c>
    </row>
    <row r="103" spans="1:53" s="91" customFormat="1" ht="15" thickBot="1" x14ac:dyDescent="0.35">
      <c r="A103" s="81" t="s">
        <v>19</v>
      </c>
      <c r="B103" s="81" t="str">
        <f>B102</f>
        <v>РВС ГЖ</v>
      </c>
      <c r="C103" s="83" t="s">
        <v>152</v>
      </c>
      <c r="D103" s="84" t="s">
        <v>25</v>
      </c>
      <c r="E103" s="97">
        <f>E102</f>
        <v>1.0000000000000001E-5</v>
      </c>
      <c r="F103" s="98">
        <f>F102</f>
        <v>1</v>
      </c>
      <c r="G103" s="81">
        <v>0.18000000000000002</v>
      </c>
      <c r="H103" s="86">
        <f t="shared" si="104"/>
        <v>1.8000000000000003E-6</v>
      </c>
      <c r="I103" s="99">
        <f>I102</f>
        <v>12.36</v>
      </c>
      <c r="J103" s="99">
        <f>I102</f>
        <v>12.36</v>
      </c>
      <c r="K103" s="89" t="s">
        <v>123</v>
      </c>
      <c r="L103" s="90">
        <v>0</v>
      </c>
      <c r="M103" s="91" t="str">
        <f t="shared" si="105"/>
        <v>С2</v>
      </c>
      <c r="N103" s="91" t="str">
        <f t="shared" si="106"/>
        <v>РВС ГЖ</v>
      </c>
      <c r="O103" s="91" t="str">
        <f t="shared" si="107"/>
        <v>Полное-пожар</v>
      </c>
      <c r="P103" s="91" t="s">
        <v>46</v>
      </c>
      <c r="Q103" s="91" t="s">
        <v>46</v>
      </c>
      <c r="R103" s="91" t="s">
        <v>46</v>
      </c>
      <c r="S103" s="91" t="s">
        <v>46</v>
      </c>
      <c r="T103" s="91" t="s">
        <v>46</v>
      </c>
      <c r="U103" s="91" t="s">
        <v>46</v>
      </c>
      <c r="V103" s="91" t="s">
        <v>46</v>
      </c>
      <c r="W103" s="91" t="s">
        <v>46</v>
      </c>
      <c r="X103" s="91" t="s">
        <v>46</v>
      </c>
      <c r="Y103" s="91" t="s">
        <v>46</v>
      </c>
      <c r="Z103" s="91" t="s">
        <v>46</v>
      </c>
      <c r="AA103" s="91" t="s">
        <v>46</v>
      </c>
      <c r="AB103" s="91" t="s">
        <v>46</v>
      </c>
      <c r="AC103" s="91" t="s">
        <v>46</v>
      </c>
      <c r="AD103" s="91" t="s">
        <v>46</v>
      </c>
      <c r="AE103" s="91" t="s">
        <v>46</v>
      </c>
      <c r="AF103" s="91" t="s">
        <v>46</v>
      </c>
      <c r="AG103" s="91" t="s">
        <v>46</v>
      </c>
      <c r="AH103" s="91" t="s">
        <v>46</v>
      </c>
      <c r="AI103" s="91" t="s">
        <v>46</v>
      </c>
      <c r="AJ103" s="92">
        <v>2</v>
      </c>
      <c r="AK103" s="92">
        <v>2</v>
      </c>
      <c r="AL103" s="91">
        <f>AL102</f>
        <v>0.75</v>
      </c>
      <c r="AM103" s="91">
        <f>AM102</f>
        <v>2.7E-2</v>
      </c>
      <c r="AN103" s="91">
        <f>AN102</f>
        <v>3</v>
      </c>
      <c r="AQ103" s="94">
        <f>AM103*I103+AL103</f>
        <v>1.08372</v>
      </c>
      <c r="AR103" s="94">
        <f t="shared" si="108"/>
        <v>0.10837200000000001</v>
      </c>
      <c r="AS103" s="95">
        <f t="shared" si="109"/>
        <v>6.5</v>
      </c>
      <c r="AT103" s="95">
        <f t="shared" si="110"/>
        <v>1.9230229999999999</v>
      </c>
      <c r="AU103" s="94">
        <f>10068.2*J103*POWER(10,-6)*10</f>
        <v>1.24442952</v>
      </c>
      <c r="AV103" s="95">
        <f t="shared" si="111"/>
        <v>10.859544519999998</v>
      </c>
      <c r="AW103" s="96">
        <f t="shared" si="112"/>
        <v>3.6000000000000007E-6</v>
      </c>
      <c r="AX103" s="96">
        <f t="shared" si="113"/>
        <v>3.6000000000000007E-6</v>
      </c>
      <c r="AY103" s="96">
        <f t="shared" si="114"/>
        <v>1.9547180136E-5</v>
      </c>
      <c r="AZ103" s="289">
        <f>AW103/DB!$B$23</f>
        <v>4.3373493975903624E-9</v>
      </c>
      <c r="BA103" s="289">
        <f>AX103/DB!$B$23</f>
        <v>4.3373493975903624E-9</v>
      </c>
    </row>
    <row r="104" spans="1:53" s="91" customFormat="1" x14ac:dyDescent="0.3">
      <c r="A104" s="81" t="s">
        <v>20</v>
      </c>
      <c r="B104" s="81" t="str">
        <f>B102</f>
        <v>РВС ГЖ</v>
      </c>
      <c r="C104" s="83" t="s">
        <v>145</v>
      </c>
      <c r="D104" s="84" t="s">
        <v>26</v>
      </c>
      <c r="E104" s="97">
        <f>E102</f>
        <v>1.0000000000000001E-5</v>
      </c>
      <c r="F104" s="98">
        <f>F102</f>
        <v>1</v>
      </c>
      <c r="G104" s="81">
        <v>0.72000000000000008</v>
      </c>
      <c r="H104" s="86">
        <f t="shared" si="104"/>
        <v>7.2000000000000014E-6</v>
      </c>
      <c r="I104" s="99">
        <f>I102</f>
        <v>12.36</v>
      </c>
      <c r="J104" s="81">
        <v>0</v>
      </c>
      <c r="K104" s="89" t="s">
        <v>124</v>
      </c>
      <c r="L104" s="90">
        <v>0</v>
      </c>
      <c r="M104" s="91" t="str">
        <f t="shared" si="105"/>
        <v>С3</v>
      </c>
      <c r="N104" s="91" t="str">
        <f t="shared" si="106"/>
        <v>РВС ГЖ</v>
      </c>
      <c r="O104" s="91" t="str">
        <f t="shared" si="107"/>
        <v>Полное-ликвидация</v>
      </c>
      <c r="P104" s="91" t="s">
        <v>46</v>
      </c>
      <c r="Q104" s="91" t="s">
        <v>46</v>
      </c>
      <c r="R104" s="91" t="s">
        <v>46</v>
      </c>
      <c r="S104" s="91" t="s">
        <v>46</v>
      </c>
      <c r="T104" s="91" t="s">
        <v>46</v>
      </c>
      <c r="U104" s="91" t="s">
        <v>46</v>
      </c>
      <c r="V104" s="91" t="s">
        <v>46</v>
      </c>
      <c r="W104" s="91" t="s">
        <v>46</v>
      </c>
      <c r="X104" s="91" t="s">
        <v>46</v>
      </c>
      <c r="Y104" s="91" t="s">
        <v>46</v>
      </c>
      <c r="Z104" s="91" t="s">
        <v>46</v>
      </c>
      <c r="AA104" s="91" t="s">
        <v>46</v>
      </c>
      <c r="AB104" s="91" t="s">
        <v>46</v>
      </c>
      <c r="AC104" s="91" t="s">
        <v>46</v>
      </c>
      <c r="AD104" s="91" t="s">
        <v>46</v>
      </c>
      <c r="AE104" s="91" t="s">
        <v>46</v>
      </c>
      <c r="AF104" s="91" t="s">
        <v>46</v>
      </c>
      <c r="AG104" s="91" t="s">
        <v>46</v>
      </c>
      <c r="AH104" s="91" t="s">
        <v>46</v>
      </c>
      <c r="AI104" s="91" t="s">
        <v>46</v>
      </c>
      <c r="AJ104" s="91">
        <v>0</v>
      </c>
      <c r="AK104" s="91">
        <v>0</v>
      </c>
      <c r="AL104" s="91">
        <f>AL102</f>
        <v>0.75</v>
      </c>
      <c r="AM104" s="91">
        <f>AM102</f>
        <v>2.7E-2</v>
      </c>
      <c r="AN104" s="91">
        <f>AN102</f>
        <v>3</v>
      </c>
      <c r="AQ104" s="94">
        <f>AM104*I104*0.1+AL104</f>
        <v>0.78337199999999996</v>
      </c>
      <c r="AR104" s="94">
        <f t="shared" si="108"/>
        <v>7.8337199999999996E-2</v>
      </c>
      <c r="AS104" s="95">
        <f t="shared" si="109"/>
        <v>0</v>
      </c>
      <c r="AT104" s="95">
        <f t="shared" si="110"/>
        <v>0.21542729999999999</v>
      </c>
      <c r="AU104" s="94">
        <f>1333*J103*POWER(10,-6)</f>
        <v>1.6475880000000002E-2</v>
      </c>
      <c r="AV104" s="95">
        <f t="shared" si="111"/>
        <v>1.0936123799999999</v>
      </c>
      <c r="AW104" s="96">
        <f t="shared" si="112"/>
        <v>0</v>
      </c>
      <c r="AX104" s="96">
        <f t="shared" si="113"/>
        <v>0</v>
      </c>
      <c r="AY104" s="96">
        <f t="shared" si="114"/>
        <v>7.8740091360000004E-6</v>
      </c>
      <c r="AZ104" s="289">
        <f>AW104/DB!$B$23</f>
        <v>0</v>
      </c>
      <c r="BA104" s="289">
        <f>AX104/DB!$B$23</f>
        <v>0</v>
      </c>
    </row>
    <row r="105" spans="1:53" s="91" customFormat="1" x14ac:dyDescent="0.3">
      <c r="A105" s="81" t="s">
        <v>21</v>
      </c>
      <c r="B105" s="81" t="str">
        <f>B102</f>
        <v>РВС ГЖ</v>
      </c>
      <c r="C105" s="83" t="s">
        <v>146</v>
      </c>
      <c r="D105" s="84" t="s">
        <v>47</v>
      </c>
      <c r="E105" s="85">
        <v>1E-4</v>
      </c>
      <c r="F105" s="98">
        <f>F102</f>
        <v>1</v>
      </c>
      <c r="G105" s="81">
        <v>0.1</v>
      </c>
      <c r="H105" s="86">
        <f t="shared" si="104"/>
        <v>1.0000000000000001E-5</v>
      </c>
      <c r="I105" s="99">
        <f>0.15*I102</f>
        <v>1.8539999999999999</v>
      </c>
      <c r="J105" s="99">
        <f>I105</f>
        <v>1.8539999999999999</v>
      </c>
      <c r="K105" s="102" t="s">
        <v>126</v>
      </c>
      <c r="L105" s="103">
        <v>45390</v>
      </c>
      <c r="M105" s="91" t="str">
        <f t="shared" si="105"/>
        <v>С4</v>
      </c>
      <c r="N105" s="91" t="str">
        <f t="shared" si="106"/>
        <v>РВС ГЖ</v>
      </c>
      <c r="O105" s="91" t="str">
        <f t="shared" si="107"/>
        <v>Частичное-пожар</v>
      </c>
      <c r="P105" s="91" t="s">
        <v>46</v>
      </c>
      <c r="Q105" s="91" t="s">
        <v>46</v>
      </c>
      <c r="R105" s="91" t="s">
        <v>46</v>
      </c>
      <c r="S105" s="91" t="s">
        <v>46</v>
      </c>
      <c r="T105" s="91" t="s">
        <v>46</v>
      </c>
      <c r="U105" s="91" t="s">
        <v>46</v>
      </c>
      <c r="V105" s="91" t="s">
        <v>46</v>
      </c>
      <c r="W105" s="91" t="s">
        <v>46</v>
      </c>
      <c r="X105" s="91" t="s">
        <v>46</v>
      </c>
      <c r="Y105" s="91" t="s">
        <v>46</v>
      </c>
      <c r="Z105" s="91" t="s">
        <v>46</v>
      </c>
      <c r="AA105" s="91" t="s">
        <v>46</v>
      </c>
      <c r="AB105" s="91" t="s">
        <v>46</v>
      </c>
      <c r="AC105" s="91" t="s">
        <v>46</v>
      </c>
      <c r="AD105" s="91" t="s">
        <v>46</v>
      </c>
      <c r="AE105" s="91" t="s">
        <v>46</v>
      </c>
      <c r="AF105" s="91" t="s">
        <v>46</v>
      </c>
      <c r="AG105" s="91" t="s">
        <v>46</v>
      </c>
      <c r="AH105" s="91" t="s">
        <v>46</v>
      </c>
      <c r="AI105" s="91" t="s">
        <v>46</v>
      </c>
      <c r="AJ105" s="91">
        <v>0</v>
      </c>
      <c r="AK105" s="91">
        <v>2</v>
      </c>
      <c r="AL105" s="91">
        <f>0.1*$AL$2</f>
        <v>7.5000000000000011E-2</v>
      </c>
      <c r="AM105" s="91">
        <f>AM102</f>
        <v>2.7E-2</v>
      </c>
      <c r="AN105" s="91">
        <f>ROUNDUP(AN102/3,0)</f>
        <v>1</v>
      </c>
      <c r="AQ105" s="94">
        <f>AM105*I105+AL105</f>
        <v>0.125058</v>
      </c>
      <c r="AR105" s="94">
        <f t="shared" si="108"/>
        <v>1.2505800000000001E-2</v>
      </c>
      <c r="AS105" s="95">
        <f t="shared" si="109"/>
        <v>0.5</v>
      </c>
      <c r="AT105" s="95">
        <f t="shared" si="110"/>
        <v>0.15939095</v>
      </c>
      <c r="AU105" s="94">
        <f>10068.2*J105*POWER(10,-6)</f>
        <v>1.8666442799999999E-2</v>
      </c>
      <c r="AV105" s="95">
        <f t="shared" si="111"/>
        <v>0.81562119280000001</v>
      </c>
      <c r="AW105" s="96">
        <f t="shared" si="112"/>
        <v>0</v>
      </c>
      <c r="AX105" s="96">
        <f t="shared" si="113"/>
        <v>2.0000000000000002E-5</v>
      </c>
      <c r="AY105" s="96">
        <f t="shared" si="114"/>
        <v>8.156211928E-6</v>
      </c>
      <c r="AZ105" s="289">
        <f>AW105/DB!$B$23</f>
        <v>0</v>
      </c>
      <c r="BA105" s="289">
        <f>AX105/DB!$B$23</f>
        <v>2.4096385542168677E-8</v>
      </c>
    </row>
    <row r="106" spans="1:53" s="91" customFormat="1" x14ac:dyDescent="0.3">
      <c r="A106" s="81" t="s">
        <v>22</v>
      </c>
      <c r="B106" s="81" t="str">
        <f>B102</f>
        <v>РВС ГЖ</v>
      </c>
      <c r="C106" s="83" t="s">
        <v>153</v>
      </c>
      <c r="D106" s="84" t="s">
        <v>47</v>
      </c>
      <c r="E106" s="97">
        <f>E105</f>
        <v>1E-4</v>
      </c>
      <c r="F106" s="98">
        <f>F102</f>
        <v>1</v>
      </c>
      <c r="G106" s="81">
        <v>4.5000000000000005E-2</v>
      </c>
      <c r="H106" s="86">
        <f t="shared" si="104"/>
        <v>4.500000000000001E-6</v>
      </c>
      <c r="I106" s="99">
        <f>0.15*I102</f>
        <v>1.8539999999999999</v>
      </c>
      <c r="J106" s="99">
        <f>I105</f>
        <v>1.8539999999999999</v>
      </c>
      <c r="K106" s="102" t="s">
        <v>127</v>
      </c>
      <c r="L106" s="103">
        <v>3</v>
      </c>
      <c r="M106" s="91" t="str">
        <f t="shared" si="105"/>
        <v>С5</v>
      </c>
      <c r="N106" s="91" t="str">
        <f t="shared" si="106"/>
        <v>РВС ГЖ</v>
      </c>
      <c r="O106" s="91" t="str">
        <f t="shared" si="107"/>
        <v>Частичное-пожар</v>
      </c>
      <c r="P106" s="91" t="s">
        <v>46</v>
      </c>
      <c r="Q106" s="91" t="s">
        <v>46</v>
      </c>
      <c r="R106" s="91" t="s">
        <v>46</v>
      </c>
      <c r="S106" s="91" t="s">
        <v>46</v>
      </c>
      <c r="T106" s="91" t="s">
        <v>46</v>
      </c>
      <c r="U106" s="91" t="s">
        <v>46</v>
      </c>
      <c r="V106" s="91" t="s">
        <v>46</v>
      </c>
      <c r="W106" s="91" t="s">
        <v>46</v>
      </c>
      <c r="X106" s="91" t="s">
        <v>46</v>
      </c>
      <c r="Y106" s="91" t="s">
        <v>46</v>
      </c>
      <c r="Z106" s="91" t="s">
        <v>46</v>
      </c>
      <c r="AA106" s="91" t="s">
        <v>46</v>
      </c>
      <c r="AB106" s="91" t="s">
        <v>46</v>
      </c>
      <c r="AC106" s="91" t="s">
        <v>46</v>
      </c>
      <c r="AD106" s="91" t="s">
        <v>46</v>
      </c>
      <c r="AE106" s="91" t="s">
        <v>46</v>
      </c>
      <c r="AF106" s="91" t="s">
        <v>46</v>
      </c>
      <c r="AG106" s="91" t="s">
        <v>46</v>
      </c>
      <c r="AH106" s="91" t="s">
        <v>46</v>
      </c>
      <c r="AI106" s="91" t="s">
        <v>46</v>
      </c>
      <c r="AJ106" s="91">
        <v>0</v>
      </c>
      <c r="AK106" s="91">
        <v>1</v>
      </c>
      <c r="AL106" s="91">
        <f>0.1*$AL$2</f>
        <v>7.5000000000000011E-2</v>
      </c>
      <c r="AM106" s="91">
        <f>AM102</f>
        <v>2.7E-2</v>
      </c>
      <c r="AN106" s="91">
        <f>ROUNDUP(AN102/3,0)</f>
        <v>1</v>
      </c>
      <c r="AQ106" s="94">
        <f>AM106*I106+AL106</f>
        <v>0.125058</v>
      </c>
      <c r="AR106" s="94">
        <f t="shared" si="108"/>
        <v>1.2505800000000001E-2</v>
      </c>
      <c r="AS106" s="95">
        <f t="shared" si="109"/>
        <v>0.25</v>
      </c>
      <c r="AT106" s="95">
        <f t="shared" si="110"/>
        <v>9.6890950000000003E-2</v>
      </c>
      <c r="AU106" s="94">
        <f>10068.2*J106*POWER(10,-6)*10</f>
        <v>0.18666442799999999</v>
      </c>
      <c r="AV106" s="95">
        <f t="shared" si="111"/>
        <v>0.67111917799999998</v>
      </c>
      <c r="AW106" s="96">
        <f t="shared" si="112"/>
        <v>0</v>
      </c>
      <c r="AX106" s="96">
        <f t="shared" si="113"/>
        <v>4.500000000000001E-6</v>
      </c>
      <c r="AY106" s="96">
        <f t="shared" si="114"/>
        <v>3.0200363010000006E-6</v>
      </c>
      <c r="AZ106" s="289">
        <f>AW106/DB!$B$23</f>
        <v>0</v>
      </c>
      <c r="BA106" s="289">
        <f>AX106/DB!$B$23</f>
        <v>5.4216867469879532E-9</v>
      </c>
    </row>
    <row r="107" spans="1:53" s="91" customFormat="1" ht="15" thickBot="1" x14ac:dyDescent="0.35">
      <c r="A107" s="81" t="s">
        <v>23</v>
      </c>
      <c r="B107" s="81" t="str">
        <f>B102</f>
        <v>РВС ГЖ</v>
      </c>
      <c r="C107" s="83" t="s">
        <v>148</v>
      </c>
      <c r="D107" s="84" t="s">
        <v>27</v>
      </c>
      <c r="E107" s="97">
        <f>E105</f>
        <v>1E-4</v>
      </c>
      <c r="F107" s="98">
        <f>F102</f>
        <v>1</v>
      </c>
      <c r="G107" s="81">
        <v>0.85499999999999998</v>
      </c>
      <c r="H107" s="86">
        <f t="shared" si="104"/>
        <v>8.5500000000000005E-5</v>
      </c>
      <c r="I107" s="99">
        <f>0.15*I102</f>
        <v>1.8539999999999999</v>
      </c>
      <c r="J107" s="81">
        <v>0</v>
      </c>
      <c r="K107" s="104" t="s">
        <v>138</v>
      </c>
      <c r="L107" s="104">
        <v>11</v>
      </c>
      <c r="M107" s="91" t="str">
        <f t="shared" si="105"/>
        <v>С6</v>
      </c>
      <c r="N107" s="91" t="str">
        <f t="shared" si="106"/>
        <v>РВС ГЖ</v>
      </c>
      <c r="O107" s="91" t="str">
        <f t="shared" si="107"/>
        <v>Частичное-ликвидация</v>
      </c>
      <c r="P107" s="91" t="s">
        <v>46</v>
      </c>
      <c r="Q107" s="91" t="s">
        <v>46</v>
      </c>
      <c r="R107" s="91" t="s">
        <v>46</v>
      </c>
      <c r="S107" s="91" t="s">
        <v>46</v>
      </c>
      <c r="T107" s="91" t="s">
        <v>46</v>
      </c>
      <c r="U107" s="91" t="s">
        <v>46</v>
      </c>
      <c r="V107" s="91" t="s">
        <v>46</v>
      </c>
      <c r="W107" s="91" t="s">
        <v>46</v>
      </c>
      <c r="X107" s="91" t="s">
        <v>46</v>
      </c>
      <c r="Y107" s="91" t="s">
        <v>46</v>
      </c>
      <c r="Z107" s="91" t="s">
        <v>46</v>
      </c>
      <c r="AA107" s="91" t="s">
        <v>46</v>
      </c>
      <c r="AB107" s="91" t="s">
        <v>46</v>
      </c>
      <c r="AC107" s="91" t="s">
        <v>46</v>
      </c>
      <c r="AD107" s="91" t="s">
        <v>46</v>
      </c>
      <c r="AE107" s="91" t="s">
        <v>46</v>
      </c>
      <c r="AF107" s="91" t="s">
        <v>46</v>
      </c>
      <c r="AG107" s="91" t="s">
        <v>46</v>
      </c>
      <c r="AH107" s="91" t="s">
        <v>46</v>
      </c>
      <c r="AI107" s="91" t="s">
        <v>46</v>
      </c>
      <c r="AJ107" s="91">
        <v>0</v>
      </c>
      <c r="AK107" s="91">
        <v>0</v>
      </c>
      <c r="AL107" s="91">
        <f>0.1*$AL$2</f>
        <v>7.5000000000000011E-2</v>
      </c>
      <c r="AM107" s="91">
        <f>AM102</f>
        <v>2.7E-2</v>
      </c>
      <c r="AN107" s="91">
        <f>ROUNDUP(AN102/3,0)</f>
        <v>1</v>
      </c>
      <c r="AQ107" s="94">
        <f>AM107*I107*0.1+AL107</f>
        <v>8.0005800000000016E-2</v>
      </c>
      <c r="AR107" s="94">
        <f t="shared" si="108"/>
        <v>8.0005800000000019E-3</v>
      </c>
      <c r="AS107" s="95">
        <f t="shared" si="109"/>
        <v>0</v>
      </c>
      <c r="AT107" s="95">
        <f t="shared" si="110"/>
        <v>2.2001595000000006E-2</v>
      </c>
      <c r="AU107" s="94">
        <f>1333*J106*POWER(10,-6)</f>
        <v>2.4713819999999994E-3</v>
      </c>
      <c r="AV107" s="95">
        <f t="shared" si="111"/>
        <v>0.11247935700000003</v>
      </c>
      <c r="AW107" s="96">
        <f t="shared" si="112"/>
        <v>0</v>
      </c>
      <c r="AX107" s="96">
        <f t="shared" si="113"/>
        <v>0</v>
      </c>
      <c r="AY107" s="96">
        <f t="shared" si="114"/>
        <v>9.6169850235000027E-6</v>
      </c>
      <c r="AZ107" s="289">
        <f>AW107/DB!$B$23</f>
        <v>0</v>
      </c>
      <c r="BA107" s="289">
        <f>AX107/DB!$B$23</f>
        <v>0</v>
      </c>
    </row>
    <row r="108" spans="1:53" s="91" customFormat="1" x14ac:dyDescent="0.3">
      <c r="A108" s="92"/>
      <c r="B108" s="92"/>
      <c r="D108" s="183"/>
      <c r="E108" s="184"/>
      <c r="F108" s="185"/>
      <c r="G108" s="92"/>
      <c r="H108" s="96"/>
      <c r="I108" s="95"/>
      <c r="J108" s="92"/>
      <c r="K108" s="92"/>
      <c r="L108" s="92"/>
      <c r="AQ108" s="94"/>
      <c r="AR108" s="94"/>
      <c r="AS108" s="95"/>
      <c r="AT108" s="95"/>
      <c r="AU108" s="94"/>
      <c r="AV108" s="95"/>
      <c r="AW108" s="96"/>
      <c r="AX108" s="96"/>
      <c r="AY108" s="96"/>
    </row>
    <row r="109" spans="1:53" s="91" customFormat="1" x14ac:dyDescent="0.3">
      <c r="A109" s="92"/>
      <c r="B109" s="92"/>
      <c r="D109" s="183"/>
      <c r="E109" s="184"/>
      <c r="F109" s="185"/>
      <c r="G109" s="92"/>
      <c r="H109" s="96"/>
      <c r="I109" s="95"/>
      <c r="J109" s="92"/>
      <c r="K109" s="92"/>
      <c r="L109" s="92"/>
      <c r="AQ109" s="94"/>
      <c r="AR109" s="94"/>
      <c r="AS109" s="95"/>
      <c r="AT109" s="95"/>
      <c r="AU109" s="94"/>
      <c r="AV109" s="95"/>
      <c r="AW109" s="96"/>
      <c r="AX109" s="96"/>
      <c r="AY109" s="96"/>
    </row>
    <row r="110" spans="1:53" s="91" customFormat="1" x14ac:dyDescent="0.3">
      <c r="A110" s="92"/>
      <c r="B110" s="92"/>
      <c r="D110" s="183"/>
      <c r="E110" s="184"/>
      <c r="F110" s="185"/>
      <c r="G110" s="92"/>
      <c r="H110" s="96"/>
      <c r="I110" s="95"/>
      <c r="J110" s="92"/>
      <c r="K110" s="92"/>
      <c r="L110" s="92"/>
      <c r="AQ110" s="94"/>
      <c r="AR110" s="94"/>
      <c r="AS110" s="95"/>
      <c r="AT110" s="95"/>
      <c r="AU110" s="94"/>
      <c r="AV110" s="95"/>
      <c r="AW110" s="96"/>
      <c r="AX110" s="96"/>
      <c r="AY110" s="96"/>
    </row>
    <row r="111" spans="1:53" ht="15" thickBot="1" x14ac:dyDescent="0.35"/>
    <row r="112" spans="1:53" s="139" customFormat="1" ht="18" customHeight="1" x14ac:dyDescent="0.3">
      <c r="A112" s="130" t="s">
        <v>18</v>
      </c>
      <c r="B112" s="131" t="s">
        <v>159</v>
      </c>
      <c r="C112" s="13" t="s">
        <v>143</v>
      </c>
      <c r="D112" s="132" t="s">
        <v>25</v>
      </c>
      <c r="E112" s="133">
        <v>9.9999999999999995E-7</v>
      </c>
      <c r="F112" s="131">
        <v>1</v>
      </c>
      <c r="G112" s="130">
        <v>0.05</v>
      </c>
      <c r="H112" s="134">
        <f>E112*F112*G112</f>
        <v>4.9999999999999998E-8</v>
      </c>
      <c r="I112" s="135">
        <v>12</v>
      </c>
      <c r="J112" s="136">
        <f>I112</f>
        <v>12</v>
      </c>
      <c r="K112" s="137" t="s">
        <v>122</v>
      </c>
      <c r="L112" s="138">
        <v>2000</v>
      </c>
      <c r="M112" s="139" t="str">
        <f t="shared" ref="M112:M120" si="115">A112</f>
        <v>С1</v>
      </c>
      <c r="N112" s="139" t="str">
        <f t="shared" ref="N112:N119" si="116">B112</f>
        <v>Емкость DP ЛВЖ</v>
      </c>
      <c r="O112" s="139" t="str">
        <f t="shared" ref="O112:O119" si="117">D112</f>
        <v>Полное-пожар</v>
      </c>
      <c r="P112" s="139" t="s">
        <v>46</v>
      </c>
      <c r="Q112" s="139" t="s">
        <v>46</v>
      </c>
      <c r="R112" s="139" t="s">
        <v>46</v>
      </c>
      <c r="S112" s="139" t="s">
        <v>46</v>
      </c>
      <c r="T112" s="139" t="s">
        <v>46</v>
      </c>
      <c r="U112" s="139" t="s">
        <v>46</v>
      </c>
      <c r="V112" s="139" t="s">
        <v>46</v>
      </c>
      <c r="W112" s="139" t="s">
        <v>46</v>
      </c>
      <c r="X112" s="139" t="s">
        <v>46</v>
      </c>
      <c r="Y112" s="139" t="s">
        <v>46</v>
      </c>
      <c r="Z112" s="139" t="s">
        <v>46</v>
      </c>
      <c r="AA112" s="139" t="s">
        <v>46</v>
      </c>
      <c r="AB112" s="139" t="s">
        <v>46</v>
      </c>
      <c r="AC112" s="139" t="s">
        <v>46</v>
      </c>
      <c r="AD112" s="139" t="s">
        <v>46</v>
      </c>
      <c r="AE112" s="139" t="s">
        <v>46</v>
      </c>
      <c r="AF112" s="139" t="s">
        <v>46</v>
      </c>
      <c r="AG112" s="139" t="s">
        <v>46</v>
      </c>
      <c r="AH112" s="139" t="s">
        <v>46</v>
      </c>
      <c r="AI112" s="139" t="s">
        <v>46</v>
      </c>
      <c r="AJ112" s="140">
        <v>1</v>
      </c>
      <c r="AK112" s="140">
        <v>2</v>
      </c>
      <c r="AL112" s="141">
        <v>0.75</v>
      </c>
      <c r="AM112" s="141">
        <v>2.7E-2</v>
      </c>
      <c r="AN112" s="141">
        <v>3</v>
      </c>
      <c r="AQ112" s="142">
        <f>AM112*I112+AL112</f>
        <v>1.0740000000000001</v>
      </c>
      <c r="AR112" s="142">
        <f>0.1*AQ112</f>
        <v>0.10740000000000001</v>
      </c>
      <c r="AS112" s="143">
        <f>AJ112*3+0.25*AK112</f>
        <v>3.5</v>
      </c>
      <c r="AT112" s="143">
        <f>SUM(AQ112:AS112)/4</f>
        <v>1.17035</v>
      </c>
      <c r="AU112" s="142">
        <f>10068.2*J112*POWER(10,-6)</f>
        <v>0.12081840000000001</v>
      </c>
      <c r="AV112" s="143">
        <f t="shared" ref="AV112:AV120" si="118">AU112+AT112+AS112+AR112+AQ112</f>
        <v>5.9725684000000001</v>
      </c>
      <c r="AW112" s="144">
        <f>AJ112*H112</f>
        <v>4.9999999999999998E-8</v>
      </c>
      <c r="AX112" s="144">
        <f>H112*AK112</f>
        <v>9.9999999999999995E-8</v>
      </c>
      <c r="AY112" s="144">
        <f>H112*AV112</f>
        <v>2.9862842000000001E-7</v>
      </c>
      <c r="AZ112" s="289">
        <f>AW112/DB!$B$23</f>
        <v>6.024096385542168E-11</v>
      </c>
      <c r="BA112" s="289">
        <f>AX112/DB!$B$23</f>
        <v>1.2048192771084336E-10</v>
      </c>
    </row>
    <row r="113" spans="1:53" s="139" customFormat="1" x14ac:dyDescent="0.3">
      <c r="A113" s="130" t="s">
        <v>19</v>
      </c>
      <c r="B113" s="130" t="str">
        <f>B112</f>
        <v>Емкость DP ЛВЖ</v>
      </c>
      <c r="C113" s="13" t="s">
        <v>149</v>
      </c>
      <c r="D113" s="132" t="s">
        <v>28</v>
      </c>
      <c r="E113" s="145">
        <f>E112</f>
        <v>9.9999999999999995E-7</v>
      </c>
      <c r="F113" s="146">
        <f>F112</f>
        <v>1</v>
      </c>
      <c r="G113" s="130">
        <v>0.19</v>
      </c>
      <c r="H113" s="134">
        <f t="shared" ref="H113:H120" si="119">E113*F113*G113</f>
        <v>1.8999999999999998E-7</v>
      </c>
      <c r="I113" s="147">
        <f>I112</f>
        <v>12</v>
      </c>
      <c r="J113" s="155">
        <v>0.35</v>
      </c>
      <c r="K113" s="148" t="s">
        <v>123</v>
      </c>
      <c r="L113" s="149">
        <v>2</v>
      </c>
      <c r="M113" s="139" t="str">
        <f t="shared" si="115"/>
        <v>С2</v>
      </c>
      <c r="N113" s="139" t="str">
        <f t="shared" si="116"/>
        <v>Емкость DP ЛВЖ</v>
      </c>
      <c r="O113" s="139" t="str">
        <f t="shared" si="117"/>
        <v>Полное-взрыв</v>
      </c>
      <c r="P113" s="139" t="s">
        <v>46</v>
      </c>
      <c r="Q113" s="139" t="s">
        <v>46</v>
      </c>
      <c r="R113" s="139" t="s">
        <v>46</v>
      </c>
      <c r="S113" s="139" t="s">
        <v>46</v>
      </c>
      <c r="T113" s="139" t="s">
        <v>46</v>
      </c>
      <c r="U113" s="139" t="s">
        <v>46</v>
      </c>
      <c r="V113" s="139" t="s">
        <v>46</v>
      </c>
      <c r="W113" s="139" t="s">
        <v>46</v>
      </c>
      <c r="X113" s="139" t="s">
        <v>46</v>
      </c>
      <c r="Y113" s="139" t="s">
        <v>46</v>
      </c>
      <c r="Z113" s="139" t="s">
        <v>46</v>
      </c>
      <c r="AA113" s="139" t="s">
        <v>46</v>
      </c>
      <c r="AB113" s="139" t="s">
        <v>46</v>
      </c>
      <c r="AC113" s="139" t="s">
        <v>46</v>
      </c>
      <c r="AD113" s="139" t="s">
        <v>46</v>
      </c>
      <c r="AE113" s="139" t="s">
        <v>46</v>
      </c>
      <c r="AF113" s="139" t="s">
        <v>46</v>
      </c>
      <c r="AG113" s="139" t="s">
        <v>46</v>
      </c>
      <c r="AH113" s="139" t="s">
        <v>46</v>
      </c>
      <c r="AI113" s="139" t="s">
        <v>46</v>
      </c>
      <c r="AJ113" s="140">
        <v>2</v>
      </c>
      <c r="AK113" s="140">
        <v>2</v>
      </c>
      <c r="AL113" s="139">
        <f>AL112</f>
        <v>0.75</v>
      </c>
      <c r="AM113" s="139">
        <f>AM112</f>
        <v>2.7E-2</v>
      </c>
      <c r="AN113" s="139">
        <f>AN112</f>
        <v>3</v>
      </c>
      <c r="AQ113" s="142">
        <f>AM113*I113+AL113</f>
        <v>1.0740000000000001</v>
      </c>
      <c r="AR113" s="142">
        <f t="shared" ref="AR113:AR119" si="120">0.1*AQ113</f>
        <v>0.10740000000000001</v>
      </c>
      <c r="AS113" s="143">
        <f t="shared" ref="AS113:AS119" si="121">AJ113*3+0.25*AK113</f>
        <v>6.5</v>
      </c>
      <c r="AT113" s="143">
        <f t="shared" ref="AT113:AT119" si="122">SUM(AQ113:AS113)/4</f>
        <v>1.92035</v>
      </c>
      <c r="AU113" s="142">
        <f>10068.2*J113*POWER(10,-6)*10</f>
        <v>3.5238699999999998E-2</v>
      </c>
      <c r="AV113" s="143">
        <f t="shared" si="118"/>
        <v>9.6369886999999999</v>
      </c>
      <c r="AW113" s="144">
        <f t="shared" ref="AW113:AW119" si="123">AJ113*H113</f>
        <v>3.7999999999999996E-7</v>
      </c>
      <c r="AX113" s="144">
        <f t="shared" ref="AX113:AX119" si="124">H113*AK113</f>
        <v>3.7999999999999996E-7</v>
      </c>
      <c r="AY113" s="144">
        <f t="shared" ref="AY113:AY119" si="125">H113*AV113</f>
        <v>1.8310278529999998E-6</v>
      </c>
      <c r="AZ113" s="289">
        <f>AW113/DB!$B$23</f>
        <v>4.5783132530120476E-10</v>
      </c>
      <c r="BA113" s="289">
        <f>AX113/DB!$B$23</f>
        <v>4.5783132530120476E-10</v>
      </c>
    </row>
    <row r="114" spans="1:53" s="139" customFormat="1" x14ac:dyDescent="0.3">
      <c r="A114" s="130" t="s">
        <v>20</v>
      </c>
      <c r="B114" s="130" t="str">
        <f>B112</f>
        <v>Емкость DP ЛВЖ</v>
      </c>
      <c r="C114" s="13" t="s">
        <v>188</v>
      </c>
      <c r="D114" s="132" t="s">
        <v>26</v>
      </c>
      <c r="E114" s="145">
        <f>E112</f>
        <v>9.9999999999999995E-7</v>
      </c>
      <c r="F114" s="146">
        <f>F112</f>
        <v>1</v>
      </c>
      <c r="G114" s="130">
        <v>0.76</v>
      </c>
      <c r="H114" s="134">
        <f t="shared" si="119"/>
        <v>7.5999999999999992E-7</v>
      </c>
      <c r="I114" s="147">
        <f>I112</f>
        <v>12</v>
      </c>
      <c r="J114" s="150">
        <v>0</v>
      </c>
      <c r="K114" s="148" t="s">
        <v>124</v>
      </c>
      <c r="L114" s="149">
        <v>1.05</v>
      </c>
      <c r="M114" s="139" t="str">
        <f t="shared" si="115"/>
        <v>С3</v>
      </c>
      <c r="N114" s="139" t="str">
        <f t="shared" si="116"/>
        <v>Емкость DP ЛВЖ</v>
      </c>
      <c r="O114" s="139" t="str">
        <f t="shared" si="117"/>
        <v>Полное-ликвидация</v>
      </c>
      <c r="P114" s="139" t="s">
        <v>46</v>
      </c>
      <c r="Q114" s="139" t="s">
        <v>46</v>
      </c>
      <c r="R114" s="139" t="s">
        <v>46</v>
      </c>
      <c r="S114" s="139" t="s">
        <v>46</v>
      </c>
      <c r="T114" s="139" t="s">
        <v>46</v>
      </c>
      <c r="U114" s="139" t="s">
        <v>46</v>
      </c>
      <c r="V114" s="139" t="s">
        <v>46</v>
      </c>
      <c r="W114" s="139" t="s">
        <v>46</v>
      </c>
      <c r="X114" s="139" t="s">
        <v>46</v>
      </c>
      <c r="Y114" s="139" t="s">
        <v>46</v>
      </c>
      <c r="Z114" s="139" t="s">
        <v>46</v>
      </c>
      <c r="AA114" s="139" t="s">
        <v>46</v>
      </c>
      <c r="AB114" s="139" t="s">
        <v>46</v>
      </c>
      <c r="AC114" s="139" t="s">
        <v>46</v>
      </c>
      <c r="AD114" s="139" t="s">
        <v>46</v>
      </c>
      <c r="AE114" s="139" t="s">
        <v>46</v>
      </c>
      <c r="AF114" s="139" t="s">
        <v>46</v>
      </c>
      <c r="AG114" s="139" t="s">
        <v>46</v>
      </c>
      <c r="AH114" s="139" t="s">
        <v>46</v>
      </c>
      <c r="AI114" s="139" t="s">
        <v>46</v>
      </c>
      <c r="AJ114" s="139">
        <v>0</v>
      </c>
      <c r="AK114" s="139">
        <v>0</v>
      </c>
      <c r="AL114" s="139">
        <f>AL112</f>
        <v>0.75</v>
      </c>
      <c r="AM114" s="139">
        <f>AM112</f>
        <v>2.7E-2</v>
      </c>
      <c r="AN114" s="139">
        <f>AN112</f>
        <v>3</v>
      </c>
      <c r="AQ114" s="142">
        <f>AM114*I114*0.1+AL114</f>
        <v>0.78239999999999998</v>
      </c>
      <c r="AR114" s="142">
        <f t="shared" si="120"/>
        <v>7.8240000000000004E-2</v>
      </c>
      <c r="AS114" s="143">
        <f t="shared" si="121"/>
        <v>0</v>
      </c>
      <c r="AT114" s="143">
        <f t="shared" si="122"/>
        <v>0.21515999999999999</v>
      </c>
      <c r="AU114" s="142">
        <f>1333*J112*POWER(10,-6)</f>
        <v>1.5996E-2</v>
      </c>
      <c r="AV114" s="143">
        <f t="shared" si="118"/>
        <v>1.091796</v>
      </c>
      <c r="AW114" s="144">
        <f t="shared" si="123"/>
        <v>0</v>
      </c>
      <c r="AX114" s="144">
        <f t="shared" si="124"/>
        <v>0</v>
      </c>
      <c r="AY114" s="144">
        <f>H114*AV114</f>
        <v>8.2976495999999993E-7</v>
      </c>
      <c r="AZ114" s="289">
        <f>AW114/DB!$B$23</f>
        <v>0</v>
      </c>
      <c r="BA114" s="289">
        <f>AX114/DB!$B$23</f>
        <v>0</v>
      </c>
    </row>
    <row r="115" spans="1:53" s="139" customFormat="1" x14ac:dyDescent="0.3">
      <c r="A115" s="130" t="s">
        <v>21</v>
      </c>
      <c r="B115" s="130" t="str">
        <f>B112</f>
        <v>Емкость DP ЛВЖ</v>
      </c>
      <c r="C115" s="13" t="s">
        <v>160</v>
      </c>
      <c r="D115" s="132" t="s">
        <v>161</v>
      </c>
      <c r="E115" s="133">
        <v>1.0000000000000001E-5</v>
      </c>
      <c r="F115" s="146">
        <f>F112</f>
        <v>1</v>
      </c>
      <c r="G115" s="130">
        <v>4.0000000000000008E-2</v>
      </c>
      <c r="H115" s="134">
        <f t="shared" si="119"/>
        <v>4.0000000000000009E-7</v>
      </c>
      <c r="I115" s="147">
        <f>0.15*I112</f>
        <v>1.7999999999999998</v>
      </c>
      <c r="J115" s="136">
        <f>I115</f>
        <v>1.7999999999999998</v>
      </c>
      <c r="K115" s="148" t="s">
        <v>126</v>
      </c>
      <c r="L115" s="149">
        <v>45390</v>
      </c>
      <c r="M115" s="139" t="str">
        <f t="shared" si="115"/>
        <v>С4</v>
      </c>
      <c r="N115" s="139" t="str">
        <f t="shared" si="116"/>
        <v>Емкость DP ЛВЖ</v>
      </c>
      <c r="O115" s="139" t="str">
        <f t="shared" si="117"/>
        <v>Частичное факел</v>
      </c>
      <c r="P115" s="139" t="s">
        <v>46</v>
      </c>
      <c r="Q115" s="139" t="s">
        <v>46</v>
      </c>
      <c r="R115" s="139" t="s">
        <v>46</v>
      </c>
      <c r="S115" s="139" t="s">
        <v>46</v>
      </c>
      <c r="T115" s="139" t="s">
        <v>46</v>
      </c>
      <c r="U115" s="139" t="s">
        <v>46</v>
      </c>
      <c r="V115" s="139" t="s">
        <v>46</v>
      </c>
      <c r="W115" s="139" t="s">
        <v>46</v>
      </c>
      <c r="X115" s="139" t="s">
        <v>46</v>
      </c>
      <c r="Y115" s="139" t="s">
        <v>46</v>
      </c>
      <c r="Z115" s="139" t="s">
        <v>46</v>
      </c>
      <c r="AA115" s="139" t="s">
        <v>46</v>
      </c>
      <c r="AB115" s="139" t="s">
        <v>46</v>
      </c>
      <c r="AC115" s="139" t="s">
        <v>46</v>
      </c>
      <c r="AD115" s="139" t="s">
        <v>46</v>
      </c>
      <c r="AE115" s="139" t="s">
        <v>46</v>
      </c>
      <c r="AF115" s="139" t="s">
        <v>46</v>
      </c>
      <c r="AG115" s="139" t="s">
        <v>46</v>
      </c>
      <c r="AH115" s="139" t="s">
        <v>46</v>
      </c>
      <c r="AI115" s="139" t="s">
        <v>46</v>
      </c>
      <c r="AJ115" s="139">
        <v>0</v>
      </c>
      <c r="AK115" s="139">
        <v>1</v>
      </c>
      <c r="AL115" s="139">
        <f>0.1*$AL$2</f>
        <v>7.5000000000000011E-2</v>
      </c>
      <c r="AM115" s="139">
        <f>AM113</f>
        <v>2.7E-2</v>
      </c>
      <c r="AN115" s="139">
        <f>AN112</f>
        <v>3</v>
      </c>
      <c r="AQ115" s="142">
        <f>AM115*I115*0.1+AL115</f>
        <v>7.9860000000000014E-2</v>
      </c>
      <c r="AR115" s="142">
        <f t="shared" si="120"/>
        <v>7.9860000000000018E-3</v>
      </c>
      <c r="AS115" s="143">
        <f t="shared" si="121"/>
        <v>0.25</v>
      </c>
      <c r="AT115" s="143">
        <f t="shared" si="122"/>
        <v>8.4461500000000009E-2</v>
      </c>
      <c r="AU115" s="142">
        <f>10068.2*J115*POWER(10,-6)</f>
        <v>1.8122759999999998E-2</v>
      </c>
      <c r="AV115" s="143">
        <f t="shared" si="118"/>
        <v>0.44043025999999996</v>
      </c>
      <c r="AW115" s="144">
        <f t="shared" si="123"/>
        <v>0</v>
      </c>
      <c r="AX115" s="144">
        <f t="shared" si="124"/>
        <v>4.0000000000000009E-7</v>
      </c>
      <c r="AY115" s="144">
        <f t="shared" si="125"/>
        <v>1.7617210400000003E-7</v>
      </c>
      <c r="AZ115" s="289">
        <f>AW115/DB!$B$23</f>
        <v>0</v>
      </c>
      <c r="BA115" s="289">
        <f>AX115/DB!$B$23</f>
        <v>4.8192771084337365E-10</v>
      </c>
    </row>
    <row r="116" spans="1:53" s="139" customFormat="1" x14ac:dyDescent="0.3">
      <c r="A116" s="130" t="s">
        <v>22</v>
      </c>
      <c r="B116" s="130" t="str">
        <f>B112</f>
        <v>Емкость DP ЛВЖ</v>
      </c>
      <c r="C116" s="13" t="s">
        <v>189</v>
      </c>
      <c r="D116" s="132" t="s">
        <v>27</v>
      </c>
      <c r="E116" s="145">
        <f>E115</f>
        <v>1.0000000000000001E-5</v>
      </c>
      <c r="F116" s="146">
        <f>F112</f>
        <v>1</v>
      </c>
      <c r="G116" s="130">
        <v>0.16000000000000003</v>
      </c>
      <c r="H116" s="134">
        <f t="shared" si="119"/>
        <v>1.6000000000000004E-6</v>
      </c>
      <c r="I116" s="147">
        <f>0.15*I112</f>
        <v>1.7999999999999998</v>
      </c>
      <c r="J116" s="136">
        <v>0</v>
      </c>
      <c r="K116" s="148" t="s">
        <v>127</v>
      </c>
      <c r="L116" s="149">
        <v>3</v>
      </c>
      <c r="M116" s="139" t="str">
        <f t="shared" si="115"/>
        <v>С5</v>
      </c>
      <c r="N116" s="139" t="str">
        <f t="shared" si="116"/>
        <v>Емкость DP ЛВЖ</v>
      </c>
      <c r="O116" s="139" t="str">
        <f t="shared" si="117"/>
        <v>Частичное-ликвидация</v>
      </c>
      <c r="P116" s="139" t="s">
        <v>46</v>
      </c>
      <c r="Q116" s="139" t="s">
        <v>46</v>
      </c>
      <c r="R116" s="139" t="s">
        <v>46</v>
      </c>
      <c r="S116" s="139" t="s">
        <v>46</v>
      </c>
      <c r="T116" s="139" t="s">
        <v>46</v>
      </c>
      <c r="U116" s="139" t="s">
        <v>46</v>
      </c>
      <c r="V116" s="139" t="s">
        <v>46</v>
      </c>
      <c r="W116" s="139" t="s">
        <v>46</v>
      </c>
      <c r="X116" s="139" t="s">
        <v>46</v>
      </c>
      <c r="Y116" s="139" t="s">
        <v>46</v>
      </c>
      <c r="Z116" s="139" t="s">
        <v>46</v>
      </c>
      <c r="AA116" s="139" t="s">
        <v>46</v>
      </c>
      <c r="AB116" s="139" t="s">
        <v>46</v>
      </c>
      <c r="AC116" s="139" t="s">
        <v>46</v>
      </c>
      <c r="AD116" s="139" t="s">
        <v>46</v>
      </c>
      <c r="AE116" s="139" t="s">
        <v>46</v>
      </c>
      <c r="AF116" s="139" t="s">
        <v>46</v>
      </c>
      <c r="AG116" s="139" t="s">
        <v>46</v>
      </c>
      <c r="AH116" s="139" t="s">
        <v>46</v>
      </c>
      <c r="AI116" s="139" t="s">
        <v>46</v>
      </c>
      <c r="AJ116" s="139">
        <v>0</v>
      </c>
      <c r="AK116" s="139">
        <v>1</v>
      </c>
      <c r="AL116" s="139">
        <f>0.1*$AL$2</f>
        <v>7.5000000000000011E-2</v>
      </c>
      <c r="AM116" s="139">
        <f>AM112</f>
        <v>2.7E-2</v>
      </c>
      <c r="AN116" s="139">
        <f>ROUNDUP(AN112/3,0)</f>
        <v>1</v>
      </c>
      <c r="AQ116" s="142">
        <f>AM116*I116+AL116</f>
        <v>0.12360000000000002</v>
      </c>
      <c r="AR116" s="142">
        <f t="shared" si="120"/>
        <v>1.2360000000000003E-2</v>
      </c>
      <c r="AS116" s="143">
        <f t="shared" si="121"/>
        <v>0.25</v>
      </c>
      <c r="AT116" s="143">
        <f t="shared" si="122"/>
        <v>9.6490000000000006E-2</v>
      </c>
      <c r="AU116" s="142">
        <f>1333*J113*POWER(10,-6)*10</f>
        <v>4.6654999999999995E-3</v>
      </c>
      <c r="AV116" s="143">
        <f t="shared" si="118"/>
        <v>0.48711550000000003</v>
      </c>
      <c r="AW116" s="144">
        <f t="shared" si="123"/>
        <v>0</v>
      </c>
      <c r="AX116" s="144">
        <f t="shared" si="124"/>
        <v>1.6000000000000004E-6</v>
      </c>
      <c r="AY116" s="144">
        <f t="shared" si="125"/>
        <v>7.7938480000000024E-7</v>
      </c>
      <c r="AZ116" s="289">
        <f>AW116/DB!$B$23</f>
        <v>0</v>
      </c>
      <c r="BA116" s="289">
        <f>AX116/DB!$B$23</f>
        <v>1.9277108433734946E-9</v>
      </c>
    </row>
    <row r="117" spans="1:53" s="139" customFormat="1" x14ac:dyDescent="0.3">
      <c r="A117" s="130" t="s">
        <v>23</v>
      </c>
      <c r="B117" s="130" t="str">
        <f>B112</f>
        <v>Емкость DP ЛВЖ</v>
      </c>
      <c r="C117" s="13" t="s">
        <v>162</v>
      </c>
      <c r="D117" s="132" t="s">
        <v>161</v>
      </c>
      <c r="E117" s="145">
        <f>E116</f>
        <v>1.0000000000000001E-5</v>
      </c>
      <c r="F117" s="146">
        <v>1</v>
      </c>
      <c r="G117" s="130">
        <v>4.0000000000000008E-2</v>
      </c>
      <c r="H117" s="134">
        <f t="shared" si="119"/>
        <v>4.0000000000000009E-7</v>
      </c>
      <c r="I117" s="147">
        <f>I115*0.15</f>
        <v>0.26999999999999996</v>
      </c>
      <c r="J117" s="136">
        <f>I117</f>
        <v>0.26999999999999996</v>
      </c>
      <c r="K117" s="151" t="s">
        <v>138</v>
      </c>
      <c r="L117" s="152">
        <v>12</v>
      </c>
      <c r="M117" s="139" t="str">
        <f t="shared" si="115"/>
        <v>С6</v>
      </c>
      <c r="N117" s="139" t="str">
        <f t="shared" si="116"/>
        <v>Емкость DP ЛВЖ</v>
      </c>
      <c r="O117" s="139" t="str">
        <f t="shared" si="117"/>
        <v>Частичное факел</v>
      </c>
      <c r="P117" s="139" t="s">
        <v>46</v>
      </c>
      <c r="Q117" s="139" t="s">
        <v>46</v>
      </c>
      <c r="R117" s="139" t="s">
        <v>46</v>
      </c>
      <c r="S117" s="139" t="s">
        <v>46</v>
      </c>
      <c r="T117" s="139" t="s">
        <v>46</v>
      </c>
      <c r="U117" s="139" t="s">
        <v>46</v>
      </c>
      <c r="V117" s="139" t="s">
        <v>46</v>
      </c>
      <c r="W117" s="139" t="s">
        <v>46</v>
      </c>
      <c r="X117" s="139" t="s">
        <v>46</v>
      </c>
      <c r="Y117" s="139" t="s">
        <v>46</v>
      </c>
      <c r="Z117" s="139" t="s">
        <v>46</v>
      </c>
      <c r="AA117" s="139" t="s">
        <v>46</v>
      </c>
      <c r="AB117" s="139" t="s">
        <v>46</v>
      </c>
      <c r="AC117" s="139" t="s">
        <v>46</v>
      </c>
      <c r="AD117" s="139" t="s">
        <v>46</v>
      </c>
      <c r="AE117" s="139" t="s">
        <v>46</v>
      </c>
      <c r="AF117" s="139" t="s">
        <v>46</v>
      </c>
      <c r="AG117" s="139" t="s">
        <v>46</v>
      </c>
      <c r="AH117" s="139" t="s">
        <v>46</v>
      </c>
      <c r="AI117" s="139" t="s">
        <v>46</v>
      </c>
      <c r="AJ117" s="139">
        <v>0</v>
      </c>
      <c r="AK117" s="139">
        <v>1</v>
      </c>
      <c r="AL117" s="139">
        <f>0.1*$AL$2</f>
        <v>7.5000000000000011E-2</v>
      </c>
      <c r="AM117" s="139">
        <f>AM112</f>
        <v>2.7E-2</v>
      </c>
      <c r="AN117" s="139">
        <f>AN116</f>
        <v>1</v>
      </c>
      <c r="AQ117" s="142">
        <f>AM117*I117+AL117</f>
        <v>8.2290000000000016E-2</v>
      </c>
      <c r="AR117" s="142">
        <f t="shared" si="120"/>
        <v>8.2290000000000019E-3</v>
      </c>
      <c r="AS117" s="143">
        <f t="shared" si="121"/>
        <v>0.25</v>
      </c>
      <c r="AT117" s="143">
        <f t="shared" si="122"/>
        <v>8.5129750000000004E-2</v>
      </c>
      <c r="AU117" s="142">
        <f>10068.2*J117*POWER(10,-6)</f>
        <v>2.7184139999999997E-3</v>
      </c>
      <c r="AV117" s="143">
        <f t="shared" si="118"/>
        <v>0.42836716400000002</v>
      </c>
      <c r="AW117" s="144">
        <f t="shared" si="123"/>
        <v>0</v>
      </c>
      <c r="AX117" s="144">
        <f t="shared" si="124"/>
        <v>4.0000000000000009E-7</v>
      </c>
      <c r="AY117" s="144">
        <f t="shared" si="125"/>
        <v>1.7134686560000004E-7</v>
      </c>
      <c r="AZ117" s="289">
        <f>AW117/DB!$B$23</f>
        <v>0</v>
      </c>
      <c r="BA117" s="289">
        <f>AX117/DB!$B$23</f>
        <v>4.8192771084337365E-10</v>
      </c>
    </row>
    <row r="118" spans="1:53" s="139" customFormat="1" x14ac:dyDescent="0.3">
      <c r="A118" s="130" t="s">
        <v>157</v>
      </c>
      <c r="B118" s="130" t="str">
        <f>B112</f>
        <v>Емкость DP ЛВЖ</v>
      </c>
      <c r="C118" s="13" t="s">
        <v>163</v>
      </c>
      <c r="D118" s="132" t="s">
        <v>112</v>
      </c>
      <c r="E118" s="145">
        <f>E116</f>
        <v>1.0000000000000001E-5</v>
      </c>
      <c r="F118" s="146">
        <f>F112</f>
        <v>1</v>
      </c>
      <c r="G118" s="130">
        <v>0.15200000000000002</v>
      </c>
      <c r="H118" s="134">
        <f t="shared" si="119"/>
        <v>1.5200000000000003E-6</v>
      </c>
      <c r="I118" s="147">
        <f>I115*0.15</f>
        <v>0.26999999999999996</v>
      </c>
      <c r="J118" s="136">
        <f>I118</f>
        <v>0.26999999999999996</v>
      </c>
      <c r="K118" s="148"/>
      <c r="L118" s="149"/>
      <c r="M118" s="139" t="str">
        <f t="shared" si="115"/>
        <v>С7</v>
      </c>
      <c r="N118" s="139" t="str">
        <f t="shared" si="116"/>
        <v>Емкость DP ЛВЖ</v>
      </c>
      <c r="O118" s="139" t="str">
        <f t="shared" si="117"/>
        <v>Частичное-пожар-вспышка</v>
      </c>
      <c r="P118" s="139" t="s">
        <v>46</v>
      </c>
      <c r="Q118" s="139" t="s">
        <v>46</v>
      </c>
      <c r="R118" s="139" t="s">
        <v>46</v>
      </c>
      <c r="S118" s="139" t="s">
        <v>46</v>
      </c>
      <c r="T118" s="139" t="s">
        <v>46</v>
      </c>
      <c r="U118" s="139" t="s">
        <v>46</v>
      </c>
      <c r="V118" s="139" t="s">
        <v>46</v>
      </c>
      <c r="W118" s="139" t="s">
        <v>46</v>
      </c>
      <c r="X118" s="139" t="s">
        <v>46</v>
      </c>
      <c r="Y118" s="139" t="s">
        <v>46</v>
      </c>
      <c r="Z118" s="139" t="s">
        <v>46</v>
      </c>
      <c r="AA118" s="139" t="s">
        <v>46</v>
      </c>
      <c r="AB118" s="139" t="s">
        <v>46</v>
      </c>
      <c r="AC118" s="139" t="s">
        <v>46</v>
      </c>
      <c r="AD118" s="139" t="s">
        <v>46</v>
      </c>
      <c r="AE118" s="139" t="s">
        <v>46</v>
      </c>
      <c r="AF118" s="139" t="s">
        <v>46</v>
      </c>
      <c r="AG118" s="139" t="s">
        <v>46</v>
      </c>
      <c r="AH118" s="139" t="s">
        <v>46</v>
      </c>
      <c r="AI118" s="139" t="s">
        <v>46</v>
      </c>
      <c r="AJ118" s="139">
        <v>0</v>
      </c>
      <c r="AK118" s="139">
        <v>1</v>
      </c>
      <c r="AL118" s="139">
        <f>0.1*$AL$2</f>
        <v>7.5000000000000011E-2</v>
      </c>
      <c r="AM118" s="139">
        <f>AM112</f>
        <v>2.7E-2</v>
      </c>
      <c r="AN118" s="139">
        <f>ROUNDUP(AN112/3,0)</f>
        <v>1</v>
      </c>
      <c r="AQ118" s="142">
        <f>AM118*I118+AL118</f>
        <v>8.2290000000000016E-2</v>
      </c>
      <c r="AR118" s="142">
        <f t="shared" si="120"/>
        <v>8.2290000000000019E-3</v>
      </c>
      <c r="AS118" s="143">
        <f t="shared" si="121"/>
        <v>0.25</v>
      </c>
      <c r="AT118" s="143">
        <f t="shared" si="122"/>
        <v>8.5129750000000004E-2</v>
      </c>
      <c r="AU118" s="142">
        <f>10068.2*J118*POWER(10,-6)</f>
        <v>2.7184139999999997E-3</v>
      </c>
      <c r="AV118" s="143">
        <f t="shared" si="118"/>
        <v>0.42836716400000002</v>
      </c>
      <c r="AW118" s="144">
        <f t="shared" si="123"/>
        <v>0</v>
      </c>
      <c r="AX118" s="144">
        <f t="shared" si="124"/>
        <v>1.5200000000000003E-6</v>
      </c>
      <c r="AY118" s="144">
        <f t="shared" si="125"/>
        <v>6.5111808928000016E-7</v>
      </c>
      <c r="AZ118" s="289">
        <f>AW118/DB!$B$23</f>
        <v>0</v>
      </c>
      <c r="BA118" s="289">
        <f>AX118/DB!$B$23</f>
        <v>1.8313253012048197E-9</v>
      </c>
    </row>
    <row r="119" spans="1:53" s="139" customFormat="1" ht="15" thickBot="1" x14ac:dyDescent="0.35">
      <c r="A119" s="130" t="s">
        <v>158</v>
      </c>
      <c r="B119" s="130" t="str">
        <f>B112</f>
        <v>Емкость DP ЛВЖ</v>
      </c>
      <c r="C119" s="13" t="s">
        <v>164</v>
      </c>
      <c r="D119" s="132" t="s">
        <v>27</v>
      </c>
      <c r="E119" s="145">
        <f>E116</f>
        <v>1.0000000000000001E-5</v>
      </c>
      <c r="F119" s="146">
        <f>F112</f>
        <v>1</v>
      </c>
      <c r="G119" s="130">
        <v>0.6080000000000001</v>
      </c>
      <c r="H119" s="134">
        <f t="shared" si="119"/>
        <v>6.0800000000000011E-6</v>
      </c>
      <c r="I119" s="147">
        <f>I115*0.15</f>
        <v>0.26999999999999996</v>
      </c>
      <c r="J119" s="150">
        <v>0</v>
      </c>
      <c r="K119" s="153"/>
      <c r="L119" s="154"/>
      <c r="M119" s="139" t="str">
        <f t="shared" si="115"/>
        <v>С8</v>
      </c>
      <c r="N119" s="139" t="str">
        <f t="shared" si="116"/>
        <v>Емкость DP ЛВЖ</v>
      </c>
      <c r="O119" s="139" t="str">
        <f t="shared" si="117"/>
        <v>Частичное-ликвидация</v>
      </c>
      <c r="P119" s="139" t="s">
        <v>46</v>
      </c>
      <c r="Q119" s="139" t="s">
        <v>46</v>
      </c>
      <c r="R119" s="139" t="s">
        <v>46</v>
      </c>
      <c r="S119" s="139" t="s">
        <v>46</v>
      </c>
      <c r="T119" s="139" t="s">
        <v>46</v>
      </c>
      <c r="U119" s="139" t="s">
        <v>46</v>
      </c>
      <c r="V119" s="139" t="s">
        <v>46</v>
      </c>
      <c r="W119" s="139" t="s">
        <v>46</v>
      </c>
      <c r="X119" s="139" t="s">
        <v>46</v>
      </c>
      <c r="Y119" s="139" t="s">
        <v>46</v>
      </c>
      <c r="Z119" s="139" t="s">
        <v>46</v>
      </c>
      <c r="AA119" s="139" t="s">
        <v>46</v>
      </c>
      <c r="AB119" s="139" t="s">
        <v>46</v>
      </c>
      <c r="AC119" s="139" t="s">
        <v>46</v>
      </c>
      <c r="AD119" s="139" t="s">
        <v>46</v>
      </c>
      <c r="AE119" s="139" t="s">
        <v>46</v>
      </c>
      <c r="AF119" s="139" t="s">
        <v>46</v>
      </c>
      <c r="AG119" s="139" t="s">
        <v>46</v>
      </c>
      <c r="AH119" s="139" t="s">
        <v>46</v>
      </c>
      <c r="AI119" s="139" t="s">
        <v>46</v>
      </c>
      <c r="AJ119" s="139">
        <v>0</v>
      </c>
      <c r="AK119" s="139">
        <v>0</v>
      </c>
      <c r="AL119" s="139">
        <f>0.1*$AL$2</f>
        <v>7.5000000000000011E-2</v>
      </c>
      <c r="AM119" s="139">
        <f>AM112</f>
        <v>2.7E-2</v>
      </c>
      <c r="AN119" s="139">
        <f>ROUNDUP(AN112/3,0)</f>
        <v>1</v>
      </c>
      <c r="AQ119" s="142">
        <f>AM119*I119*0.1+AL119</f>
        <v>7.5729000000000005E-2</v>
      </c>
      <c r="AR119" s="142">
        <f t="shared" si="120"/>
        <v>7.5729000000000005E-3</v>
      </c>
      <c r="AS119" s="143">
        <f t="shared" si="121"/>
        <v>0</v>
      </c>
      <c r="AT119" s="143">
        <f t="shared" si="122"/>
        <v>2.0825475000000003E-2</v>
      </c>
      <c r="AU119" s="142">
        <f>1333*J117*POWER(10,-6)</f>
        <v>3.5990999999999996E-4</v>
      </c>
      <c r="AV119" s="143">
        <f t="shared" si="118"/>
        <v>0.10448728500000001</v>
      </c>
      <c r="AW119" s="144">
        <f t="shared" si="123"/>
        <v>0</v>
      </c>
      <c r="AX119" s="144">
        <f t="shared" si="124"/>
        <v>0</v>
      </c>
      <c r="AY119" s="144">
        <f t="shared" si="125"/>
        <v>6.3528269280000015E-7</v>
      </c>
      <c r="AZ119" s="289">
        <f>AW119/DB!$B$23</f>
        <v>0</v>
      </c>
      <c r="BA119" s="289">
        <f>AX119/DB!$B$23</f>
        <v>0</v>
      </c>
    </row>
    <row r="120" spans="1:53" s="139" customFormat="1" x14ac:dyDescent="0.3">
      <c r="A120" s="193" t="s">
        <v>187</v>
      </c>
      <c r="B120" s="193" t="str">
        <f>B112</f>
        <v>Емкость DP ЛВЖ</v>
      </c>
      <c r="C120" s="193" t="s">
        <v>341</v>
      </c>
      <c r="D120" s="193" t="s">
        <v>342</v>
      </c>
      <c r="E120" s="194">
        <v>2.5000000000000001E-5</v>
      </c>
      <c r="F120" s="193">
        <v>1</v>
      </c>
      <c r="G120" s="193">
        <v>1</v>
      </c>
      <c r="H120" s="195">
        <f t="shared" si="119"/>
        <v>2.5000000000000001E-5</v>
      </c>
      <c r="I120" s="196">
        <f>I112</f>
        <v>12</v>
      </c>
      <c r="J120" s="196">
        <f>J112*0.6</f>
        <v>7.1999999999999993</v>
      </c>
      <c r="K120" s="193"/>
      <c r="L120" s="193"/>
      <c r="M120" s="197" t="str">
        <f t="shared" si="115"/>
        <v>С9</v>
      </c>
      <c r="N120" s="197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  <c r="AA120" s="197"/>
      <c r="AB120" s="197"/>
      <c r="AC120" s="197"/>
      <c r="AD120" s="197"/>
      <c r="AE120" s="197"/>
      <c r="AF120" s="197"/>
      <c r="AG120" s="197"/>
      <c r="AH120" s="197"/>
      <c r="AI120" s="197"/>
      <c r="AJ120" s="197">
        <v>1</v>
      </c>
      <c r="AK120" s="197">
        <v>2</v>
      </c>
      <c r="AL120" s="197">
        <f>AL112</f>
        <v>0.75</v>
      </c>
      <c r="AM120" s="197">
        <f>AM112</f>
        <v>2.7E-2</v>
      </c>
      <c r="AN120" s="197">
        <v>5</v>
      </c>
      <c r="AO120" s="197"/>
      <c r="AP120" s="197"/>
      <c r="AQ120" s="198">
        <f>AM120*I120+AL120</f>
        <v>1.0740000000000001</v>
      </c>
      <c r="AR120" s="198">
        <f>0.1*AQ120</f>
        <v>0.10740000000000001</v>
      </c>
      <c r="AS120" s="199">
        <f>AJ120*3+0.25*AK120</f>
        <v>3.5</v>
      </c>
      <c r="AT120" s="199">
        <f>SUM(AQ120:AS120)/4</f>
        <v>1.17035</v>
      </c>
      <c r="AU120" s="198">
        <f>10068.2*J120*POWER(10,-6)</f>
        <v>7.2491039999999993E-2</v>
      </c>
      <c r="AV120" s="199">
        <f t="shared" si="118"/>
        <v>5.9242410400000001</v>
      </c>
      <c r="AW120" s="200">
        <f>AJ120*H120</f>
        <v>2.5000000000000001E-5</v>
      </c>
      <c r="AX120" s="200">
        <f>H120*AK120</f>
        <v>5.0000000000000002E-5</v>
      </c>
      <c r="AY120" s="200">
        <f>H120*AV120</f>
        <v>1.4810602600000001E-4</v>
      </c>
      <c r="AZ120" s="289">
        <f>AW120/DB!$B$23</f>
        <v>3.0120481927710842E-8</v>
      </c>
      <c r="BA120" s="289">
        <f>AX120/DB!$B$23</f>
        <v>6.0240963855421685E-8</v>
      </c>
    </row>
    <row r="121" spans="1:53" ht="15" thickBot="1" x14ac:dyDescent="0.35"/>
    <row r="122" spans="1:53" s="236" customFormat="1" ht="18" customHeight="1" x14ac:dyDescent="0.3">
      <c r="A122" s="226" t="s">
        <v>18</v>
      </c>
      <c r="B122" s="227" t="s">
        <v>343</v>
      </c>
      <c r="C122" s="228" t="s">
        <v>143</v>
      </c>
      <c r="D122" s="229" t="s">
        <v>25</v>
      </c>
      <c r="E122" s="230">
        <v>9.9999999999999995E-7</v>
      </c>
      <c r="F122" s="227">
        <v>1</v>
      </c>
      <c r="G122" s="226">
        <v>0.05</v>
      </c>
      <c r="H122" s="231">
        <f>E122*F122*G122</f>
        <v>4.9999999999999998E-8</v>
      </c>
      <c r="I122" s="232">
        <v>63</v>
      </c>
      <c r="J122" s="233">
        <f>I122</f>
        <v>63</v>
      </c>
      <c r="K122" s="234" t="s">
        <v>122</v>
      </c>
      <c r="L122" s="235">
        <v>600</v>
      </c>
      <c r="M122" s="236" t="str">
        <f t="shared" ref="M122:N130" si="126">A122</f>
        <v>С1</v>
      </c>
      <c r="N122" s="236" t="str">
        <f t="shared" si="126"/>
        <v>Емкость DP ЛВЖ+тоеси</v>
      </c>
      <c r="O122" s="236" t="str">
        <f t="shared" ref="O122:O130" si="127">D122</f>
        <v>Полное-пожар</v>
      </c>
      <c r="P122" s="236">
        <v>19.3</v>
      </c>
      <c r="Q122" s="236">
        <v>26.9</v>
      </c>
      <c r="R122" s="236">
        <v>38.6</v>
      </c>
      <c r="S122" s="236">
        <v>72.2</v>
      </c>
      <c r="T122" s="236" t="s">
        <v>46</v>
      </c>
      <c r="U122" s="236" t="s">
        <v>46</v>
      </c>
      <c r="V122" s="236" t="s">
        <v>46</v>
      </c>
      <c r="W122" s="236" t="s">
        <v>46</v>
      </c>
      <c r="X122" s="236" t="s">
        <v>46</v>
      </c>
      <c r="Y122" s="236" t="s">
        <v>46</v>
      </c>
      <c r="Z122" s="236" t="s">
        <v>46</v>
      </c>
      <c r="AA122" s="236" t="s">
        <v>46</v>
      </c>
      <c r="AB122" s="236" t="s">
        <v>46</v>
      </c>
      <c r="AC122" s="236" t="s">
        <v>46</v>
      </c>
      <c r="AD122" s="236" t="s">
        <v>46</v>
      </c>
      <c r="AE122" s="236" t="s">
        <v>46</v>
      </c>
      <c r="AF122" s="236" t="s">
        <v>46</v>
      </c>
      <c r="AG122" s="236" t="s">
        <v>46</v>
      </c>
      <c r="AH122" s="236" t="s">
        <v>46</v>
      </c>
      <c r="AI122" s="236" t="s">
        <v>46</v>
      </c>
      <c r="AJ122" s="237">
        <v>1</v>
      </c>
      <c r="AK122" s="237">
        <v>2</v>
      </c>
      <c r="AL122" s="238">
        <v>0.75</v>
      </c>
      <c r="AM122" s="238">
        <v>2.7E-2</v>
      </c>
      <c r="AN122" s="238">
        <v>3</v>
      </c>
      <c r="AQ122" s="239">
        <f>AM122*I122+AL122</f>
        <v>2.4510000000000001</v>
      </c>
      <c r="AR122" s="239">
        <f>0.1*AQ122</f>
        <v>0.24510000000000001</v>
      </c>
      <c r="AS122" s="240">
        <f>AJ122*3+0.25*AK122</f>
        <v>3.5</v>
      </c>
      <c r="AT122" s="240">
        <f>SUM(AQ122:AS122)/4</f>
        <v>1.5490249999999999</v>
      </c>
      <c r="AU122" s="239">
        <f>10068.2*J122*POWER(10,-6)</f>
        <v>0.6342966000000001</v>
      </c>
      <c r="AV122" s="240">
        <f t="shared" ref="AV122:AV130" si="128">AU122+AT122+AS122+AR122+AQ122</f>
        <v>8.3794216000000006</v>
      </c>
      <c r="AW122" s="241">
        <f>AJ122*H122</f>
        <v>4.9999999999999998E-8</v>
      </c>
      <c r="AX122" s="241">
        <f>H122*AK122</f>
        <v>9.9999999999999995E-8</v>
      </c>
      <c r="AY122" s="241">
        <f t="shared" ref="AY122:AY130" si="129">H122*AV122</f>
        <v>4.1897108E-7</v>
      </c>
      <c r="AZ122" s="289">
        <f>AW122/DB!$B$23</f>
        <v>6.024096385542168E-11</v>
      </c>
      <c r="BA122" s="289">
        <f>AX122/DB!$B$23</f>
        <v>1.2048192771084336E-10</v>
      </c>
    </row>
    <row r="123" spans="1:53" s="236" customFormat="1" x14ac:dyDescent="0.3">
      <c r="A123" s="226" t="s">
        <v>19</v>
      </c>
      <c r="B123" s="226" t="str">
        <f>B122</f>
        <v>Емкость DP ЛВЖ+тоеси</v>
      </c>
      <c r="C123" s="228" t="s">
        <v>149</v>
      </c>
      <c r="D123" s="229" t="s">
        <v>28</v>
      </c>
      <c r="E123" s="242">
        <f>E122</f>
        <v>9.9999999999999995E-7</v>
      </c>
      <c r="F123" s="243">
        <f>F122</f>
        <v>1</v>
      </c>
      <c r="G123" s="226">
        <v>0.19</v>
      </c>
      <c r="H123" s="231">
        <f t="shared" ref="H123:H130" si="130">E123*F123*G123</f>
        <v>1.8999999999999998E-7</v>
      </c>
      <c r="I123" s="244">
        <f>I122</f>
        <v>63</v>
      </c>
      <c r="J123" s="245">
        <v>0.51</v>
      </c>
      <c r="K123" s="246" t="s">
        <v>123</v>
      </c>
      <c r="L123" s="247">
        <v>1</v>
      </c>
      <c r="M123" s="236" t="str">
        <f t="shared" si="126"/>
        <v>С2</v>
      </c>
      <c r="N123" s="236" t="str">
        <f t="shared" si="126"/>
        <v>Емкость DP ЛВЖ+тоеси</v>
      </c>
      <c r="O123" s="236" t="str">
        <f t="shared" si="127"/>
        <v>Полное-взрыв</v>
      </c>
      <c r="P123" s="236" t="s">
        <v>46</v>
      </c>
      <c r="Q123" s="236" t="s">
        <v>46</v>
      </c>
      <c r="R123" s="236" t="s">
        <v>46</v>
      </c>
      <c r="S123" s="236" t="s">
        <v>46</v>
      </c>
      <c r="T123" s="236">
        <v>0</v>
      </c>
      <c r="U123" s="236">
        <v>0</v>
      </c>
      <c r="V123" s="236">
        <v>60.6</v>
      </c>
      <c r="W123" s="236">
        <v>202.1</v>
      </c>
      <c r="X123" s="236">
        <v>525.6</v>
      </c>
      <c r="Y123" s="236" t="s">
        <v>46</v>
      </c>
      <c r="Z123" s="236" t="s">
        <v>46</v>
      </c>
      <c r="AA123" s="236" t="s">
        <v>46</v>
      </c>
      <c r="AB123" s="236" t="s">
        <v>46</v>
      </c>
      <c r="AC123" s="236" t="s">
        <v>46</v>
      </c>
      <c r="AD123" s="236" t="s">
        <v>46</v>
      </c>
      <c r="AE123" s="236" t="s">
        <v>46</v>
      </c>
      <c r="AF123" s="236" t="s">
        <v>46</v>
      </c>
      <c r="AG123" s="236" t="s">
        <v>46</v>
      </c>
      <c r="AH123" s="236" t="s">
        <v>46</v>
      </c>
      <c r="AI123" s="236" t="s">
        <v>46</v>
      </c>
      <c r="AJ123" s="237">
        <v>3</v>
      </c>
      <c r="AK123" s="237">
        <v>4</v>
      </c>
      <c r="AL123" s="236">
        <f>AL122</f>
        <v>0.75</v>
      </c>
      <c r="AM123" s="236">
        <f>AM122</f>
        <v>2.7E-2</v>
      </c>
      <c r="AN123" s="236">
        <f>AN122</f>
        <v>3</v>
      </c>
      <c r="AQ123" s="239">
        <f>AM123*I123+AL123</f>
        <v>2.4510000000000001</v>
      </c>
      <c r="AR123" s="239">
        <f t="shared" ref="AR123:AR129" si="131">0.1*AQ123</f>
        <v>0.24510000000000001</v>
      </c>
      <c r="AS123" s="240">
        <f t="shared" ref="AS123:AS129" si="132">AJ123*3+0.25*AK123</f>
        <v>10</v>
      </c>
      <c r="AT123" s="240">
        <f t="shared" ref="AT123:AT129" si="133">SUM(AQ123:AS123)/4</f>
        <v>3.1740249999999999</v>
      </c>
      <c r="AU123" s="239">
        <f>10068.2*J123*POWER(10,-6)*10</f>
        <v>5.1347820000000002E-2</v>
      </c>
      <c r="AV123" s="240">
        <f t="shared" si="128"/>
        <v>15.921472820000002</v>
      </c>
      <c r="AW123" s="241">
        <f t="shared" ref="AW123:AW129" si="134">AJ123*H123</f>
        <v>5.6999999999999994E-7</v>
      </c>
      <c r="AX123" s="241">
        <f t="shared" ref="AX123:AX129" si="135">H123*AK123</f>
        <v>7.5999999999999992E-7</v>
      </c>
      <c r="AY123" s="241">
        <f t="shared" si="129"/>
        <v>3.0250798358E-6</v>
      </c>
      <c r="AZ123" s="289">
        <f>AW123/DB!$B$23</f>
        <v>6.8674698795180719E-10</v>
      </c>
      <c r="BA123" s="289">
        <f>AX123/DB!$B$23</f>
        <v>9.1566265060240952E-10</v>
      </c>
    </row>
    <row r="124" spans="1:53" s="236" customFormat="1" x14ac:dyDescent="0.3">
      <c r="A124" s="226" t="s">
        <v>20</v>
      </c>
      <c r="B124" s="226" t="str">
        <f>B122</f>
        <v>Емкость DP ЛВЖ+тоеси</v>
      </c>
      <c r="C124" s="228" t="s">
        <v>190</v>
      </c>
      <c r="D124" s="229" t="s">
        <v>118</v>
      </c>
      <c r="E124" s="242">
        <f>E122</f>
        <v>9.9999999999999995E-7</v>
      </c>
      <c r="F124" s="243">
        <f>F122</f>
        <v>1</v>
      </c>
      <c r="G124" s="226">
        <v>0.76</v>
      </c>
      <c r="H124" s="231">
        <f t="shared" si="130"/>
        <v>7.5999999999999992E-7</v>
      </c>
      <c r="I124" s="244">
        <f>I122</f>
        <v>63</v>
      </c>
      <c r="J124" s="233">
        <f>J123</f>
        <v>0.51</v>
      </c>
      <c r="K124" s="246" t="s">
        <v>124</v>
      </c>
      <c r="L124" s="247">
        <v>3</v>
      </c>
      <c r="M124" s="236" t="str">
        <f t="shared" si="126"/>
        <v>С3</v>
      </c>
      <c r="N124" s="236" t="str">
        <f t="shared" si="126"/>
        <v>Емкость DP ЛВЖ+тоеси</v>
      </c>
      <c r="O124" s="236" t="str">
        <f t="shared" si="127"/>
        <v>Полное-токси</v>
      </c>
      <c r="P124" s="236" t="s">
        <v>46</v>
      </c>
      <c r="Q124" s="236" t="s">
        <v>46</v>
      </c>
      <c r="R124" s="236" t="s">
        <v>46</v>
      </c>
      <c r="S124" s="236" t="s">
        <v>46</v>
      </c>
      <c r="T124" s="236" t="s">
        <v>46</v>
      </c>
      <c r="U124" s="236" t="s">
        <v>46</v>
      </c>
      <c r="V124" s="236" t="s">
        <v>46</v>
      </c>
      <c r="W124" s="236" t="s">
        <v>46</v>
      </c>
      <c r="X124" s="236" t="s">
        <v>46</v>
      </c>
      <c r="Y124" s="236" t="s">
        <v>46</v>
      </c>
      <c r="Z124" s="236" t="s">
        <v>46</v>
      </c>
      <c r="AA124" s="236" t="s">
        <v>46</v>
      </c>
      <c r="AB124" s="236" t="s">
        <v>46</v>
      </c>
      <c r="AC124" s="236">
        <v>186.2</v>
      </c>
      <c r="AD124" s="236">
        <v>351.4</v>
      </c>
      <c r="AE124" s="236" t="s">
        <v>46</v>
      </c>
      <c r="AF124" s="236" t="s">
        <v>46</v>
      </c>
      <c r="AG124" s="236" t="s">
        <v>46</v>
      </c>
      <c r="AH124" s="236" t="s">
        <v>46</v>
      </c>
      <c r="AI124" s="236" t="s">
        <v>46</v>
      </c>
      <c r="AJ124" s="236">
        <v>0</v>
      </c>
      <c r="AK124" s="236">
        <v>0</v>
      </c>
      <c r="AL124" s="236">
        <f>AL122</f>
        <v>0.75</v>
      </c>
      <c r="AM124" s="236">
        <f>AM122</f>
        <v>2.7E-2</v>
      </c>
      <c r="AN124" s="236">
        <f>AN122</f>
        <v>3</v>
      </c>
      <c r="AQ124" s="239">
        <f>AM124*I124*0.1+AL124</f>
        <v>0.92010000000000003</v>
      </c>
      <c r="AR124" s="239">
        <f t="shared" si="131"/>
        <v>9.2010000000000008E-2</v>
      </c>
      <c r="AS124" s="240">
        <f t="shared" si="132"/>
        <v>0</v>
      </c>
      <c r="AT124" s="240">
        <f t="shared" si="133"/>
        <v>0.25302750000000002</v>
      </c>
      <c r="AU124" s="239">
        <f>1333*J122*POWER(10,-6)</f>
        <v>8.3978999999999998E-2</v>
      </c>
      <c r="AV124" s="240">
        <f t="shared" si="128"/>
        <v>1.3491165000000001</v>
      </c>
      <c r="AW124" s="241">
        <f t="shared" si="134"/>
        <v>0</v>
      </c>
      <c r="AX124" s="241">
        <f t="shared" si="135"/>
        <v>0</v>
      </c>
      <c r="AY124" s="241">
        <f t="shared" si="129"/>
        <v>1.0253285399999999E-6</v>
      </c>
      <c r="AZ124" s="289">
        <f>AW124/DB!$B$23</f>
        <v>0</v>
      </c>
      <c r="BA124" s="289">
        <f>AX124/DB!$B$23</f>
        <v>0</v>
      </c>
    </row>
    <row r="125" spans="1:53" s="236" customFormat="1" x14ac:dyDescent="0.3">
      <c r="A125" s="226" t="s">
        <v>21</v>
      </c>
      <c r="B125" s="226" t="str">
        <f>B122</f>
        <v>Емкость DP ЛВЖ+тоеси</v>
      </c>
      <c r="C125" s="228" t="s">
        <v>160</v>
      </c>
      <c r="D125" s="229" t="s">
        <v>161</v>
      </c>
      <c r="E125" s="230">
        <v>1.0000000000000001E-5</v>
      </c>
      <c r="F125" s="243">
        <f>F122</f>
        <v>1</v>
      </c>
      <c r="G125" s="226">
        <v>4.0000000000000008E-2</v>
      </c>
      <c r="H125" s="231">
        <f t="shared" si="130"/>
        <v>4.0000000000000009E-7</v>
      </c>
      <c r="I125" s="244">
        <f>0.15*I122</f>
        <v>9.4499999999999993</v>
      </c>
      <c r="J125" s="233">
        <f>I125</f>
        <v>9.4499999999999993</v>
      </c>
      <c r="K125" s="246" t="s">
        <v>126</v>
      </c>
      <c r="L125" s="247">
        <v>45390</v>
      </c>
      <c r="M125" s="236" t="str">
        <f t="shared" si="126"/>
        <v>С4</v>
      </c>
      <c r="N125" s="236" t="str">
        <f t="shared" si="126"/>
        <v>Емкость DP ЛВЖ+тоеси</v>
      </c>
      <c r="O125" s="236" t="str">
        <f t="shared" si="127"/>
        <v>Частичное факел</v>
      </c>
      <c r="P125" s="236" t="s">
        <v>46</v>
      </c>
      <c r="Q125" s="236" t="s">
        <v>46</v>
      </c>
      <c r="R125" s="236" t="s">
        <v>46</v>
      </c>
      <c r="S125" s="236" t="s">
        <v>46</v>
      </c>
      <c r="T125" s="236" t="s">
        <v>46</v>
      </c>
      <c r="U125" s="236" t="s">
        <v>46</v>
      </c>
      <c r="V125" s="236" t="s">
        <v>46</v>
      </c>
      <c r="W125" s="236" t="s">
        <v>46</v>
      </c>
      <c r="X125" s="236" t="s">
        <v>46</v>
      </c>
      <c r="Y125" s="236">
        <v>23</v>
      </c>
      <c r="Z125" s="236">
        <v>4</v>
      </c>
      <c r="AA125" s="236" t="s">
        <v>46</v>
      </c>
      <c r="AB125" s="236" t="s">
        <v>46</v>
      </c>
      <c r="AC125" s="236" t="s">
        <v>46</v>
      </c>
      <c r="AD125" s="236" t="s">
        <v>46</v>
      </c>
      <c r="AE125" s="236" t="s">
        <v>46</v>
      </c>
      <c r="AF125" s="236" t="s">
        <v>46</v>
      </c>
      <c r="AG125" s="236" t="s">
        <v>46</v>
      </c>
      <c r="AH125" s="236" t="s">
        <v>46</v>
      </c>
      <c r="AI125" s="236" t="s">
        <v>46</v>
      </c>
      <c r="AJ125" s="236">
        <v>0</v>
      </c>
      <c r="AK125" s="236">
        <v>1</v>
      </c>
      <c r="AL125" s="236">
        <f>0.1*$AL$2</f>
        <v>7.5000000000000011E-2</v>
      </c>
      <c r="AM125" s="236">
        <f>AM123</f>
        <v>2.7E-2</v>
      </c>
      <c r="AN125" s="236">
        <f>AN122</f>
        <v>3</v>
      </c>
      <c r="AQ125" s="239">
        <f>AM125*I125*0.1+AL125</f>
        <v>0.10051500000000001</v>
      </c>
      <c r="AR125" s="239">
        <f t="shared" si="131"/>
        <v>1.0051500000000001E-2</v>
      </c>
      <c r="AS125" s="240">
        <f t="shared" si="132"/>
        <v>0.25</v>
      </c>
      <c r="AT125" s="240">
        <f t="shared" si="133"/>
        <v>9.0141625000000003E-2</v>
      </c>
      <c r="AU125" s="239">
        <f>10068.2*J125*POWER(10,-6)</f>
        <v>9.5144489999999998E-2</v>
      </c>
      <c r="AV125" s="240">
        <f t="shared" si="128"/>
        <v>0.54585261500000004</v>
      </c>
      <c r="AW125" s="241">
        <f t="shared" si="134"/>
        <v>0</v>
      </c>
      <c r="AX125" s="241">
        <f t="shared" si="135"/>
        <v>4.0000000000000009E-7</v>
      </c>
      <c r="AY125" s="241">
        <f t="shared" si="129"/>
        <v>2.1834104600000007E-7</v>
      </c>
      <c r="AZ125" s="289">
        <f>AW125/DB!$B$23</f>
        <v>0</v>
      </c>
      <c r="BA125" s="289">
        <f>AX125/DB!$B$23</f>
        <v>4.8192771084337365E-10</v>
      </c>
    </row>
    <row r="126" spans="1:53" s="236" customFormat="1" x14ac:dyDescent="0.3">
      <c r="A126" s="226" t="s">
        <v>22</v>
      </c>
      <c r="B126" s="226" t="str">
        <f>B122</f>
        <v>Емкость DP ЛВЖ+тоеси</v>
      </c>
      <c r="C126" s="228" t="s">
        <v>191</v>
      </c>
      <c r="D126" s="229" t="s">
        <v>119</v>
      </c>
      <c r="E126" s="242">
        <f>E125</f>
        <v>1.0000000000000001E-5</v>
      </c>
      <c r="F126" s="243">
        <f>F122</f>
        <v>1</v>
      </c>
      <c r="G126" s="226">
        <v>0.16000000000000003</v>
      </c>
      <c r="H126" s="231">
        <f t="shared" si="130"/>
        <v>1.6000000000000004E-6</v>
      </c>
      <c r="I126" s="244">
        <f>0.15*I122</f>
        <v>9.4499999999999993</v>
      </c>
      <c r="J126" s="233">
        <f>J123*0.15</f>
        <v>7.6499999999999999E-2</v>
      </c>
      <c r="K126" s="246" t="s">
        <v>127</v>
      </c>
      <c r="L126" s="247">
        <v>3</v>
      </c>
      <c r="M126" s="236" t="str">
        <f t="shared" si="126"/>
        <v>С5</v>
      </c>
      <c r="N126" s="236" t="str">
        <f t="shared" si="126"/>
        <v>Емкость DP ЛВЖ+тоеси</v>
      </c>
      <c r="O126" s="236" t="str">
        <f t="shared" si="127"/>
        <v>Частичное-токси</v>
      </c>
      <c r="P126" s="236" t="s">
        <v>46</v>
      </c>
      <c r="Q126" s="236" t="s">
        <v>46</v>
      </c>
      <c r="R126" s="236" t="s">
        <v>46</v>
      </c>
      <c r="S126" s="236" t="s">
        <v>46</v>
      </c>
      <c r="T126" s="236" t="s">
        <v>46</v>
      </c>
      <c r="U126" s="236" t="s">
        <v>46</v>
      </c>
      <c r="V126" s="236" t="s">
        <v>46</v>
      </c>
      <c r="W126" s="236" t="s">
        <v>46</v>
      </c>
      <c r="X126" s="236" t="s">
        <v>46</v>
      </c>
      <c r="Y126" s="236" t="s">
        <v>46</v>
      </c>
      <c r="Z126" s="236" t="s">
        <v>46</v>
      </c>
      <c r="AA126" s="236" t="s">
        <v>46</v>
      </c>
      <c r="AB126" s="236" t="s">
        <v>46</v>
      </c>
      <c r="AC126" s="236">
        <v>27.9</v>
      </c>
      <c r="AD126" s="236">
        <v>52.7</v>
      </c>
      <c r="AE126" s="236" t="s">
        <v>46</v>
      </c>
      <c r="AF126" s="236" t="s">
        <v>46</v>
      </c>
      <c r="AG126" s="236" t="s">
        <v>46</v>
      </c>
      <c r="AH126" s="236" t="s">
        <v>46</v>
      </c>
      <c r="AI126" s="236" t="s">
        <v>46</v>
      </c>
      <c r="AJ126" s="236">
        <v>0</v>
      </c>
      <c r="AK126" s="236">
        <v>1</v>
      </c>
      <c r="AL126" s="236">
        <f>0.1*$AL$2</f>
        <v>7.5000000000000011E-2</v>
      </c>
      <c r="AM126" s="236">
        <f>AM122</f>
        <v>2.7E-2</v>
      </c>
      <c r="AN126" s="236">
        <f>ROUNDUP(AN122/3,0)</f>
        <v>1</v>
      </c>
      <c r="AQ126" s="239">
        <f>AM126*I126+AL126</f>
        <v>0.33015</v>
      </c>
      <c r="AR126" s="239">
        <f t="shared" si="131"/>
        <v>3.3015000000000003E-2</v>
      </c>
      <c r="AS126" s="240">
        <f t="shared" si="132"/>
        <v>0.25</v>
      </c>
      <c r="AT126" s="240">
        <f t="shared" si="133"/>
        <v>0.15329124999999999</v>
      </c>
      <c r="AU126" s="239">
        <f>1333*J123*POWER(10,-6)*10</f>
        <v>6.7983000000000002E-3</v>
      </c>
      <c r="AV126" s="240">
        <f t="shared" si="128"/>
        <v>0.7732545500000001</v>
      </c>
      <c r="AW126" s="241">
        <f t="shared" si="134"/>
        <v>0</v>
      </c>
      <c r="AX126" s="241">
        <f t="shared" si="135"/>
        <v>1.6000000000000004E-6</v>
      </c>
      <c r="AY126" s="241">
        <f t="shared" si="129"/>
        <v>1.2372072800000003E-6</v>
      </c>
      <c r="AZ126" s="289">
        <f>AW126/DB!$B$23</f>
        <v>0</v>
      </c>
      <c r="BA126" s="289">
        <f>AX126/DB!$B$23</f>
        <v>1.9277108433734946E-9</v>
      </c>
    </row>
    <row r="127" spans="1:53" s="236" customFormat="1" x14ac:dyDescent="0.3">
      <c r="A127" s="226" t="s">
        <v>23</v>
      </c>
      <c r="B127" s="226" t="str">
        <f>B122</f>
        <v>Емкость DP ЛВЖ+тоеси</v>
      </c>
      <c r="C127" s="228" t="s">
        <v>162</v>
      </c>
      <c r="D127" s="229" t="s">
        <v>161</v>
      </c>
      <c r="E127" s="242">
        <f>E126</f>
        <v>1.0000000000000001E-5</v>
      </c>
      <c r="F127" s="243">
        <v>1</v>
      </c>
      <c r="G127" s="226">
        <v>4.0000000000000008E-2</v>
      </c>
      <c r="H127" s="231">
        <f t="shared" si="130"/>
        <v>4.0000000000000009E-7</v>
      </c>
      <c r="I127" s="244">
        <f>J123*0.6</f>
        <v>0.30599999999999999</v>
      </c>
      <c r="J127" s="233">
        <f>I127</f>
        <v>0.30599999999999999</v>
      </c>
      <c r="K127" s="248" t="s">
        <v>138</v>
      </c>
      <c r="L127" s="249">
        <v>13</v>
      </c>
      <c r="M127" s="236" t="str">
        <f t="shared" si="126"/>
        <v>С6</v>
      </c>
      <c r="N127" s="236" t="str">
        <f t="shared" si="126"/>
        <v>Емкость DP ЛВЖ+тоеси</v>
      </c>
      <c r="O127" s="236" t="str">
        <f t="shared" si="127"/>
        <v>Частичное факел</v>
      </c>
      <c r="P127" s="236" t="s">
        <v>46</v>
      </c>
      <c r="Q127" s="236" t="s">
        <v>46</v>
      </c>
      <c r="R127" s="236" t="s">
        <v>46</v>
      </c>
      <c r="S127" s="236" t="s">
        <v>46</v>
      </c>
      <c r="T127" s="236" t="s">
        <v>46</v>
      </c>
      <c r="U127" s="236" t="s">
        <v>46</v>
      </c>
      <c r="V127" s="236" t="s">
        <v>46</v>
      </c>
      <c r="W127" s="236" t="s">
        <v>46</v>
      </c>
      <c r="X127" s="236" t="s">
        <v>46</v>
      </c>
      <c r="Y127" s="236">
        <v>8</v>
      </c>
      <c r="Z127" s="236">
        <v>2</v>
      </c>
      <c r="AA127" s="236" t="s">
        <v>46</v>
      </c>
      <c r="AB127" s="236" t="s">
        <v>46</v>
      </c>
      <c r="AC127" s="236" t="s">
        <v>46</v>
      </c>
      <c r="AD127" s="236" t="s">
        <v>46</v>
      </c>
      <c r="AE127" s="236" t="s">
        <v>46</v>
      </c>
      <c r="AF127" s="236" t="s">
        <v>46</v>
      </c>
      <c r="AG127" s="236" t="s">
        <v>46</v>
      </c>
      <c r="AH127" s="236" t="s">
        <v>46</v>
      </c>
      <c r="AI127" s="236" t="s">
        <v>46</v>
      </c>
      <c r="AJ127" s="236">
        <v>0</v>
      </c>
      <c r="AK127" s="236">
        <v>1</v>
      </c>
      <c r="AL127" s="236">
        <f>0.1*$AL$2</f>
        <v>7.5000000000000011E-2</v>
      </c>
      <c r="AM127" s="236">
        <f>AM122</f>
        <v>2.7E-2</v>
      </c>
      <c r="AN127" s="236">
        <f>AN126</f>
        <v>1</v>
      </c>
      <c r="AQ127" s="239">
        <f>AM127*I127+AL127</f>
        <v>8.3262000000000017E-2</v>
      </c>
      <c r="AR127" s="239">
        <f t="shared" si="131"/>
        <v>8.3262000000000023E-3</v>
      </c>
      <c r="AS127" s="240">
        <f t="shared" si="132"/>
        <v>0.25</v>
      </c>
      <c r="AT127" s="240">
        <f t="shared" si="133"/>
        <v>8.5397050000000002E-2</v>
      </c>
      <c r="AU127" s="239">
        <f>10068.2*J127*POWER(10,-6)</f>
        <v>3.0808692E-3</v>
      </c>
      <c r="AV127" s="240">
        <f t="shared" si="128"/>
        <v>0.43006611920000004</v>
      </c>
      <c r="AW127" s="241">
        <f t="shared" si="134"/>
        <v>0</v>
      </c>
      <c r="AX127" s="241">
        <f t="shared" si="135"/>
        <v>4.0000000000000009E-7</v>
      </c>
      <c r="AY127" s="241">
        <f t="shared" si="129"/>
        <v>1.7202644768000005E-7</v>
      </c>
      <c r="AZ127" s="289">
        <f>AW127/DB!$B$23</f>
        <v>0</v>
      </c>
      <c r="BA127" s="289">
        <f>AX127/DB!$B$23</f>
        <v>4.8192771084337365E-10</v>
      </c>
    </row>
    <row r="128" spans="1:53" s="236" customFormat="1" x14ac:dyDescent="0.3">
      <c r="A128" s="226" t="s">
        <v>157</v>
      </c>
      <c r="B128" s="226" t="str">
        <f>B122</f>
        <v>Емкость DP ЛВЖ+тоеси</v>
      </c>
      <c r="C128" s="228" t="s">
        <v>163</v>
      </c>
      <c r="D128" s="229" t="s">
        <v>112</v>
      </c>
      <c r="E128" s="242">
        <f>E126</f>
        <v>1.0000000000000001E-5</v>
      </c>
      <c r="F128" s="243">
        <f>F122</f>
        <v>1</v>
      </c>
      <c r="G128" s="226">
        <v>0.15200000000000002</v>
      </c>
      <c r="H128" s="231">
        <f t="shared" si="130"/>
        <v>1.5200000000000003E-6</v>
      </c>
      <c r="I128" s="244">
        <f>I127</f>
        <v>0.30599999999999999</v>
      </c>
      <c r="J128" s="233">
        <f>I128</f>
        <v>0.30599999999999999</v>
      </c>
      <c r="K128" s="246"/>
      <c r="L128" s="247"/>
      <c r="M128" s="236" t="str">
        <f t="shared" si="126"/>
        <v>С7</v>
      </c>
      <c r="N128" s="236" t="str">
        <f t="shared" si="126"/>
        <v>Емкость DP ЛВЖ+тоеси</v>
      </c>
      <c r="O128" s="236" t="str">
        <f t="shared" si="127"/>
        <v>Частичное-пожар-вспышка</v>
      </c>
      <c r="P128" s="236" t="s">
        <v>46</v>
      </c>
      <c r="Q128" s="236" t="s">
        <v>46</v>
      </c>
      <c r="R128" s="236" t="s">
        <v>46</v>
      </c>
      <c r="S128" s="236" t="s">
        <v>46</v>
      </c>
      <c r="T128" s="236" t="s">
        <v>46</v>
      </c>
      <c r="U128" s="236" t="s">
        <v>46</v>
      </c>
      <c r="V128" s="236" t="s">
        <v>46</v>
      </c>
      <c r="W128" s="236" t="s">
        <v>46</v>
      </c>
      <c r="X128" s="236" t="s">
        <v>46</v>
      </c>
      <c r="Y128" s="236" t="s">
        <v>46</v>
      </c>
      <c r="Z128" s="236" t="s">
        <v>46</v>
      </c>
      <c r="AA128" s="236">
        <v>22.68</v>
      </c>
      <c r="AB128" s="236">
        <v>27.22</v>
      </c>
      <c r="AC128" s="236" t="s">
        <v>46</v>
      </c>
      <c r="AD128" s="236" t="s">
        <v>46</v>
      </c>
      <c r="AE128" s="236" t="s">
        <v>46</v>
      </c>
      <c r="AF128" s="236" t="s">
        <v>46</v>
      </c>
      <c r="AG128" s="236" t="s">
        <v>46</v>
      </c>
      <c r="AH128" s="236" t="s">
        <v>46</v>
      </c>
      <c r="AI128" s="236" t="s">
        <v>46</v>
      </c>
      <c r="AJ128" s="236">
        <v>0</v>
      </c>
      <c r="AK128" s="236">
        <v>1</v>
      </c>
      <c r="AL128" s="236">
        <f>0.1*$AL$2</f>
        <v>7.5000000000000011E-2</v>
      </c>
      <c r="AM128" s="236">
        <f>AM122</f>
        <v>2.7E-2</v>
      </c>
      <c r="AN128" s="236">
        <f>ROUNDUP(AN122/3,0)</f>
        <v>1</v>
      </c>
      <c r="AQ128" s="239">
        <f>AM128*I128+AL128</f>
        <v>8.3262000000000017E-2</v>
      </c>
      <c r="AR128" s="239">
        <f t="shared" si="131"/>
        <v>8.3262000000000023E-3</v>
      </c>
      <c r="AS128" s="240">
        <f t="shared" si="132"/>
        <v>0.25</v>
      </c>
      <c r="AT128" s="240">
        <f t="shared" si="133"/>
        <v>8.5397050000000002E-2</v>
      </c>
      <c r="AU128" s="239">
        <f>10068.2*J128*POWER(10,-6)</f>
        <v>3.0808692E-3</v>
      </c>
      <c r="AV128" s="240">
        <f t="shared" si="128"/>
        <v>0.43006611920000004</v>
      </c>
      <c r="AW128" s="241">
        <f t="shared" si="134"/>
        <v>0</v>
      </c>
      <c r="AX128" s="241">
        <f t="shared" si="135"/>
        <v>1.5200000000000003E-6</v>
      </c>
      <c r="AY128" s="241">
        <f t="shared" si="129"/>
        <v>6.5370050118400023E-7</v>
      </c>
      <c r="AZ128" s="289">
        <f>AW128/DB!$B$23</f>
        <v>0</v>
      </c>
      <c r="BA128" s="289">
        <f>AX128/DB!$B$23</f>
        <v>1.8313253012048197E-9</v>
      </c>
    </row>
    <row r="129" spans="1:53" s="236" customFormat="1" ht="15" thickBot="1" x14ac:dyDescent="0.35">
      <c r="A129" s="226" t="s">
        <v>158</v>
      </c>
      <c r="B129" s="226" t="str">
        <f>B122</f>
        <v>Емкость DP ЛВЖ+тоеси</v>
      </c>
      <c r="C129" s="228" t="s">
        <v>165</v>
      </c>
      <c r="D129" s="229" t="s">
        <v>119</v>
      </c>
      <c r="E129" s="242">
        <f>E126</f>
        <v>1.0000000000000001E-5</v>
      </c>
      <c r="F129" s="243">
        <f>F122</f>
        <v>1</v>
      </c>
      <c r="G129" s="226">
        <v>0.6080000000000001</v>
      </c>
      <c r="H129" s="231">
        <f t="shared" si="130"/>
        <v>6.0800000000000011E-6</v>
      </c>
      <c r="I129" s="244">
        <f>I127</f>
        <v>0.30599999999999999</v>
      </c>
      <c r="J129" s="233">
        <f>J127</f>
        <v>0.30599999999999999</v>
      </c>
      <c r="K129" s="250"/>
      <c r="L129" s="251"/>
      <c r="M129" s="236" t="str">
        <f t="shared" si="126"/>
        <v>С8</v>
      </c>
      <c r="N129" s="236" t="str">
        <f t="shared" si="126"/>
        <v>Емкость DP ЛВЖ+тоеси</v>
      </c>
      <c r="O129" s="236" t="str">
        <f t="shared" si="127"/>
        <v>Частичное-токси</v>
      </c>
      <c r="P129" s="236" t="s">
        <v>46</v>
      </c>
      <c r="Q129" s="236" t="s">
        <v>46</v>
      </c>
      <c r="R129" s="236" t="s">
        <v>46</v>
      </c>
      <c r="S129" s="236" t="s">
        <v>46</v>
      </c>
      <c r="T129" s="236" t="s">
        <v>46</v>
      </c>
      <c r="U129" s="236" t="s">
        <v>46</v>
      </c>
      <c r="V129" s="236" t="s">
        <v>46</v>
      </c>
      <c r="W129" s="236" t="s">
        <v>46</v>
      </c>
      <c r="X129" s="236" t="s">
        <v>46</v>
      </c>
      <c r="Y129" s="236" t="s">
        <v>46</v>
      </c>
      <c r="Z129" s="236" t="s">
        <v>46</v>
      </c>
      <c r="AA129" s="236" t="s">
        <v>46</v>
      </c>
      <c r="AB129" s="236" t="s">
        <v>46</v>
      </c>
      <c r="AC129" s="236">
        <v>111.7</v>
      </c>
      <c r="AD129" s="236">
        <v>210.8</v>
      </c>
      <c r="AE129" s="236" t="s">
        <v>46</v>
      </c>
      <c r="AF129" s="236" t="s">
        <v>46</v>
      </c>
      <c r="AG129" s="236" t="s">
        <v>46</v>
      </c>
      <c r="AH129" s="236" t="s">
        <v>46</v>
      </c>
      <c r="AI129" s="236" t="s">
        <v>46</v>
      </c>
      <c r="AJ129" s="236">
        <v>0</v>
      </c>
      <c r="AK129" s="236">
        <v>0</v>
      </c>
      <c r="AL129" s="236">
        <f>0.1*$AL$2</f>
        <v>7.5000000000000011E-2</v>
      </c>
      <c r="AM129" s="236">
        <f>AM122</f>
        <v>2.7E-2</v>
      </c>
      <c r="AN129" s="236">
        <f>ROUNDUP(AN122/3,0)</f>
        <v>1</v>
      </c>
      <c r="AQ129" s="239">
        <f>AM129*I129*0.1+AL129</f>
        <v>7.582620000000001E-2</v>
      </c>
      <c r="AR129" s="239">
        <f t="shared" si="131"/>
        <v>7.5826200000000017E-3</v>
      </c>
      <c r="AS129" s="240">
        <f t="shared" si="132"/>
        <v>0</v>
      </c>
      <c r="AT129" s="240">
        <f t="shared" si="133"/>
        <v>2.0852205000000002E-2</v>
      </c>
      <c r="AU129" s="239">
        <f>1333*J127*POWER(10,-6)</f>
        <v>4.0789799999999996E-4</v>
      </c>
      <c r="AV129" s="240">
        <f t="shared" si="128"/>
        <v>0.10466892300000001</v>
      </c>
      <c r="AW129" s="241">
        <f t="shared" si="134"/>
        <v>0</v>
      </c>
      <c r="AX129" s="241">
        <f t="shared" si="135"/>
        <v>0</v>
      </c>
      <c r="AY129" s="241">
        <f t="shared" si="129"/>
        <v>6.3638705184000013E-7</v>
      </c>
      <c r="AZ129" s="289">
        <f>AW129/DB!$B$23</f>
        <v>0</v>
      </c>
      <c r="BA129" s="289">
        <f>AX129/DB!$B$23</f>
        <v>0</v>
      </c>
    </row>
    <row r="130" spans="1:53" s="236" customFormat="1" x14ac:dyDescent="0.3">
      <c r="A130" s="252" t="s">
        <v>187</v>
      </c>
      <c r="B130" s="252" t="str">
        <f>B122</f>
        <v>Емкость DP ЛВЖ+тоеси</v>
      </c>
      <c r="C130" s="252" t="s">
        <v>341</v>
      </c>
      <c r="D130" s="252" t="s">
        <v>342</v>
      </c>
      <c r="E130" s="253">
        <v>2.5000000000000001E-5</v>
      </c>
      <c r="F130" s="252">
        <v>1</v>
      </c>
      <c r="G130" s="252">
        <v>1</v>
      </c>
      <c r="H130" s="254">
        <f t="shared" si="130"/>
        <v>2.5000000000000001E-5</v>
      </c>
      <c r="I130" s="255">
        <f>I122</f>
        <v>63</v>
      </c>
      <c r="J130" s="255">
        <f>J122*0.3</f>
        <v>18.899999999999999</v>
      </c>
      <c r="K130" s="252"/>
      <c r="L130" s="252"/>
      <c r="M130" s="256" t="str">
        <f t="shared" si="126"/>
        <v>С9</v>
      </c>
      <c r="N130" s="236" t="str">
        <f t="shared" si="126"/>
        <v>Емкость DP ЛВЖ+тоеси</v>
      </c>
      <c r="O130" s="236" t="str">
        <f t="shared" si="127"/>
        <v>Частичное-шар+пожар</v>
      </c>
      <c r="P130" s="256">
        <v>19.3</v>
      </c>
      <c r="Q130" s="256">
        <v>26.9</v>
      </c>
      <c r="R130" s="256">
        <v>38.6</v>
      </c>
      <c r="S130" s="256">
        <v>72.2</v>
      </c>
      <c r="T130" s="256"/>
      <c r="U130" s="256"/>
      <c r="V130" s="256"/>
      <c r="W130" s="256"/>
      <c r="X130" s="256"/>
      <c r="Y130" s="256"/>
      <c r="Z130" s="256"/>
      <c r="AA130" s="256"/>
      <c r="AB130" s="256"/>
      <c r="AC130" s="256"/>
      <c r="AD130" s="256"/>
      <c r="AE130" s="256">
        <v>123</v>
      </c>
      <c r="AF130" s="256">
        <v>176.5</v>
      </c>
      <c r="AG130" s="256">
        <v>210</v>
      </c>
      <c r="AH130" s="256">
        <v>269.5</v>
      </c>
      <c r="AI130" s="256"/>
      <c r="AJ130" s="256">
        <v>1</v>
      </c>
      <c r="AK130" s="256">
        <v>2</v>
      </c>
      <c r="AL130" s="256">
        <f>AL122</f>
        <v>0.75</v>
      </c>
      <c r="AM130" s="256">
        <f>AM122</f>
        <v>2.7E-2</v>
      </c>
      <c r="AN130" s="256">
        <v>5</v>
      </c>
      <c r="AO130" s="256"/>
      <c r="AP130" s="256"/>
      <c r="AQ130" s="257">
        <f>AM130*I130+AL130</f>
        <v>2.4510000000000001</v>
      </c>
      <c r="AR130" s="257">
        <f>0.1*AQ130</f>
        <v>0.24510000000000001</v>
      </c>
      <c r="AS130" s="258">
        <f>AJ130*3+0.25*AK130</f>
        <v>3.5</v>
      </c>
      <c r="AT130" s="258">
        <f>SUM(AQ130:AS130)/4</f>
        <v>1.5490249999999999</v>
      </c>
      <c r="AU130" s="257">
        <f>10068.2*J130*POWER(10,-6)</f>
        <v>0.19028898</v>
      </c>
      <c r="AV130" s="258">
        <f t="shared" si="128"/>
        <v>7.9354139799999999</v>
      </c>
      <c r="AW130" s="259">
        <f>AJ130*H130</f>
        <v>2.5000000000000001E-5</v>
      </c>
      <c r="AX130" s="259">
        <f>H130*AK130</f>
        <v>5.0000000000000002E-5</v>
      </c>
      <c r="AY130" s="259">
        <f t="shared" si="129"/>
        <v>1.9838534950000002E-4</v>
      </c>
      <c r="AZ130" s="289">
        <f>AW130/DB!$B$23</f>
        <v>3.0120481927710842E-8</v>
      </c>
      <c r="BA130" s="289">
        <f>AX130/DB!$B$23</f>
        <v>6.0240963855421685E-8</v>
      </c>
    </row>
    <row r="131" spans="1:53" ht="15" thickBot="1" x14ac:dyDescent="0.35"/>
    <row r="132" spans="1:53" s="139" customFormat="1" ht="18" customHeight="1" x14ac:dyDescent="0.3">
      <c r="A132" s="130" t="s">
        <v>18</v>
      </c>
      <c r="B132" s="131" t="s">
        <v>172</v>
      </c>
      <c r="C132" s="13" t="s">
        <v>143</v>
      </c>
      <c r="D132" s="132" t="s">
        <v>25</v>
      </c>
      <c r="E132" s="133">
        <v>1.0000000000000001E-5</v>
      </c>
      <c r="F132" s="131">
        <v>1</v>
      </c>
      <c r="G132" s="130">
        <v>0.05</v>
      </c>
      <c r="H132" s="134">
        <f>E132*F132*G132</f>
        <v>5.0000000000000008E-7</v>
      </c>
      <c r="I132" s="135">
        <v>12</v>
      </c>
      <c r="J132" s="136">
        <f>I132</f>
        <v>12</v>
      </c>
      <c r="K132" s="137" t="s">
        <v>122</v>
      </c>
      <c r="L132" s="138">
        <v>200</v>
      </c>
      <c r="M132" s="139" t="str">
        <f t="shared" ref="M132:N134" si="136">A132</f>
        <v>С1</v>
      </c>
      <c r="N132" s="139" t="str">
        <f t="shared" si="136"/>
        <v>Емкость подземная ЛВЖ</v>
      </c>
      <c r="O132" s="139" t="str">
        <f>D132</f>
        <v>Полное-пожар</v>
      </c>
      <c r="P132" s="139" t="s">
        <v>46</v>
      </c>
      <c r="Q132" s="139" t="s">
        <v>46</v>
      </c>
      <c r="R132" s="139" t="s">
        <v>46</v>
      </c>
      <c r="S132" s="139" t="s">
        <v>46</v>
      </c>
      <c r="T132" s="139" t="s">
        <v>46</v>
      </c>
      <c r="U132" s="139" t="s">
        <v>46</v>
      </c>
      <c r="V132" s="139" t="s">
        <v>46</v>
      </c>
      <c r="W132" s="139" t="s">
        <v>46</v>
      </c>
      <c r="X132" s="139" t="s">
        <v>46</v>
      </c>
      <c r="Y132" s="139" t="s">
        <v>46</v>
      </c>
      <c r="Z132" s="139" t="s">
        <v>46</v>
      </c>
      <c r="AA132" s="139" t="s">
        <v>46</v>
      </c>
      <c r="AB132" s="139" t="s">
        <v>46</v>
      </c>
      <c r="AC132" s="139" t="s">
        <v>46</v>
      </c>
      <c r="AD132" s="139" t="s">
        <v>46</v>
      </c>
      <c r="AE132" s="139" t="s">
        <v>46</v>
      </c>
      <c r="AF132" s="139" t="s">
        <v>46</v>
      </c>
      <c r="AG132" s="139" t="s">
        <v>46</v>
      </c>
      <c r="AH132" s="139" t="s">
        <v>46</v>
      </c>
      <c r="AI132" s="139" t="s">
        <v>46</v>
      </c>
      <c r="AJ132" s="140">
        <v>1</v>
      </c>
      <c r="AK132" s="140">
        <v>2</v>
      </c>
      <c r="AL132" s="141">
        <v>0.75</v>
      </c>
      <c r="AM132" s="141">
        <v>2.7E-2</v>
      </c>
      <c r="AN132" s="141">
        <v>3</v>
      </c>
      <c r="AQ132" s="142">
        <f>AM132*I132+AL132</f>
        <v>1.0740000000000001</v>
      </c>
      <c r="AR132" s="142">
        <f>0.1*AQ132</f>
        <v>0.10740000000000001</v>
      </c>
      <c r="AS132" s="143">
        <f>AJ132*3+0.25*AK132</f>
        <v>3.5</v>
      </c>
      <c r="AT132" s="143">
        <f>SUM(AQ132:AS132)/4</f>
        <v>1.17035</v>
      </c>
      <c r="AU132" s="142">
        <f>10068.2*J132*POWER(10,-6)</f>
        <v>0.12081840000000001</v>
      </c>
      <c r="AV132" s="143">
        <f>AU132+AT132+AS132+AR132+AQ132</f>
        <v>5.9725684000000001</v>
      </c>
      <c r="AW132" s="144">
        <f>AJ132*H132</f>
        <v>5.0000000000000008E-7</v>
      </c>
      <c r="AX132" s="144">
        <f>H132*AK132</f>
        <v>1.0000000000000002E-6</v>
      </c>
      <c r="AY132" s="144">
        <f>H132*AV132</f>
        <v>2.9862842000000004E-6</v>
      </c>
      <c r="AZ132" s="289">
        <f>AW132/DB!$B$23</f>
        <v>6.0240963855421696E-10</v>
      </c>
      <c r="BA132" s="289">
        <f>AX132/DB!$B$23</f>
        <v>1.2048192771084339E-9</v>
      </c>
    </row>
    <row r="133" spans="1:53" s="139" customFormat="1" x14ac:dyDescent="0.3">
      <c r="A133" s="130" t="s">
        <v>19</v>
      </c>
      <c r="B133" s="130" t="str">
        <f>B132</f>
        <v>Емкость подземная ЛВЖ</v>
      </c>
      <c r="C133" s="13" t="s">
        <v>149</v>
      </c>
      <c r="D133" s="132" t="s">
        <v>28</v>
      </c>
      <c r="E133" s="145">
        <f>E132</f>
        <v>1.0000000000000001E-5</v>
      </c>
      <c r="F133" s="146">
        <f>F132</f>
        <v>1</v>
      </c>
      <c r="G133" s="130">
        <v>4.7500000000000001E-2</v>
      </c>
      <c r="H133" s="134">
        <f>E133*F133*G133</f>
        <v>4.7500000000000006E-7</v>
      </c>
      <c r="I133" s="147">
        <f>I132</f>
        <v>12</v>
      </c>
      <c r="J133" s="155">
        <v>0.35</v>
      </c>
      <c r="K133" s="148" t="s">
        <v>123</v>
      </c>
      <c r="L133" s="149">
        <v>0</v>
      </c>
      <c r="M133" s="139" t="str">
        <f t="shared" si="136"/>
        <v>С2</v>
      </c>
      <c r="N133" s="139" t="str">
        <f t="shared" si="136"/>
        <v>Емкость подземная ЛВЖ</v>
      </c>
      <c r="O133" s="139" t="str">
        <f>D133</f>
        <v>Полное-взрыв</v>
      </c>
      <c r="P133" s="139" t="s">
        <v>46</v>
      </c>
      <c r="Q133" s="139" t="s">
        <v>46</v>
      </c>
      <c r="R133" s="139" t="s">
        <v>46</v>
      </c>
      <c r="S133" s="139" t="s">
        <v>46</v>
      </c>
      <c r="T133" s="139" t="s">
        <v>46</v>
      </c>
      <c r="U133" s="139" t="s">
        <v>46</v>
      </c>
      <c r="V133" s="139" t="s">
        <v>46</v>
      </c>
      <c r="W133" s="139" t="s">
        <v>46</v>
      </c>
      <c r="X133" s="139" t="s">
        <v>46</v>
      </c>
      <c r="Y133" s="139" t="s">
        <v>46</v>
      </c>
      <c r="Z133" s="139" t="s">
        <v>46</v>
      </c>
      <c r="AA133" s="139" t="s">
        <v>46</v>
      </c>
      <c r="AB133" s="139" t="s">
        <v>46</v>
      </c>
      <c r="AC133" s="139" t="s">
        <v>46</v>
      </c>
      <c r="AD133" s="139" t="s">
        <v>46</v>
      </c>
      <c r="AE133" s="139" t="s">
        <v>46</v>
      </c>
      <c r="AF133" s="139" t="s">
        <v>46</v>
      </c>
      <c r="AG133" s="139" t="s">
        <v>46</v>
      </c>
      <c r="AH133" s="139" t="s">
        <v>46</v>
      </c>
      <c r="AI133" s="139" t="s">
        <v>46</v>
      </c>
      <c r="AJ133" s="140">
        <v>2</v>
      </c>
      <c r="AK133" s="140">
        <v>2</v>
      </c>
      <c r="AL133" s="139">
        <f>AL132</f>
        <v>0.75</v>
      </c>
      <c r="AM133" s="139">
        <f>AM132</f>
        <v>2.7E-2</v>
      </c>
      <c r="AN133" s="139">
        <f>AN132</f>
        <v>3</v>
      </c>
      <c r="AQ133" s="142">
        <f>AM133*I133+AL133</f>
        <v>1.0740000000000001</v>
      </c>
      <c r="AR133" s="142">
        <f>0.1*AQ133</f>
        <v>0.10740000000000001</v>
      </c>
      <c r="AS133" s="143">
        <f>AJ133*3+0.25*AK133</f>
        <v>6.5</v>
      </c>
      <c r="AT133" s="143">
        <f>SUM(AQ133:AS133)/4</f>
        <v>1.92035</v>
      </c>
      <c r="AU133" s="142">
        <f>10068.2*J133*POWER(10,-6)*10</f>
        <v>3.5238699999999998E-2</v>
      </c>
      <c r="AV133" s="143">
        <f>AU133+AT133+AS133+AR133+AQ133</f>
        <v>9.6369886999999999</v>
      </c>
      <c r="AW133" s="144">
        <f>AJ133*H133</f>
        <v>9.5000000000000012E-7</v>
      </c>
      <c r="AX133" s="144">
        <f>H133*AK133</f>
        <v>9.5000000000000012E-7</v>
      </c>
      <c r="AY133" s="144">
        <f>H133*AV133</f>
        <v>4.5775696325000001E-6</v>
      </c>
      <c r="AZ133" s="289">
        <f>AW133/DB!$B$23</f>
        <v>1.1445783132530122E-9</v>
      </c>
      <c r="BA133" s="289">
        <f>AX133/DB!$B$23</f>
        <v>1.1445783132530122E-9</v>
      </c>
    </row>
    <row r="134" spans="1:53" s="139" customFormat="1" x14ac:dyDescent="0.3">
      <c r="A134" s="130" t="s">
        <v>20</v>
      </c>
      <c r="B134" s="130" t="str">
        <f>B132</f>
        <v>Емкость подземная ЛВЖ</v>
      </c>
      <c r="C134" s="13" t="s">
        <v>188</v>
      </c>
      <c r="D134" s="132" t="s">
        <v>26</v>
      </c>
      <c r="E134" s="145">
        <f>E132</f>
        <v>1.0000000000000001E-5</v>
      </c>
      <c r="F134" s="146">
        <f>F132</f>
        <v>1</v>
      </c>
      <c r="G134" s="130">
        <v>0.90249999999999997</v>
      </c>
      <c r="H134" s="134">
        <f>E134*F134*G134</f>
        <v>9.0250000000000008E-6</v>
      </c>
      <c r="I134" s="147">
        <f>I132</f>
        <v>12</v>
      </c>
      <c r="J134" s="150">
        <v>0</v>
      </c>
      <c r="K134" s="148" t="s">
        <v>124</v>
      </c>
      <c r="L134" s="149">
        <v>0</v>
      </c>
      <c r="M134" s="139" t="str">
        <f t="shared" si="136"/>
        <v>С3</v>
      </c>
      <c r="N134" s="139" t="str">
        <f t="shared" si="136"/>
        <v>Емкость подземная ЛВЖ</v>
      </c>
      <c r="O134" s="139" t="str">
        <f>D134</f>
        <v>Полное-ликвидация</v>
      </c>
      <c r="P134" s="139" t="s">
        <v>46</v>
      </c>
      <c r="Q134" s="139" t="s">
        <v>46</v>
      </c>
      <c r="R134" s="139" t="s">
        <v>46</v>
      </c>
      <c r="S134" s="139" t="s">
        <v>46</v>
      </c>
      <c r="T134" s="139" t="s">
        <v>46</v>
      </c>
      <c r="U134" s="139" t="s">
        <v>46</v>
      </c>
      <c r="V134" s="139" t="s">
        <v>46</v>
      </c>
      <c r="W134" s="139" t="s">
        <v>46</v>
      </c>
      <c r="X134" s="139" t="s">
        <v>46</v>
      </c>
      <c r="Y134" s="139" t="s">
        <v>46</v>
      </c>
      <c r="Z134" s="139" t="s">
        <v>46</v>
      </c>
      <c r="AA134" s="139" t="s">
        <v>46</v>
      </c>
      <c r="AB134" s="139" t="s">
        <v>46</v>
      </c>
      <c r="AC134" s="139" t="s">
        <v>46</v>
      </c>
      <c r="AD134" s="139" t="s">
        <v>46</v>
      </c>
      <c r="AE134" s="139" t="s">
        <v>46</v>
      </c>
      <c r="AF134" s="139" t="s">
        <v>46</v>
      </c>
      <c r="AG134" s="139" t="s">
        <v>46</v>
      </c>
      <c r="AH134" s="139" t="s">
        <v>46</v>
      </c>
      <c r="AI134" s="139" t="s">
        <v>46</v>
      </c>
      <c r="AJ134" s="139">
        <v>0</v>
      </c>
      <c r="AK134" s="139">
        <v>0</v>
      </c>
      <c r="AL134" s="139">
        <f>AL132</f>
        <v>0.75</v>
      </c>
      <c r="AM134" s="139">
        <f>AM132</f>
        <v>2.7E-2</v>
      </c>
      <c r="AN134" s="139">
        <f>AN132</f>
        <v>3</v>
      </c>
      <c r="AQ134" s="142">
        <f>AM134*I134*0.1+AL134</f>
        <v>0.78239999999999998</v>
      </c>
      <c r="AR134" s="142">
        <f>0.1*AQ134</f>
        <v>7.8240000000000004E-2</v>
      </c>
      <c r="AS134" s="143">
        <f>AJ134*3+0.25*AK134</f>
        <v>0</v>
      </c>
      <c r="AT134" s="143">
        <f>SUM(AQ134:AS134)/4</f>
        <v>0.21515999999999999</v>
      </c>
      <c r="AU134" s="142">
        <f>1333*J132*POWER(10,-6)</f>
        <v>1.5996E-2</v>
      </c>
      <c r="AV134" s="143">
        <f>AU134+AT134+AS134+AR134+AQ134</f>
        <v>1.091796</v>
      </c>
      <c r="AW134" s="144">
        <f>AJ134*H134</f>
        <v>0</v>
      </c>
      <c r="AX134" s="144">
        <f>H134*AK134</f>
        <v>0</v>
      </c>
      <c r="AY134" s="144">
        <f>H134*AV134</f>
        <v>9.853458900000001E-6</v>
      </c>
      <c r="AZ134" s="289">
        <f>AW134/DB!$B$23</f>
        <v>0</v>
      </c>
      <c r="BA134" s="289">
        <f>AX134/DB!$B$23</f>
        <v>0</v>
      </c>
    </row>
    <row r="135" spans="1:53" s="139" customFormat="1" x14ac:dyDescent="0.3">
      <c r="A135" s="130"/>
      <c r="B135" s="130"/>
      <c r="C135" s="13"/>
      <c r="D135" s="132"/>
      <c r="E135" s="133"/>
      <c r="F135" s="146"/>
      <c r="G135" s="130"/>
      <c r="H135" s="134"/>
      <c r="I135" s="147"/>
      <c r="J135" s="136"/>
      <c r="K135" s="148" t="s">
        <v>126</v>
      </c>
      <c r="L135" s="149">
        <v>45390</v>
      </c>
      <c r="AQ135" s="142"/>
      <c r="AR135" s="142"/>
      <c r="AS135" s="143"/>
      <c r="AT135" s="143"/>
      <c r="AU135" s="142"/>
      <c r="AV135" s="143"/>
      <c r="AW135" s="144"/>
      <c r="AX135" s="144"/>
      <c r="AY135" s="144"/>
    </row>
    <row r="136" spans="1:53" s="139" customFormat="1" x14ac:dyDescent="0.3">
      <c r="A136" s="130"/>
      <c r="B136" s="130"/>
      <c r="C136" s="13"/>
      <c r="D136" s="132"/>
      <c r="E136" s="145"/>
      <c r="F136" s="146"/>
      <c r="G136" s="130"/>
      <c r="H136" s="134"/>
      <c r="I136" s="147"/>
      <c r="J136" s="136"/>
      <c r="K136" s="148" t="s">
        <v>127</v>
      </c>
      <c r="L136" s="149">
        <v>3</v>
      </c>
      <c r="AQ136" s="142"/>
      <c r="AR136" s="142"/>
      <c r="AS136" s="143"/>
      <c r="AT136" s="143"/>
      <c r="AU136" s="142"/>
      <c r="AV136" s="143"/>
      <c r="AW136" s="144"/>
      <c r="AX136" s="144"/>
      <c r="AY136" s="144"/>
    </row>
    <row r="137" spans="1:53" s="139" customFormat="1" ht="15" thickBot="1" x14ac:dyDescent="0.35">
      <c r="A137" s="130"/>
      <c r="B137" s="130"/>
      <c r="C137" s="13"/>
      <c r="D137" s="132"/>
      <c r="E137" s="145"/>
      <c r="F137" s="146"/>
      <c r="G137" s="130"/>
      <c r="H137" s="134"/>
      <c r="I137" s="147"/>
      <c r="J137" s="136"/>
      <c r="K137" s="153" t="s">
        <v>138</v>
      </c>
      <c r="L137" s="165">
        <v>14</v>
      </c>
      <c r="AQ137" s="142"/>
      <c r="AR137" s="142"/>
      <c r="AS137" s="143"/>
      <c r="AT137" s="143"/>
      <c r="AU137" s="142"/>
      <c r="AV137" s="143"/>
      <c r="AW137" s="144"/>
      <c r="AX137" s="144"/>
      <c r="AY137" s="144"/>
    </row>
    <row r="138" spans="1:53" s="139" customFormat="1" x14ac:dyDescent="0.3">
      <c r="A138" s="140"/>
      <c r="B138" s="140"/>
      <c r="D138" s="186"/>
      <c r="E138" s="187"/>
      <c r="F138" s="188"/>
      <c r="G138" s="140"/>
      <c r="H138" s="144"/>
      <c r="I138" s="143"/>
      <c r="J138" s="143"/>
      <c r="K138" s="140"/>
      <c r="L138" s="188"/>
      <c r="AQ138" s="142"/>
      <c r="AR138" s="142"/>
      <c r="AS138" s="143"/>
      <c r="AT138" s="143"/>
      <c r="AU138" s="142"/>
      <c r="AV138" s="143"/>
      <c r="AW138" s="144"/>
      <c r="AX138" s="144"/>
      <c r="AY138" s="144"/>
    </row>
    <row r="139" spans="1:53" s="139" customFormat="1" x14ac:dyDescent="0.3">
      <c r="A139" s="140"/>
      <c r="B139" s="140"/>
      <c r="D139" s="186"/>
      <c r="E139" s="187"/>
      <c r="F139" s="188"/>
      <c r="G139" s="140"/>
      <c r="H139" s="144"/>
      <c r="I139" s="143"/>
      <c r="J139" s="143"/>
      <c r="K139" s="140"/>
      <c r="L139" s="188"/>
      <c r="AQ139" s="142"/>
      <c r="AR139" s="142"/>
      <c r="AS139" s="143"/>
      <c r="AT139" s="143"/>
      <c r="AU139" s="142"/>
      <c r="AV139" s="143"/>
      <c r="AW139" s="144"/>
      <c r="AX139" s="144"/>
      <c r="AY139" s="144"/>
    </row>
    <row r="140" spans="1:53" s="139" customFormat="1" x14ac:dyDescent="0.3">
      <c r="A140" s="140"/>
      <c r="B140" s="140"/>
      <c r="D140" s="186"/>
      <c r="E140" s="187"/>
      <c r="F140" s="188"/>
      <c r="G140" s="140"/>
      <c r="H140" s="144"/>
      <c r="I140" s="143"/>
      <c r="J140" s="143"/>
      <c r="K140" s="140"/>
      <c r="L140" s="188"/>
      <c r="AQ140" s="142"/>
      <c r="AR140" s="142"/>
      <c r="AS140" s="143"/>
      <c r="AT140" s="143"/>
      <c r="AU140" s="142"/>
      <c r="AV140" s="143"/>
      <c r="AW140" s="144"/>
      <c r="AX140" s="144"/>
      <c r="AY140" s="144"/>
    </row>
    <row r="141" spans="1:53" ht="15" thickBot="1" x14ac:dyDescent="0.35"/>
    <row r="142" spans="1:53" s="139" customFormat="1" ht="18" customHeight="1" x14ac:dyDescent="0.3">
      <c r="A142" s="130" t="s">
        <v>18</v>
      </c>
      <c r="B142" s="131" t="s">
        <v>180</v>
      </c>
      <c r="C142" s="13" t="s">
        <v>143</v>
      </c>
      <c r="D142" s="132" t="s">
        <v>25</v>
      </c>
      <c r="E142" s="133">
        <v>1.0000000000000001E-5</v>
      </c>
      <c r="F142" s="131">
        <v>1</v>
      </c>
      <c r="G142" s="130">
        <v>0.05</v>
      </c>
      <c r="H142" s="134">
        <f>E142*F142*G142</f>
        <v>5.0000000000000008E-7</v>
      </c>
      <c r="I142" s="135">
        <v>12</v>
      </c>
      <c r="J142" s="192">
        <f>I142</f>
        <v>12</v>
      </c>
      <c r="K142" s="137" t="s">
        <v>122</v>
      </c>
      <c r="L142" s="138">
        <v>200</v>
      </c>
      <c r="M142" s="139" t="str">
        <f t="shared" ref="M142:N144" si="137">A142</f>
        <v>С1</v>
      </c>
      <c r="N142" s="139" t="str">
        <f t="shared" si="137"/>
        <v>Емкость подземная ГЖ</v>
      </c>
      <c r="O142" s="139" t="str">
        <f>D142</f>
        <v>Полное-пожар</v>
      </c>
      <c r="P142" s="139" t="s">
        <v>46</v>
      </c>
      <c r="Q142" s="139" t="s">
        <v>46</v>
      </c>
      <c r="R142" s="139" t="s">
        <v>46</v>
      </c>
      <c r="S142" s="139" t="s">
        <v>46</v>
      </c>
      <c r="T142" s="139" t="s">
        <v>46</v>
      </c>
      <c r="U142" s="139" t="s">
        <v>46</v>
      </c>
      <c r="V142" s="139" t="s">
        <v>46</v>
      </c>
      <c r="W142" s="139" t="s">
        <v>46</v>
      </c>
      <c r="X142" s="139" t="s">
        <v>46</v>
      </c>
      <c r="Y142" s="139" t="s">
        <v>46</v>
      </c>
      <c r="Z142" s="139" t="s">
        <v>46</v>
      </c>
      <c r="AA142" s="139" t="s">
        <v>46</v>
      </c>
      <c r="AB142" s="139" t="s">
        <v>46</v>
      </c>
      <c r="AC142" s="139" t="s">
        <v>46</v>
      </c>
      <c r="AD142" s="139" t="s">
        <v>46</v>
      </c>
      <c r="AE142" s="139" t="s">
        <v>46</v>
      </c>
      <c r="AF142" s="139" t="s">
        <v>46</v>
      </c>
      <c r="AG142" s="139" t="s">
        <v>46</v>
      </c>
      <c r="AH142" s="139" t="s">
        <v>46</v>
      </c>
      <c r="AI142" s="139" t="s">
        <v>46</v>
      </c>
      <c r="AJ142" s="140">
        <v>1</v>
      </c>
      <c r="AK142" s="140">
        <v>2</v>
      </c>
      <c r="AL142" s="141">
        <v>0.75</v>
      </c>
      <c r="AM142" s="141">
        <v>2.7E-2</v>
      </c>
      <c r="AN142" s="141">
        <v>3</v>
      </c>
      <c r="AQ142" s="142">
        <f>AM142*I142+AL142</f>
        <v>1.0740000000000001</v>
      </c>
      <c r="AR142" s="142">
        <f>0.1*AQ142</f>
        <v>0.10740000000000001</v>
      </c>
      <c r="AS142" s="143">
        <f>AJ142*3+0.25*AK142</f>
        <v>3.5</v>
      </c>
      <c r="AT142" s="143">
        <f>SUM(AQ142:AS142)/4</f>
        <v>1.17035</v>
      </c>
      <c r="AU142" s="142">
        <f>10068.2*J142*POWER(10,-6)</f>
        <v>0.12081840000000001</v>
      </c>
      <c r="AV142" s="143">
        <f>AU142+AT142+AS142+AR142+AQ142</f>
        <v>5.9725684000000001</v>
      </c>
      <c r="AW142" s="144">
        <f>AJ142*H142</f>
        <v>5.0000000000000008E-7</v>
      </c>
      <c r="AX142" s="144">
        <f>H142*AK142</f>
        <v>1.0000000000000002E-6</v>
      </c>
      <c r="AY142" s="144">
        <f>H142*AV142</f>
        <v>2.9862842000000004E-6</v>
      </c>
      <c r="AZ142" s="289">
        <f>AW142/DB!$B$23</f>
        <v>6.0240963855421696E-10</v>
      </c>
      <c r="BA142" s="289">
        <f>AX142/DB!$B$23</f>
        <v>1.2048192771084339E-9</v>
      </c>
    </row>
    <row r="143" spans="1:53" s="139" customFormat="1" x14ac:dyDescent="0.3">
      <c r="A143" s="130" t="s">
        <v>19</v>
      </c>
      <c r="B143" s="130" t="str">
        <f>B142</f>
        <v>Емкость подземная ГЖ</v>
      </c>
      <c r="C143" s="13" t="s">
        <v>192</v>
      </c>
      <c r="D143" s="132" t="s">
        <v>28</v>
      </c>
      <c r="E143" s="145">
        <f>E142</f>
        <v>1.0000000000000001E-5</v>
      </c>
      <c r="F143" s="146">
        <f>F142</f>
        <v>1</v>
      </c>
      <c r="G143" s="130">
        <v>4.7500000000000001E-2</v>
      </c>
      <c r="H143" s="134">
        <f>E143*F143*G143</f>
        <v>4.7500000000000006E-7</v>
      </c>
      <c r="I143" s="147">
        <f>I142</f>
        <v>12</v>
      </c>
      <c r="J143" s="192">
        <f>I142</f>
        <v>12</v>
      </c>
      <c r="K143" s="148" t="s">
        <v>123</v>
      </c>
      <c r="L143" s="149">
        <v>0</v>
      </c>
      <c r="M143" s="139" t="str">
        <f t="shared" si="137"/>
        <v>С2</v>
      </c>
      <c r="N143" s="139" t="str">
        <f t="shared" si="137"/>
        <v>Емкость подземная ГЖ</v>
      </c>
      <c r="O143" s="139" t="str">
        <f>D143</f>
        <v>Полное-взрыв</v>
      </c>
      <c r="P143" s="139" t="s">
        <v>46</v>
      </c>
      <c r="Q143" s="139" t="s">
        <v>46</v>
      </c>
      <c r="R143" s="139" t="s">
        <v>46</v>
      </c>
      <c r="S143" s="139" t="s">
        <v>46</v>
      </c>
      <c r="T143" s="139" t="s">
        <v>46</v>
      </c>
      <c r="U143" s="139" t="s">
        <v>46</v>
      </c>
      <c r="V143" s="139" t="s">
        <v>46</v>
      </c>
      <c r="W143" s="139" t="s">
        <v>46</v>
      </c>
      <c r="X143" s="139" t="s">
        <v>46</v>
      </c>
      <c r="Y143" s="139" t="s">
        <v>46</v>
      </c>
      <c r="Z143" s="139" t="s">
        <v>46</v>
      </c>
      <c r="AA143" s="139" t="s">
        <v>46</v>
      </c>
      <c r="AB143" s="139" t="s">
        <v>46</v>
      </c>
      <c r="AC143" s="139" t="s">
        <v>46</v>
      </c>
      <c r="AD143" s="139" t="s">
        <v>46</v>
      </c>
      <c r="AE143" s="139" t="s">
        <v>46</v>
      </c>
      <c r="AF143" s="139" t="s">
        <v>46</v>
      </c>
      <c r="AG143" s="139" t="s">
        <v>46</v>
      </c>
      <c r="AH143" s="139" t="s">
        <v>46</v>
      </c>
      <c r="AI143" s="139" t="s">
        <v>46</v>
      </c>
      <c r="AJ143" s="140">
        <v>2</v>
      </c>
      <c r="AK143" s="140">
        <v>2</v>
      </c>
      <c r="AL143" s="139">
        <f>AL142</f>
        <v>0.75</v>
      </c>
      <c r="AM143" s="139">
        <f>AM142</f>
        <v>2.7E-2</v>
      </c>
      <c r="AN143" s="139">
        <f>AN142</f>
        <v>3</v>
      </c>
      <c r="AQ143" s="142">
        <f>AM143*I143+AL143</f>
        <v>1.0740000000000001</v>
      </c>
      <c r="AR143" s="142">
        <f>0.1*AQ143</f>
        <v>0.10740000000000001</v>
      </c>
      <c r="AS143" s="143">
        <f>AJ143*3+0.25*AK143</f>
        <v>6.5</v>
      </c>
      <c r="AT143" s="143">
        <f>SUM(AQ143:AS143)/4</f>
        <v>1.92035</v>
      </c>
      <c r="AU143" s="142">
        <f>10068.2*J143*POWER(10,-6)*10</f>
        <v>1.2081840000000001</v>
      </c>
      <c r="AV143" s="143">
        <f>AU143+AT143+AS143+AR143+AQ143</f>
        <v>10.809934</v>
      </c>
      <c r="AW143" s="144">
        <f>AJ143*H143</f>
        <v>9.5000000000000012E-7</v>
      </c>
      <c r="AX143" s="144">
        <f>H143*AK143</f>
        <v>9.5000000000000012E-7</v>
      </c>
      <c r="AY143" s="144">
        <f>H143*AV143</f>
        <v>5.1347186500000007E-6</v>
      </c>
      <c r="AZ143" s="289">
        <f>AW143/DB!$B$23</f>
        <v>1.1445783132530122E-9</v>
      </c>
      <c r="BA143" s="289">
        <f>AX143/DB!$B$23</f>
        <v>1.1445783132530122E-9</v>
      </c>
    </row>
    <row r="144" spans="1:53" s="139" customFormat="1" x14ac:dyDescent="0.3">
      <c r="A144" s="130" t="s">
        <v>20</v>
      </c>
      <c r="B144" s="130" t="str">
        <f>B142</f>
        <v>Емкость подземная ГЖ</v>
      </c>
      <c r="C144" s="13" t="s">
        <v>193</v>
      </c>
      <c r="D144" s="132" t="s">
        <v>26</v>
      </c>
      <c r="E144" s="145">
        <f>E142</f>
        <v>1.0000000000000001E-5</v>
      </c>
      <c r="F144" s="146">
        <f>F142</f>
        <v>1</v>
      </c>
      <c r="G144" s="130">
        <v>0.90249999999999997</v>
      </c>
      <c r="H144" s="134">
        <f>E144*F144*G144</f>
        <v>9.0250000000000008E-6</v>
      </c>
      <c r="I144" s="147">
        <f>I142</f>
        <v>12</v>
      </c>
      <c r="J144" s="150">
        <v>0</v>
      </c>
      <c r="K144" s="148" t="s">
        <v>124</v>
      </c>
      <c r="L144" s="149">
        <v>0</v>
      </c>
      <c r="M144" s="139" t="str">
        <f t="shared" si="137"/>
        <v>С3</v>
      </c>
      <c r="N144" s="139" t="str">
        <f t="shared" si="137"/>
        <v>Емкость подземная ГЖ</v>
      </c>
      <c r="O144" s="139" t="str">
        <f>D144</f>
        <v>Полное-ликвидация</v>
      </c>
      <c r="P144" s="139" t="s">
        <v>46</v>
      </c>
      <c r="Q144" s="139" t="s">
        <v>46</v>
      </c>
      <c r="R144" s="139" t="s">
        <v>46</v>
      </c>
      <c r="S144" s="139" t="s">
        <v>46</v>
      </c>
      <c r="T144" s="139" t="s">
        <v>46</v>
      </c>
      <c r="U144" s="139" t="s">
        <v>46</v>
      </c>
      <c r="V144" s="139" t="s">
        <v>46</v>
      </c>
      <c r="W144" s="139" t="s">
        <v>46</v>
      </c>
      <c r="X144" s="139" t="s">
        <v>46</v>
      </c>
      <c r="Y144" s="139" t="s">
        <v>46</v>
      </c>
      <c r="Z144" s="139" t="s">
        <v>46</v>
      </c>
      <c r="AA144" s="139" t="s">
        <v>46</v>
      </c>
      <c r="AB144" s="139" t="s">
        <v>46</v>
      </c>
      <c r="AC144" s="139" t="s">
        <v>46</v>
      </c>
      <c r="AD144" s="139" t="s">
        <v>46</v>
      </c>
      <c r="AE144" s="139" t="s">
        <v>46</v>
      </c>
      <c r="AF144" s="139" t="s">
        <v>46</v>
      </c>
      <c r="AG144" s="139" t="s">
        <v>46</v>
      </c>
      <c r="AH144" s="139" t="s">
        <v>46</v>
      </c>
      <c r="AI144" s="139" t="s">
        <v>46</v>
      </c>
      <c r="AJ144" s="139">
        <v>0</v>
      </c>
      <c r="AK144" s="139">
        <v>0</v>
      </c>
      <c r="AL144" s="139">
        <f>AL142</f>
        <v>0.75</v>
      </c>
      <c r="AM144" s="139">
        <f>AM142</f>
        <v>2.7E-2</v>
      </c>
      <c r="AN144" s="139">
        <f>AN142</f>
        <v>3</v>
      </c>
      <c r="AQ144" s="142">
        <f>AM144*I144*0.1+AL144</f>
        <v>0.78239999999999998</v>
      </c>
      <c r="AR144" s="142">
        <f>0.1*AQ144</f>
        <v>7.8240000000000004E-2</v>
      </c>
      <c r="AS144" s="143">
        <f>AJ144*3+0.25*AK144</f>
        <v>0</v>
      </c>
      <c r="AT144" s="143">
        <f>SUM(AQ144:AS144)/4</f>
        <v>0.21515999999999999</v>
      </c>
      <c r="AU144" s="142">
        <f>1333*J142*POWER(10,-6)</f>
        <v>1.5996E-2</v>
      </c>
      <c r="AV144" s="143">
        <f>AU144+AT144+AS144+AR144+AQ144</f>
        <v>1.091796</v>
      </c>
      <c r="AW144" s="144">
        <f>AJ144*H144</f>
        <v>0</v>
      </c>
      <c r="AX144" s="144">
        <f>H144*AK144</f>
        <v>0</v>
      </c>
      <c r="AY144" s="144">
        <f>H144*AV144</f>
        <v>9.853458900000001E-6</v>
      </c>
      <c r="AZ144" s="289">
        <f>AW144/DB!$B$23</f>
        <v>0</v>
      </c>
      <c r="BA144" s="289">
        <f>AX144/DB!$B$23</f>
        <v>0</v>
      </c>
    </row>
    <row r="145" spans="1:53" s="139" customFormat="1" x14ac:dyDescent="0.3">
      <c r="A145" s="130"/>
      <c r="B145" s="130"/>
      <c r="C145" s="13"/>
      <c r="D145" s="132"/>
      <c r="E145" s="133"/>
      <c r="F145" s="146"/>
      <c r="G145" s="130"/>
      <c r="H145" s="134"/>
      <c r="I145" s="147"/>
      <c r="J145" s="136"/>
      <c r="K145" s="148" t="s">
        <v>126</v>
      </c>
      <c r="L145" s="149">
        <v>45390</v>
      </c>
      <c r="AQ145" s="142"/>
      <c r="AR145" s="142"/>
      <c r="AS145" s="143"/>
      <c r="AT145" s="143"/>
      <c r="AU145" s="142"/>
      <c r="AV145" s="143"/>
      <c r="AW145" s="144"/>
      <c r="AX145" s="144"/>
      <c r="AY145" s="144"/>
    </row>
    <row r="146" spans="1:53" s="139" customFormat="1" x14ac:dyDescent="0.3">
      <c r="A146" s="130"/>
      <c r="B146" s="130"/>
      <c r="C146" s="13"/>
      <c r="D146" s="132"/>
      <c r="E146" s="145"/>
      <c r="F146" s="146"/>
      <c r="G146" s="130"/>
      <c r="H146" s="134"/>
      <c r="I146" s="147"/>
      <c r="J146" s="136"/>
      <c r="K146" s="148" t="s">
        <v>127</v>
      </c>
      <c r="L146" s="149">
        <v>3</v>
      </c>
      <c r="AQ146" s="142"/>
      <c r="AR146" s="142"/>
      <c r="AS146" s="143"/>
      <c r="AT146" s="143"/>
      <c r="AU146" s="142"/>
      <c r="AV146" s="143"/>
      <c r="AW146" s="144"/>
      <c r="AX146" s="144"/>
      <c r="AY146" s="144"/>
    </row>
    <row r="147" spans="1:53" s="139" customFormat="1" ht="15" thickBot="1" x14ac:dyDescent="0.35">
      <c r="A147" s="130"/>
      <c r="B147" s="130"/>
      <c r="C147" s="13"/>
      <c r="D147" s="132"/>
      <c r="E147" s="145"/>
      <c r="F147" s="146"/>
      <c r="G147" s="130"/>
      <c r="H147" s="134"/>
      <c r="I147" s="147"/>
      <c r="J147" s="136"/>
      <c r="K147" s="153" t="s">
        <v>138</v>
      </c>
      <c r="L147" s="165">
        <v>15</v>
      </c>
      <c r="AQ147" s="142"/>
      <c r="AR147" s="142"/>
      <c r="AS147" s="143"/>
      <c r="AT147" s="143"/>
      <c r="AU147" s="142"/>
      <c r="AV147" s="143"/>
      <c r="AW147" s="144"/>
      <c r="AX147" s="144"/>
      <c r="AY147" s="144"/>
    </row>
    <row r="148" spans="1:53" s="139" customFormat="1" x14ac:dyDescent="0.3">
      <c r="A148" s="140"/>
      <c r="B148" s="140"/>
      <c r="D148" s="186"/>
      <c r="E148" s="187"/>
      <c r="F148" s="188"/>
      <c r="G148" s="140"/>
      <c r="H148" s="144"/>
      <c r="I148" s="143"/>
      <c r="J148" s="143"/>
      <c r="K148" s="140"/>
      <c r="L148" s="188"/>
      <c r="AQ148" s="142"/>
      <c r="AR148" s="142"/>
      <c r="AS148" s="143"/>
      <c r="AT148" s="143"/>
      <c r="AU148" s="142"/>
      <c r="AV148" s="143"/>
      <c r="AW148" s="144"/>
      <c r="AX148" s="144"/>
      <c r="AY148" s="144"/>
    </row>
    <row r="149" spans="1:53" s="139" customFormat="1" x14ac:dyDescent="0.3">
      <c r="A149" s="140"/>
      <c r="B149" s="140"/>
      <c r="D149" s="186"/>
      <c r="E149" s="187"/>
      <c r="F149" s="188"/>
      <c r="G149" s="140"/>
      <c r="H149" s="144"/>
      <c r="I149" s="143"/>
      <c r="J149" s="143"/>
      <c r="K149" s="140"/>
      <c r="L149" s="188"/>
      <c r="AQ149" s="142"/>
      <c r="AR149" s="142"/>
      <c r="AS149" s="143"/>
      <c r="AT149" s="143"/>
      <c r="AU149" s="142"/>
      <c r="AV149" s="143"/>
      <c r="AW149" s="144"/>
      <c r="AX149" s="144"/>
      <c r="AY149" s="144"/>
    </row>
    <row r="150" spans="1:53" s="139" customFormat="1" x14ac:dyDescent="0.3">
      <c r="A150" s="140"/>
      <c r="B150" s="140"/>
      <c r="D150" s="186"/>
      <c r="E150" s="187"/>
      <c r="F150" s="188"/>
      <c r="G150" s="140"/>
      <c r="H150" s="144"/>
      <c r="I150" s="143"/>
      <c r="J150" s="143"/>
      <c r="K150" s="140"/>
      <c r="L150" s="188"/>
      <c r="AQ150" s="142"/>
      <c r="AR150" s="142"/>
      <c r="AS150" s="143"/>
      <c r="AT150" s="143"/>
      <c r="AU150" s="142"/>
      <c r="AV150" s="143"/>
      <c r="AW150" s="144"/>
      <c r="AX150" s="144"/>
      <c r="AY150" s="144"/>
    </row>
    <row r="151" spans="1:53" ht="15" thickBot="1" x14ac:dyDescent="0.35"/>
    <row r="152" spans="1:53" s="91" customFormat="1" ht="15" thickBot="1" x14ac:dyDescent="0.35">
      <c r="A152" s="81" t="s">
        <v>18</v>
      </c>
      <c r="B152" s="82" t="s">
        <v>420</v>
      </c>
      <c r="C152" s="83" t="s">
        <v>174</v>
      </c>
      <c r="D152" s="84" t="s">
        <v>130</v>
      </c>
      <c r="E152" s="85">
        <v>1.0000000000000001E-5</v>
      </c>
      <c r="F152" s="82">
        <v>1</v>
      </c>
      <c r="G152" s="81">
        <v>1.4999999999999999E-2</v>
      </c>
      <c r="H152" s="86">
        <f t="shared" ref="H152:H157" si="138">E152*F152*G152</f>
        <v>1.5000000000000002E-7</v>
      </c>
      <c r="I152" s="87">
        <v>1.2</v>
      </c>
      <c r="J152" s="99">
        <f>I152</f>
        <v>1.2</v>
      </c>
      <c r="K152" s="89" t="s">
        <v>122</v>
      </c>
      <c r="L152" s="90">
        <f>J152*36</f>
        <v>43.199999999999996</v>
      </c>
      <c r="M152" s="91" t="str">
        <f t="shared" ref="M152:N157" si="139">A152</f>
        <v>С1</v>
      </c>
      <c r="N152" s="91" t="str">
        <f t="shared" si="139"/>
        <v xml:space="preserve">Система измерений количества и показателей качества нефти (СИКНС) </v>
      </c>
      <c r="O152" s="91" t="str">
        <f t="shared" ref="O152:O157" si="140">D152</f>
        <v>Полное-факел</v>
      </c>
      <c r="P152" s="91" t="s">
        <v>46</v>
      </c>
      <c r="Q152" s="91" t="s">
        <v>46</v>
      </c>
      <c r="R152" s="91" t="s">
        <v>46</v>
      </c>
      <c r="S152" s="91" t="s">
        <v>46</v>
      </c>
      <c r="T152" s="91" t="s">
        <v>46</v>
      </c>
      <c r="U152" s="91" t="s">
        <v>46</v>
      </c>
      <c r="V152" s="91" t="s">
        <v>46</v>
      </c>
      <c r="W152" s="91" t="s">
        <v>46</v>
      </c>
      <c r="X152" s="91" t="s">
        <v>46</v>
      </c>
      <c r="Y152" s="91" t="s">
        <v>46</v>
      </c>
      <c r="Z152" s="91" t="s">
        <v>46</v>
      </c>
      <c r="AA152" s="91" t="s">
        <v>46</v>
      </c>
      <c r="AB152" s="91" t="s">
        <v>46</v>
      </c>
      <c r="AC152" s="91" t="s">
        <v>46</v>
      </c>
      <c r="AD152" s="91" t="s">
        <v>46</v>
      </c>
      <c r="AE152" s="91" t="s">
        <v>46</v>
      </c>
      <c r="AF152" s="91" t="s">
        <v>46</v>
      </c>
      <c r="AG152" s="91" t="s">
        <v>46</v>
      </c>
      <c r="AH152" s="91" t="s">
        <v>46</v>
      </c>
      <c r="AI152" s="91" t="s">
        <v>46</v>
      </c>
      <c r="AJ152" s="92">
        <v>1</v>
      </c>
      <c r="AK152" s="92">
        <v>1</v>
      </c>
      <c r="AL152" s="93">
        <v>0.75</v>
      </c>
      <c r="AM152" s="93">
        <v>2.7E-2</v>
      </c>
      <c r="AN152" s="93">
        <v>3</v>
      </c>
      <c r="AQ152" s="94">
        <f>AM152*I152+AL152</f>
        <v>0.78239999999999998</v>
      </c>
      <c r="AR152" s="94">
        <f t="shared" ref="AR152:AR157" si="141">0.1*AQ152</f>
        <v>7.8240000000000004E-2</v>
      </c>
      <c r="AS152" s="95">
        <f t="shared" ref="AS152:AS157" si="142">AJ152*3+0.25*AK152</f>
        <v>3.25</v>
      </c>
      <c r="AT152" s="95">
        <f t="shared" ref="AT152:AT157" si="143">SUM(AQ152:AS152)/4</f>
        <v>1.02766</v>
      </c>
      <c r="AU152" s="94">
        <f>10068.2*J152*POWER(10,-6)</f>
        <v>1.208184E-2</v>
      </c>
      <c r="AV152" s="95">
        <f t="shared" ref="AV152:AV157" si="144">AU152+AT152+AS152+AR152+AQ152</f>
        <v>5.1503818399999997</v>
      </c>
      <c r="AW152" s="96">
        <f t="shared" ref="AW152:AW157" si="145">AJ152*H152</f>
        <v>1.5000000000000002E-7</v>
      </c>
      <c r="AX152" s="96">
        <f t="shared" ref="AX152:AX157" si="146">H152*AK152</f>
        <v>1.5000000000000002E-7</v>
      </c>
      <c r="AY152" s="96">
        <f t="shared" ref="AY152:AY157" si="147">H152*AV152</f>
        <v>7.7255727600000005E-7</v>
      </c>
      <c r="AZ152" s="289">
        <f>AW152/DB!$B$23</f>
        <v>1.8072289156626509E-10</v>
      </c>
      <c r="BA152" s="289">
        <f>AX152/DB!$B$23</f>
        <v>1.8072289156626509E-10</v>
      </c>
    </row>
    <row r="153" spans="1:53" s="91" customFormat="1" ht="15" thickBot="1" x14ac:dyDescent="0.35">
      <c r="A153" s="81" t="s">
        <v>19</v>
      </c>
      <c r="B153" s="81" t="str">
        <f>B152</f>
        <v xml:space="preserve">Система измерений количества и показателей качества нефти (СИКНС) </v>
      </c>
      <c r="C153" s="83" t="s">
        <v>175</v>
      </c>
      <c r="D153" s="84" t="s">
        <v>173</v>
      </c>
      <c r="E153" s="97">
        <f>E152</f>
        <v>1.0000000000000001E-5</v>
      </c>
      <c r="F153" s="98">
        <f>F152</f>
        <v>1</v>
      </c>
      <c r="G153" s="81">
        <v>1.4249999999999999E-2</v>
      </c>
      <c r="H153" s="86">
        <f t="shared" si="138"/>
        <v>1.4250000000000001E-7</v>
      </c>
      <c r="I153" s="99">
        <f>I152</f>
        <v>1.2</v>
      </c>
      <c r="J153" s="189">
        <f>POWER(10,-6)*35*SQRT(100)*3600*L152/1000*0.1</f>
        <v>5.4431999999999987E-3</v>
      </c>
      <c r="K153" s="89" t="s">
        <v>123</v>
      </c>
      <c r="L153" s="90">
        <v>0</v>
      </c>
      <c r="M153" s="91" t="str">
        <f t="shared" si="139"/>
        <v>С2</v>
      </c>
      <c r="N153" s="91" t="str">
        <f t="shared" si="139"/>
        <v xml:space="preserve">Система измерений количества и показателей качества нефти (СИКНС) </v>
      </c>
      <c r="O153" s="91" t="str">
        <f t="shared" si="140"/>
        <v>Полное-взрыв облака ТВС</v>
      </c>
      <c r="P153" s="91" t="s">
        <v>46</v>
      </c>
      <c r="Q153" s="91" t="s">
        <v>46</v>
      </c>
      <c r="R153" s="91" t="s">
        <v>46</v>
      </c>
      <c r="S153" s="91" t="s">
        <v>46</v>
      </c>
      <c r="T153" s="91" t="s">
        <v>46</v>
      </c>
      <c r="U153" s="91" t="s">
        <v>46</v>
      </c>
      <c r="V153" s="91" t="s">
        <v>46</v>
      </c>
      <c r="W153" s="91" t="s">
        <v>46</v>
      </c>
      <c r="X153" s="91" t="s">
        <v>46</v>
      </c>
      <c r="Y153" s="91" t="s">
        <v>46</v>
      </c>
      <c r="Z153" s="91" t="s">
        <v>46</v>
      </c>
      <c r="AA153" s="91" t="s">
        <v>46</v>
      </c>
      <c r="AB153" s="91" t="s">
        <v>46</v>
      </c>
      <c r="AC153" s="91" t="s">
        <v>46</v>
      </c>
      <c r="AD153" s="91" t="s">
        <v>46</v>
      </c>
      <c r="AE153" s="91" t="s">
        <v>46</v>
      </c>
      <c r="AF153" s="91" t="s">
        <v>46</v>
      </c>
      <c r="AG153" s="91" t="s">
        <v>46</v>
      </c>
      <c r="AH153" s="91" t="s">
        <v>46</v>
      </c>
      <c r="AI153" s="91" t="s">
        <v>46</v>
      </c>
      <c r="AJ153" s="92">
        <v>1</v>
      </c>
      <c r="AK153" s="92">
        <v>1</v>
      </c>
      <c r="AL153" s="91">
        <f>AL152</f>
        <v>0.75</v>
      </c>
      <c r="AM153" s="91">
        <f>AM152</f>
        <v>2.7E-2</v>
      </c>
      <c r="AN153" s="91">
        <f>AN152</f>
        <v>3</v>
      </c>
      <c r="AQ153" s="94">
        <f>AM153*I153+AL153</f>
        <v>0.78239999999999998</v>
      </c>
      <c r="AR153" s="94">
        <f t="shared" si="141"/>
        <v>7.8240000000000004E-2</v>
      </c>
      <c r="AS153" s="95">
        <f t="shared" si="142"/>
        <v>3.25</v>
      </c>
      <c r="AT153" s="95">
        <f t="shared" si="143"/>
        <v>1.02766</v>
      </c>
      <c r="AU153" s="94">
        <f>10068.2*J153*POWER(10,-6)*10</f>
        <v>5.480322623999999E-4</v>
      </c>
      <c r="AV153" s="95">
        <f t="shared" si="144"/>
        <v>5.1388480322624002</v>
      </c>
      <c r="AW153" s="96">
        <f t="shared" si="145"/>
        <v>1.4250000000000001E-7</v>
      </c>
      <c r="AX153" s="96">
        <f t="shared" si="146"/>
        <v>1.4250000000000001E-7</v>
      </c>
      <c r="AY153" s="96">
        <f t="shared" si="147"/>
        <v>7.3228584459739208E-7</v>
      </c>
      <c r="AZ153" s="289">
        <f>AW153/DB!$B$23</f>
        <v>1.7168674698795182E-10</v>
      </c>
      <c r="BA153" s="289">
        <f>AX153/DB!$B$23</f>
        <v>1.7168674698795182E-10</v>
      </c>
    </row>
    <row r="154" spans="1:53" s="91" customFormat="1" x14ac:dyDescent="0.3">
      <c r="A154" s="81" t="s">
        <v>20</v>
      </c>
      <c r="B154" s="81" t="str">
        <f>B152</f>
        <v xml:space="preserve">Система измерений количества и показателей качества нефти (СИКНС) </v>
      </c>
      <c r="C154" s="83" t="s">
        <v>176</v>
      </c>
      <c r="D154" s="84" t="s">
        <v>26</v>
      </c>
      <c r="E154" s="97">
        <f>E152</f>
        <v>1.0000000000000001E-5</v>
      </c>
      <c r="F154" s="98">
        <f>F152</f>
        <v>1</v>
      </c>
      <c r="G154" s="81">
        <v>0.27074999999999999</v>
      </c>
      <c r="H154" s="86">
        <f t="shared" si="138"/>
        <v>2.7075000000000003E-6</v>
      </c>
      <c r="I154" s="99">
        <f>I152</f>
        <v>1.2</v>
      </c>
      <c r="J154" s="81">
        <v>0</v>
      </c>
      <c r="K154" s="89" t="s">
        <v>124</v>
      </c>
      <c r="L154" s="90">
        <v>1</v>
      </c>
      <c r="M154" s="91" t="str">
        <f t="shared" si="139"/>
        <v>С3</v>
      </c>
      <c r="N154" s="91" t="str">
        <f t="shared" si="139"/>
        <v xml:space="preserve">Система измерений количества и показателей качества нефти (СИКНС) </v>
      </c>
      <c r="O154" s="91" t="str">
        <f t="shared" si="140"/>
        <v>Полное-ликвидация</v>
      </c>
      <c r="P154" s="91" t="s">
        <v>46</v>
      </c>
      <c r="Q154" s="91" t="s">
        <v>46</v>
      </c>
      <c r="R154" s="91" t="s">
        <v>46</v>
      </c>
      <c r="S154" s="91" t="s">
        <v>46</v>
      </c>
      <c r="T154" s="91" t="s">
        <v>46</v>
      </c>
      <c r="U154" s="91" t="s">
        <v>46</v>
      </c>
      <c r="V154" s="91" t="s">
        <v>46</v>
      </c>
      <c r="W154" s="91" t="s">
        <v>46</v>
      </c>
      <c r="X154" s="91" t="s">
        <v>46</v>
      </c>
      <c r="Y154" s="91" t="s">
        <v>46</v>
      </c>
      <c r="Z154" s="91" t="s">
        <v>46</v>
      </c>
      <c r="AA154" s="91" t="s">
        <v>46</v>
      </c>
      <c r="AB154" s="91" t="s">
        <v>46</v>
      </c>
      <c r="AC154" s="91" t="s">
        <v>46</v>
      </c>
      <c r="AD154" s="91" t="s">
        <v>46</v>
      </c>
      <c r="AE154" s="91" t="s">
        <v>46</v>
      </c>
      <c r="AF154" s="91" t="s">
        <v>46</v>
      </c>
      <c r="AG154" s="91" t="s">
        <v>46</v>
      </c>
      <c r="AH154" s="91" t="s">
        <v>46</v>
      </c>
      <c r="AI154" s="91" t="s">
        <v>46</v>
      </c>
      <c r="AJ154" s="91">
        <v>0</v>
      </c>
      <c r="AK154" s="91">
        <v>0</v>
      </c>
      <c r="AL154" s="91">
        <f>AL152</f>
        <v>0.75</v>
      </c>
      <c r="AM154" s="91">
        <f>AM152</f>
        <v>2.7E-2</v>
      </c>
      <c r="AN154" s="91">
        <f>AN152</f>
        <v>3</v>
      </c>
      <c r="AQ154" s="94">
        <f>AM154*I154*0.1+AL154</f>
        <v>0.75324000000000002</v>
      </c>
      <c r="AR154" s="94">
        <f t="shared" si="141"/>
        <v>7.5324000000000002E-2</v>
      </c>
      <c r="AS154" s="95">
        <f t="shared" si="142"/>
        <v>0</v>
      </c>
      <c r="AT154" s="95">
        <f t="shared" si="143"/>
        <v>0.20714100000000002</v>
      </c>
      <c r="AU154" s="94">
        <f>1333*J153*POWER(10,-6)</f>
        <v>7.2557855999999978E-6</v>
      </c>
      <c r="AV154" s="95">
        <f t="shared" si="144"/>
        <v>1.0357122557856</v>
      </c>
      <c r="AW154" s="96">
        <f t="shared" si="145"/>
        <v>0</v>
      </c>
      <c r="AX154" s="96">
        <f t="shared" si="146"/>
        <v>0</v>
      </c>
      <c r="AY154" s="96">
        <f t="shared" si="147"/>
        <v>2.8041909325395125E-6</v>
      </c>
      <c r="AZ154" s="289">
        <f>AW154/DB!$B$23</f>
        <v>0</v>
      </c>
      <c r="BA154" s="289">
        <f>AX154/DB!$B$23</f>
        <v>0</v>
      </c>
    </row>
    <row r="155" spans="1:53" s="91" customFormat="1" x14ac:dyDescent="0.3">
      <c r="A155" s="81" t="s">
        <v>21</v>
      </c>
      <c r="B155" s="81" t="str">
        <f>B152</f>
        <v xml:space="preserve">Система измерений количества и показателей качества нефти (СИКНС) </v>
      </c>
      <c r="C155" s="83" t="s">
        <v>177</v>
      </c>
      <c r="D155" s="84" t="s">
        <v>47</v>
      </c>
      <c r="E155" s="97">
        <f>E153</f>
        <v>1.0000000000000001E-5</v>
      </c>
      <c r="F155" s="98">
        <f>F152</f>
        <v>1</v>
      </c>
      <c r="G155" s="81">
        <v>3.4999999999999996E-2</v>
      </c>
      <c r="H155" s="86">
        <f t="shared" si="138"/>
        <v>3.4999999999999998E-7</v>
      </c>
      <c r="I155" s="99">
        <f>0.15*I152</f>
        <v>0.18</v>
      </c>
      <c r="J155" s="99">
        <f>I155</f>
        <v>0.18</v>
      </c>
      <c r="K155" s="102" t="s">
        <v>126</v>
      </c>
      <c r="L155" s="103">
        <v>45390</v>
      </c>
      <c r="M155" s="91" t="str">
        <f t="shared" si="139"/>
        <v>С4</v>
      </c>
      <c r="N155" s="91" t="str">
        <f t="shared" si="139"/>
        <v xml:space="preserve">Система измерений количества и показателей качества нефти (СИКНС) </v>
      </c>
      <c r="O155" s="91" t="str">
        <f t="shared" si="140"/>
        <v>Частичное-пожар</v>
      </c>
      <c r="P155" s="91" t="s">
        <v>46</v>
      </c>
      <c r="Q155" s="91" t="s">
        <v>46</v>
      </c>
      <c r="R155" s="91" t="s">
        <v>46</v>
      </c>
      <c r="S155" s="91" t="s">
        <v>46</v>
      </c>
      <c r="T155" s="91" t="s">
        <v>46</v>
      </c>
      <c r="U155" s="91" t="s">
        <v>46</v>
      </c>
      <c r="V155" s="91" t="s">
        <v>46</v>
      </c>
      <c r="W155" s="91" t="s">
        <v>46</v>
      </c>
      <c r="X155" s="91" t="s">
        <v>46</v>
      </c>
      <c r="Y155" s="91" t="s">
        <v>46</v>
      </c>
      <c r="Z155" s="91" t="s">
        <v>46</v>
      </c>
      <c r="AA155" s="91" t="s">
        <v>46</v>
      </c>
      <c r="AB155" s="91" t="s">
        <v>46</v>
      </c>
      <c r="AC155" s="91" t="s">
        <v>46</v>
      </c>
      <c r="AD155" s="91" t="s">
        <v>46</v>
      </c>
      <c r="AE155" s="91" t="s">
        <v>46</v>
      </c>
      <c r="AF155" s="91" t="s">
        <v>46</v>
      </c>
      <c r="AG155" s="91" t="s">
        <v>46</v>
      </c>
      <c r="AH155" s="91" t="s">
        <v>46</v>
      </c>
      <c r="AI155" s="91" t="s">
        <v>46</v>
      </c>
      <c r="AJ155" s="91">
        <v>0</v>
      </c>
      <c r="AK155" s="91">
        <v>1</v>
      </c>
      <c r="AL155" s="91">
        <f>0.1*$AL$2</f>
        <v>7.5000000000000011E-2</v>
      </c>
      <c r="AM155" s="91">
        <f>AM152</f>
        <v>2.7E-2</v>
      </c>
      <c r="AN155" s="91">
        <f>ROUNDUP(AN152/3,0)</f>
        <v>1</v>
      </c>
      <c r="AQ155" s="94">
        <f>AM155*I155+AL155</f>
        <v>7.9860000000000014E-2</v>
      </c>
      <c r="AR155" s="94">
        <f t="shared" si="141"/>
        <v>7.9860000000000018E-3</v>
      </c>
      <c r="AS155" s="95">
        <f t="shared" si="142"/>
        <v>0.25</v>
      </c>
      <c r="AT155" s="95">
        <f t="shared" si="143"/>
        <v>8.4461500000000009E-2</v>
      </c>
      <c r="AU155" s="94">
        <f>10068.2*J155*POWER(10,-6)</f>
        <v>1.812276E-3</v>
      </c>
      <c r="AV155" s="95">
        <f t="shared" si="144"/>
        <v>0.42411977600000006</v>
      </c>
      <c r="AW155" s="96">
        <f t="shared" si="145"/>
        <v>0</v>
      </c>
      <c r="AX155" s="96">
        <f t="shared" si="146"/>
        <v>3.4999999999999998E-7</v>
      </c>
      <c r="AY155" s="96">
        <f t="shared" si="147"/>
        <v>1.484419216E-7</v>
      </c>
      <c r="AZ155" s="289">
        <f>AW155/DB!$B$23</f>
        <v>0</v>
      </c>
      <c r="BA155" s="289">
        <f>AX155/DB!$B$23</f>
        <v>4.2168674698795179E-10</v>
      </c>
    </row>
    <row r="156" spans="1:53" s="91" customFormat="1" x14ac:dyDescent="0.3">
      <c r="A156" s="81" t="s">
        <v>22</v>
      </c>
      <c r="B156" s="81" t="str">
        <f>B152</f>
        <v xml:space="preserve">Система измерений количества и показателей качества нефти (СИКНС) </v>
      </c>
      <c r="C156" s="83" t="s">
        <v>422</v>
      </c>
      <c r="D156" s="84" t="s">
        <v>421</v>
      </c>
      <c r="E156" s="97">
        <f>E154</f>
        <v>1.0000000000000001E-5</v>
      </c>
      <c r="F156" s="98">
        <f>F152</f>
        <v>1</v>
      </c>
      <c r="G156" s="81">
        <v>3.3249999999999995E-2</v>
      </c>
      <c r="H156" s="86">
        <f t="shared" si="138"/>
        <v>3.3249999999999999E-7</v>
      </c>
      <c r="I156" s="99">
        <f>0.15*I152</f>
        <v>0.18</v>
      </c>
      <c r="J156" s="99">
        <v>0.01</v>
      </c>
      <c r="K156" s="102" t="s">
        <v>127</v>
      </c>
      <c r="L156" s="103">
        <v>3</v>
      </c>
      <c r="M156" s="91" t="str">
        <f t="shared" si="139"/>
        <v>С5</v>
      </c>
      <c r="N156" s="91" t="str">
        <f t="shared" si="139"/>
        <v xml:space="preserve">Система измерений количества и показателей качества нефти (СИКНС) </v>
      </c>
      <c r="O156" s="91" t="str">
        <f t="shared" si="140"/>
        <v>Частичное-вспышка</v>
      </c>
      <c r="P156" s="91" t="s">
        <v>46</v>
      </c>
      <c r="Q156" s="91" t="s">
        <v>46</v>
      </c>
      <c r="R156" s="91" t="s">
        <v>46</v>
      </c>
      <c r="S156" s="91" t="s">
        <v>46</v>
      </c>
      <c r="T156" s="91" t="s">
        <v>46</v>
      </c>
      <c r="U156" s="91" t="s">
        <v>46</v>
      </c>
      <c r="V156" s="91" t="s">
        <v>46</v>
      </c>
      <c r="W156" s="91" t="s">
        <v>46</v>
      </c>
      <c r="X156" s="91" t="s">
        <v>46</v>
      </c>
      <c r="Y156" s="91" t="s">
        <v>46</v>
      </c>
      <c r="Z156" s="91" t="s">
        <v>46</v>
      </c>
      <c r="AA156" s="91" t="s">
        <v>46</v>
      </c>
      <c r="AB156" s="91" t="s">
        <v>46</v>
      </c>
      <c r="AC156" s="91" t="s">
        <v>46</v>
      </c>
      <c r="AD156" s="91" t="s">
        <v>46</v>
      </c>
      <c r="AE156" s="91" t="s">
        <v>46</v>
      </c>
      <c r="AF156" s="91" t="s">
        <v>46</v>
      </c>
      <c r="AG156" s="91" t="s">
        <v>46</v>
      </c>
      <c r="AH156" s="91" t="s">
        <v>46</v>
      </c>
      <c r="AI156" s="91" t="s">
        <v>46</v>
      </c>
      <c r="AJ156" s="91">
        <v>0</v>
      </c>
      <c r="AK156" s="91">
        <v>1</v>
      </c>
      <c r="AL156" s="91">
        <f>0.1*$AL$2</f>
        <v>7.5000000000000011E-2</v>
      </c>
      <c r="AM156" s="91">
        <f>AM152</f>
        <v>2.7E-2</v>
      </c>
      <c r="AN156" s="91">
        <f>ROUNDUP(AN152/3,0)</f>
        <v>1</v>
      </c>
      <c r="AQ156" s="94">
        <f>AM156*I156+AL156</f>
        <v>7.9860000000000014E-2</v>
      </c>
      <c r="AR156" s="94">
        <f t="shared" si="141"/>
        <v>7.9860000000000018E-3</v>
      </c>
      <c r="AS156" s="95">
        <f t="shared" si="142"/>
        <v>0.25</v>
      </c>
      <c r="AT156" s="95">
        <f t="shared" si="143"/>
        <v>8.4461500000000009E-2</v>
      </c>
      <c r="AU156" s="94">
        <f>10068.2*J156*POWER(10,-6)*10</f>
        <v>1.0068200000000001E-3</v>
      </c>
      <c r="AV156" s="95">
        <f t="shared" si="144"/>
        <v>0.42331432000000002</v>
      </c>
      <c r="AW156" s="96">
        <f t="shared" si="145"/>
        <v>0</v>
      </c>
      <c r="AX156" s="96">
        <f t="shared" si="146"/>
        <v>3.3249999999999999E-7</v>
      </c>
      <c r="AY156" s="96">
        <f t="shared" si="147"/>
        <v>1.4075201140000001E-7</v>
      </c>
      <c r="AZ156" s="289">
        <f>AW156/DB!$B$23</f>
        <v>0</v>
      </c>
      <c r="BA156" s="289">
        <f>AX156/DB!$B$23</f>
        <v>4.006024096385542E-10</v>
      </c>
    </row>
    <row r="157" spans="1:53" s="91" customFormat="1" ht="15" thickBot="1" x14ac:dyDescent="0.35">
      <c r="A157" s="81" t="s">
        <v>23</v>
      </c>
      <c r="B157" s="81" t="str">
        <f>B152</f>
        <v xml:space="preserve">Система измерений количества и показателей качества нефти (СИКНС) </v>
      </c>
      <c r="C157" s="83" t="s">
        <v>178</v>
      </c>
      <c r="D157" s="84" t="s">
        <v>27</v>
      </c>
      <c r="E157" s="97">
        <f>E155</f>
        <v>1.0000000000000001E-5</v>
      </c>
      <c r="F157" s="98">
        <f>F152</f>
        <v>1</v>
      </c>
      <c r="G157" s="81">
        <v>0.63174999999999992</v>
      </c>
      <c r="H157" s="86">
        <f t="shared" si="138"/>
        <v>6.3175000000000001E-6</v>
      </c>
      <c r="I157" s="99">
        <f>0.15*I152</f>
        <v>0.18</v>
      </c>
      <c r="J157" s="81">
        <v>0</v>
      </c>
      <c r="K157" s="104" t="s">
        <v>138</v>
      </c>
      <c r="L157" s="104">
        <v>16</v>
      </c>
      <c r="M157" s="91" t="str">
        <f t="shared" si="139"/>
        <v>С6</v>
      </c>
      <c r="N157" s="91" t="str">
        <f t="shared" si="139"/>
        <v xml:space="preserve">Система измерений количества и показателей качества нефти (СИКНС) </v>
      </c>
      <c r="O157" s="91" t="str">
        <f t="shared" si="140"/>
        <v>Частичное-ликвидация</v>
      </c>
      <c r="P157" s="91" t="s">
        <v>46</v>
      </c>
      <c r="Q157" s="91" t="s">
        <v>46</v>
      </c>
      <c r="R157" s="91" t="s">
        <v>46</v>
      </c>
      <c r="S157" s="91" t="s">
        <v>46</v>
      </c>
      <c r="T157" s="91" t="s">
        <v>46</v>
      </c>
      <c r="U157" s="91" t="s">
        <v>46</v>
      </c>
      <c r="V157" s="91" t="s">
        <v>46</v>
      </c>
      <c r="W157" s="91" t="s">
        <v>46</v>
      </c>
      <c r="X157" s="91" t="s">
        <v>46</v>
      </c>
      <c r="Y157" s="91" t="s">
        <v>46</v>
      </c>
      <c r="Z157" s="91" t="s">
        <v>46</v>
      </c>
      <c r="AA157" s="91" t="s">
        <v>46</v>
      </c>
      <c r="AB157" s="91" t="s">
        <v>46</v>
      </c>
      <c r="AC157" s="91" t="s">
        <v>46</v>
      </c>
      <c r="AD157" s="91" t="s">
        <v>46</v>
      </c>
      <c r="AE157" s="91" t="s">
        <v>46</v>
      </c>
      <c r="AF157" s="91" t="s">
        <v>46</v>
      </c>
      <c r="AG157" s="91" t="s">
        <v>46</v>
      </c>
      <c r="AH157" s="91" t="s">
        <v>46</v>
      </c>
      <c r="AI157" s="91" t="s">
        <v>46</v>
      </c>
      <c r="AJ157" s="91">
        <v>0</v>
      </c>
      <c r="AK157" s="91">
        <v>0</v>
      </c>
      <c r="AL157" s="91">
        <f>0.1*$AL$2</f>
        <v>7.5000000000000011E-2</v>
      </c>
      <c r="AM157" s="91">
        <f>AM152</f>
        <v>2.7E-2</v>
      </c>
      <c r="AN157" s="91">
        <f>ROUNDUP(AN152/3,0)</f>
        <v>1</v>
      </c>
      <c r="AQ157" s="94">
        <f>AM157*I157*0.1+AL157</f>
        <v>7.5486000000000011E-2</v>
      </c>
      <c r="AR157" s="94">
        <f t="shared" si="141"/>
        <v>7.5486000000000017E-3</v>
      </c>
      <c r="AS157" s="95">
        <f t="shared" si="142"/>
        <v>0</v>
      </c>
      <c r="AT157" s="95">
        <f t="shared" si="143"/>
        <v>2.0758650000000003E-2</v>
      </c>
      <c r="AU157" s="94">
        <f>1333*J156*POWER(10,-6)</f>
        <v>1.3329999999999999E-5</v>
      </c>
      <c r="AV157" s="95">
        <f t="shared" si="144"/>
        <v>0.10380658000000001</v>
      </c>
      <c r="AW157" s="96">
        <f t="shared" si="145"/>
        <v>0</v>
      </c>
      <c r="AX157" s="96">
        <f t="shared" si="146"/>
        <v>0</v>
      </c>
      <c r="AY157" s="96">
        <f t="shared" si="147"/>
        <v>6.5579806915000002E-7</v>
      </c>
      <c r="AZ157" s="289">
        <f>AW157/DB!$B$23</f>
        <v>0</v>
      </c>
      <c r="BA157" s="289">
        <f>AX157/DB!$B$23</f>
        <v>0</v>
      </c>
    </row>
    <row r="158" spans="1:53" s="91" customFormat="1" x14ac:dyDescent="0.3">
      <c r="A158" s="92"/>
      <c r="B158" s="92"/>
      <c r="D158" s="183"/>
      <c r="E158" s="184"/>
      <c r="F158" s="185"/>
      <c r="G158" s="92"/>
      <c r="H158" s="96"/>
      <c r="I158" s="95"/>
      <c r="J158" s="92"/>
      <c r="K158" s="92"/>
      <c r="L158" s="92"/>
      <c r="AQ158" s="94"/>
      <c r="AR158" s="94"/>
      <c r="AS158" s="95"/>
      <c r="AT158" s="95"/>
      <c r="AU158" s="94"/>
      <c r="AV158" s="95"/>
      <c r="AW158" s="96"/>
      <c r="AX158" s="96"/>
      <c r="AY158" s="96"/>
    </row>
    <row r="159" spans="1:53" s="91" customFormat="1" x14ac:dyDescent="0.3">
      <c r="A159" s="92"/>
      <c r="B159" s="92"/>
      <c r="D159" s="183"/>
      <c r="E159" s="184"/>
      <c r="F159" s="185"/>
      <c r="G159" s="92"/>
      <c r="H159" s="96"/>
      <c r="I159" s="95"/>
      <c r="J159" s="92"/>
      <c r="K159" s="92"/>
      <c r="L159" s="92"/>
      <c r="AQ159" s="94"/>
      <c r="AR159" s="94"/>
      <c r="AS159" s="95"/>
      <c r="AT159" s="95"/>
      <c r="AU159" s="94"/>
      <c r="AV159" s="95"/>
      <c r="AW159" s="96"/>
      <c r="AX159" s="96"/>
      <c r="AY159" s="96"/>
    </row>
    <row r="160" spans="1:53" s="91" customFormat="1" x14ac:dyDescent="0.3">
      <c r="A160" s="92"/>
      <c r="B160" s="92"/>
      <c r="D160" s="183"/>
      <c r="E160" s="184"/>
      <c r="F160" s="185"/>
      <c r="G160" s="92"/>
      <c r="H160" s="96"/>
      <c r="I160" s="95"/>
      <c r="J160" s="92"/>
      <c r="K160" s="92"/>
      <c r="L160" s="92"/>
      <c r="AQ160" s="94"/>
      <c r="AR160" s="94"/>
      <c r="AS160" s="95"/>
      <c r="AT160" s="95"/>
      <c r="AU160" s="94"/>
      <c r="AV160" s="95"/>
      <c r="AW160" s="96"/>
      <c r="AX160" s="96"/>
      <c r="AY160" s="96"/>
    </row>
    <row r="161" spans="1:53" ht="15" thickBot="1" x14ac:dyDescent="0.35"/>
    <row r="162" spans="1:53" s="91" customFormat="1" ht="15" thickBot="1" x14ac:dyDescent="0.35">
      <c r="A162" s="81" t="s">
        <v>18</v>
      </c>
      <c r="B162" s="82" t="s">
        <v>181</v>
      </c>
      <c r="C162" s="83" t="s">
        <v>174</v>
      </c>
      <c r="D162" s="84" t="s">
        <v>130</v>
      </c>
      <c r="E162" s="85">
        <v>1.0000000000000001E-5</v>
      </c>
      <c r="F162" s="82">
        <v>1</v>
      </c>
      <c r="G162" s="81">
        <v>1.4999999999999999E-2</v>
      </c>
      <c r="H162" s="86">
        <f t="shared" ref="H162:H167" si="148">E162*F162*G162</f>
        <v>1.5000000000000002E-7</v>
      </c>
      <c r="I162" s="87">
        <v>1.1599999999999999</v>
      </c>
      <c r="J162" s="99">
        <f>I162</f>
        <v>1.1599999999999999</v>
      </c>
      <c r="K162" s="89" t="s">
        <v>122</v>
      </c>
      <c r="L162" s="90">
        <v>7</v>
      </c>
      <c r="M162" s="91" t="str">
        <f t="shared" ref="M162:M167" si="149">A162</f>
        <v>С1</v>
      </c>
      <c r="N162" s="91" t="str">
        <f t="shared" ref="N162:N167" si="150">B162</f>
        <v>Насос ЛВЖ+токси</v>
      </c>
      <c r="O162" s="91" t="str">
        <f t="shared" ref="O162:O167" si="151">D162</f>
        <v>Полное-факел</v>
      </c>
      <c r="P162" s="91" t="s">
        <v>46</v>
      </c>
      <c r="Q162" s="91" t="s">
        <v>46</v>
      </c>
      <c r="R162" s="91" t="s">
        <v>46</v>
      </c>
      <c r="S162" s="91" t="s">
        <v>46</v>
      </c>
      <c r="T162" s="91" t="s">
        <v>46</v>
      </c>
      <c r="U162" s="91" t="s">
        <v>46</v>
      </c>
      <c r="V162" s="91" t="s">
        <v>46</v>
      </c>
      <c r="W162" s="91" t="s">
        <v>46</v>
      </c>
      <c r="X162" s="91" t="s">
        <v>46</v>
      </c>
      <c r="Y162" s="91" t="s">
        <v>46</v>
      </c>
      <c r="Z162" s="91" t="s">
        <v>46</v>
      </c>
      <c r="AA162" s="91" t="s">
        <v>46</v>
      </c>
      <c r="AB162" s="91" t="s">
        <v>46</v>
      </c>
      <c r="AC162" s="91" t="s">
        <v>46</v>
      </c>
      <c r="AD162" s="91" t="s">
        <v>46</v>
      </c>
      <c r="AE162" s="91" t="s">
        <v>46</v>
      </c>
      <c r="AF162" s="91" t="s">
        <v>46</v>
      </c>
      <c r="AG162" s="91" t="s">
        <v>46</v>
      </c>
      <c r="AH162" s="91" t="s">
        <v>46</v>
      </c>
      <c r="AI162" s="91" t="s">
        <v>46</v>
      </c>
      <c r="AJ162" s="92">
        <v>1</v>
      </c>
      <c r="AK162" s="92">
        <v>2</v>
      </c>
      <c r="AL162" s="93">
        <v>0.75</v>
      </c>
      <c r="AM162" s="93">
        <v>2.7E-2</v>
      </c>
      <c r="AN162" s="93">
        <v>3</v>
      </c>
      <c r="AQ162" s="94">
        <f>AM162*I162+AL162</f>
        <v>0.78132000000000001</v>
      </c>
      <c r="AR162" s="94">
        <f t="shared" ref="AR162:AR167" si="152">0.1*AQ162</f>
        <v>7.8132000000000007E-2</v>
      </c>
      <c r="AS162" s="95">
        <f t="shared" ref="AS162:AS167" si="153">AJ162*3+0.25*AK162</f>
        <v>3.5</v>
      </c>
      <c r="AT162" s="95">
        <f t="shared" ref="AT162:AT167" si="154">SUM(AQ162:AS162)/4</f>
        <v>1.089863</v>
      </c>
      <c r="AU162" s="94">
        <f>10068.2*J162*POWER(10,-6)</f>
        <v>1.1679111999999998E-2</v>
      </c>
      <c r="AV162" s="95">
        <f t="shared" ref="AV162:AV167" si="155">AU162+AT162+AS162+AR162+AQ162</f>
        <v>5.4609941119999998</v>
      </c>
      <c r="AW162" s="96">
        <f t="shared" ref="AW162:AW167" si="156">AJ162*H162</f>
        <v>1.5000000000000002E-7</v>
      </c>
      <c r="AX162" s="96">
        <f t="shared" ref="AX162:AX167" si="157">H162*AK162</f>
        <v>3.0000000000000004E-7</v>
      </c>
      <c r="AY162" s="96">
        <f t="shared" ref="AY162:AY167" si="158">H162*AV162</f>
        <v>8.1914911680000006E-7</v>
      </c>
      <c r="AZ162" s="289">
        <f>AW162/DB!$B$23</f>
        <v>1.8072289156626509E-10</v>
      </c>
      <c r="BA162" s="289">
        <f>AX162/DB!$B$23</f>
        <v>3.6144578313253018E-10</v>
      </c>
    </row>
    <row r="163" spans="1:53" s="91" customFormat="1" ht="15" thickBot="1" x14ac:dyDescent="0.35">
      <c r="A163" s="81" t="s">
        <v>19</v>
      </c>
      <c r="B163" s="81" t="str">
        <f>B162</f>
        <v>Насос ЛВЖ+токси</v>
      </c>
      <c r="C163" s="83" t="s">
        <v>175</v>
      </c>
      <c r="D163" s="84" t="s">
        <v>173</v>
      </c>
      <c r="E163" s="97">
        <f>E162</f>
        <v>1.0000000000000001E-5</v>
      </c>
      <c r="F163" s="98">
        <f>F162</f>
        <v>1</v>
      </c>
      <c r="G163" s="81">
        <v>1.4249999999999999E-2</v>
      </c>
      <c r="H163" s="86">
        <f t="shared" si="148"/>
        <v>1.4250000000000001E-7</v>
      </c>
      <c r="I163" s="99">
        <f>I162</f>
        <v>1.1599999999999999</v>
      </c>
      <c r="J163" s="189">
        <f>0.001</f>
        <v>1E-3</v>
      </c>
      <c r="K163" s="89" t="s">
        <v>123</v>
      </c>
      <c r="L163" s="90">
        <v>0</v>
      </c>
      <c r="M163" s="91" t="str">
        <f t="shared" si="149"/>
        <v>С2</v>
      </c>
      <c r="N163" s="91" t="str">
        <f t="shared" si="150"/>
        <v>Насос ЛВЖ+токси</v>
      </c>
      <c r="O163" s="91" t="str">
        <f t="shared" si="151"/>
        <v>Полное-взрыв облака ТВС</v>
      </c>
      <c r="P163" s="91" t="s">
        <v>46</v>
      </c>
      <c r="Q163" s="91" t="s">
        <v>46</v>
      </c>
      <c r="R163" s="91" t="s">
        <v>46</v>
      </c>
      <c r="S163" s="91" t="s">
        <v>46</v>
      </c>
      <c r="T163" s="91" t="s">
        <v>46</v>
      </c>
      <c r="U163" s="91" t="s">
        <v>46</v>
      </c>
      <c r="V163" s="91" t="s">
        <v>46</v>
      </c>
      <c r="W163" s="91" t="s">
        <v>46</v>
      </c>
      <c r="X163" s="91" t="s">
        <v>46</v>
      </c>
      <c r="Y163" s="91" t="s">
        <v>46</v>
      </c>
      <c r="Z163" s="91" t="s">
        <v>46</v>
      </c>
      <c r="AA163" s="91" t="s">
        <v>46</v>
      </c>
      <c r="AB163" s="91" t="s">
        <v>46</v>
      </c>
      <c r="AC163" s="91" t="s">
        <v>46</v>
      </c>
      <c r="AD163" s="91" t="s">
        <v>46</v>
      </c>
      <c r="AE163" s="91" t="s">
        <v>46</v>
      </c>
      <c r="AF163" s="91" t="s">
        <v>46</v>
      </c>
      <c r="AG163" s="91" t="s">
        <v>46</v>
      </c>
      <c r="AH163" s="91" t="s">
        <v>46</v>
      </c>
      <c r="AI163" s="91" t="s">
        <v>46</v>
      </c>
      <c r="AJ163" s="92">
        <v>2</v>
      </c>
      <c r="AK163" s="92">
        <v>2</v>
      </c>
      <c r="AL163" s="91">
        <f>AL162</f>
        <v>0.75</v>
      </c>
      <c r="AM163" s="91">
        <f>AM162</f>
        <v>2.7E-2</v>
      </c>
      <c r="AN163" s="91">
        <f>AN162</f>
        <v>3</v>
      </c>
      <c r="AQ163" s="94">
        <f>AM163*I163+AL163</f>
        <v>0.78132000000000001</v>
      </c>
      <c r="AR163" s="94">
        <f t="shared" si="152"/>
        <v>7.8132000000000007E-2</v>
      </c>
      <c r="AS163" s="95">
        <f t="shared" si="153"/>
        <v>6.5</v>
      </c>
      <c r="AT163" s="95">
        <f t="shared" si="154"/>
        <v>1.839863</v>
      </c>
      <c r="AU163" s="94">
        <f>10068.2*J163*POWER(10,-6)*10</f>
        <v>1.0068200000000001E-4</v>
      </c>
      <c r="AV163" s="95">
        <f t="shared" si="155"/>
        <v>9.1994156820000015</v>
      </c>
      <c r="AW163" s="96">
        <f t="shared" si="156"/>
        <v>2.8500000000000002E-7</v>
      </c>
      <c r="AX163" s="96">
        <f t="shared" si="157"/>
        <v>2.8500000000000002E-7</v>
      </c>
      <c r="AY163" s="96">
        <f t="shared" si="158"/>
        <v>1.3109167346850004E-6</v>
      </c>
      <c r="AZ163" s="289">
        <f>AW163/DB!$B$23</f>
        <v>3.4337349397590365E-10</v>
      </c>
      <c r="BA163" s="289">
        <f>AX163/DB!$B$23</f>
        <v>3.4337349397590365E-10</v>
      </c>
    </row>
    <row r="164" spans="1:53" s="91" customFormat="1" x14ac:dyDescent="0.3">
      <c r="A164" s="81" t="s">
        <v>20</v>
      </c>
      <c r="B164" s="81" t="str">
        <f>B162</f>
        <v>Насос ЛВЖ+токси</v>
      </c>
      <c r="C164" s="83" t="s">
        <v>182</v>
      </c>
      <c r="D164" s="84" t="s">
        <v>118</v>
      </c>
      <c r="E164" s="97">
        <f>E162</f>
        <v>1.0000000000000001E-5</v>
      </c>
      <c r="F164" s="98">
        <f>F162</f>
        <v>1</v>
      </c>
      <c r="G164" s="81">
        <v>0.27074999999999999</v>
      </c>
      <c r="H164" s="86">
        <f t="shared" si="148"/>
        <v>2.7075000000000003E-6</v>
      </c>
      <c r="I164" s="99">
        <f>I162</f>
        <v>1.1599999999999999</v>
      </c>
      <c r="J164" s="81">
        <v>0</v>
      </c>
      <c r="K164" s="89" t="s">
        <v>124</v>
      </c>
      <c r="L164" s="90">
        <v>1</v>
      </c>
      <c r="M164" s="91" t="str">
        <f t="shared" si="149"/>
        <v>С3</v>
      </c>
      <c r="N164" s="91" t="str">
        <f t="shared" si="150"/>
        <v>Насос ЛВЖ+токси</v>
      </c>
      <c r="O164" s="91" t="str">
        <f t="shared" si="151"/>
        <v>Полное-токси</v>
      </c>
      <c r="P164" s="91" t="s">
        <v>46</v>
      </c>
      <c r="Q164" s="91" t="s">
        <v>46</v>
      </c>
      <c r="R164" s="91" t="s">
        <v>46</v>
      </c>
      <c r="S164" s="91" t="s">
        <v>46</v>
      </c>
      <c r="T164" s="91" t="s">
        <v>46</v>
      </c>
      <c r="U164" s="91" t="s">
        <v>46</v>
      </c>
      <c r="V164" s="91" t="s">
        <v>46</v>
      </c>
      <c r="W164" s="91" t="s">
        <v>46</v>
      </c>
      <c r="X164" s="91" t="s">
        <v>46</v>
      </c>
      <c r="Y164" s="91" t="s">
        <v>46</v>
      </c>
      <c r="Z164" s="91" t="s">
        <v>46</v>
      </c>
      <c r="AA164" s="91" t="s">
        <v>46</v>
      </c>
      <c r="AB164" s="91" t="s">
        <v>46</v>
      </c>
      <c r="AC164" s="91" t="s">
        <v>46</v>
      </c>
      <c r="AD164" s="91" t="s">
        <v>46</v>
      </c>
      <c r="AE164" s="91" t="s">
        <v>46</v>
      </c>
      <c r="AF164" s="91" t="s">
        <v>46</v>
      </c>
      <c r="AG164" s="91" t="s">
        <v>46</v>
      </c>
      <c r="AH164" s="91" t="s">
        <v>46</v>
      </c>
      <c r="AI164" s="91" t="s">
        <v>46</v>
      </c>
      <c r="AJ164" s="91">
        <v>0</v>
      </c>
      <c r="AK164" s="91">
        <v>0</v>
      </c>
      <c r="AL164" s="91">
        <f>AL162</f>
        <v>0.75</v>
      </c>
      <c r="AM164" s="91">
        <f>AM162</f>
        <v>2.7E-2</v>
      </c>
      <c r="AN164" s="91">
        <f>AN162</f>
        <v>3</v>
      </c>
      <c r="AQ164" s="94">
        <f>AM164*I164*0.1+AL164</f>
        <v>0.75313200000000002</v>
      </c>
      <c r="AR164" s="94">
        <f t="shared" si="152"/>
        <v>7.5313200000000011E-2</v>
      </c>
      <c r="AS164" s="95">
        <f t="shared" si="153"/>
        <v>0</v>
      </c>
      <c r="AT164" s="95">
        <f t="shared" si="154"/>
        <v>0.2071113</v>
      </c>
      <c r="AU164" s="94">
        <f>1333*J163*POWER(10,-6)</f>
        <v>1.333E-6</v>
      </c>
      <c r="AV164" s="95">
        <f t="shared" si="155"/>
        <v>1.0355578329999999</v>
      </c>
      <c r="AW164" s="96">
        <f t="shared" si="156"/>
        <v>0</v>
      </c>
      <c r="AX164" s="96">
        <f t="shared" si="157"/>
        <v>0</v>
      </c>
      <c r="AY164" s="96">
        <f t="shared" si="158"/>
        <v>2.8037728328474999E-6</v>
      </c>
      <c r="AZ164" s="289">
        <f>AW164/DB!$B$23</f>
        <v>0</v>
      </c>
      <c r="BA164" s="289">
        <f>AX164/DB!$B$23</f>
        <v>0</v>
      </c>
    </row>
    <row r="165" spans="1:53" s="91" customFormat="1" x14ac:dyDescent="0.3">
      <c r="A165" s="81" t="s">
        <v>21</v>
      </c>
      <c r="B165" s="81" t="str">
        <f>B162</f>
        <v>Насос ЛВЖ+токси</v>
      </c>
      <c r="C165" s="83" t="s">
        <v>177</v>
      </c>
      <c r="D165" s="84" t="s">
        <v>47</v>
      </c>
      <c r="E165" s="97">
        <f>E163</f>
        <v>1.0000000000000001E-5</v>
      </c>
      <c r="F165" s="98">
        <f>F162</f>
        <v>1</v>
      </c>
      <c r="G165" s="81">
        <v>3.4999999999999996E-2</v>
      </c>
      <c r="H165" s="86">
        <f t="shared" si="148"/>
        <v>3.4999999999999998E-7</v>
      </c>
      <c r="I165" s="99">
        <f>0.15*I162</f>
        <v>0.17399999999999999</v>
      </c>
      <c r="J165" s="99">
        <f>I165</f>
        <v>0.17399999999999999</v>
      </c>
      <c r="K165" s="102" t="s">
        <v>126</v>
      </c>
      <c r="L165" s="103">
        <v>45390</v>
      </c>
      <c r="M165" s="91" t="str">
        <f t="shared" si="149"/>
        <v>С4</v>
      </c>
      <c r="N165" s="91" t="str">
        <f t="shared" si="150"/>
        <v>Насос ЛВЖ+токси</v>
      </c>
      <c r="O165" s="91" t="str">
        <f t="shared" si="151"/>
        <v>Частичное-пожар</v>
      </c>
      <c r="P165" s="91" t="s">
        <v>46</v>
      </c>
      <c r="Q165" s="91" t="s">
        <v>46</v>
      </c>
      <c r="R165" s="91" t="s">
        <v>46</v>
      </c>
      <c r="S165" s="91" t="s">
        <v>46</v>
      </c>
      <c r="T165" s="91" t="s">
        <v>46</v>
      </c>
      <c r="U165" s="91" t="s">
        <v>46</v>
      </c>
      <c r="V165" s="91" t="s">
        <v>46</v>
      </c>
      <c r="W165" s="91" t="s">
        <v>46</v>
      </c>
      <c r="X165" s="91" t="s">
        <v>46</v>
      </c>
      <c r="Y165" s="91" t="s">
        <v>46</v>
      </c>
      <c r="Z165" s="91" t="s">
        <v>46</v>
      </c>
      <c r="AA165" s="91" t="s">
        <v>46</v>
      </c>
      <c r="AB165" s="91" t="s">
        <v>46</v>
      </c>
      <c r="AC165" s="91" t="s">
        <v>46</v>
      </c>
      <c r="AD165" s="91" t="s">
        <v>46</v>
      </c>
      <c r="AE165" s="91" t="s">
        <v>46</v>
      </c>
      <c r="AF165" s="91" t="s">
        <v>46</v>
      </c>
      <c r="AG165" s="91" t="s">
        <v>46</v>
      </c>
      <c r="AH165" s="91" t="s">
        <v>46</v>
      </c>
      <c r="AI165" s="91" t="s">
        <v>46</v>
      </c>
      <c r="AJ165" s="91">
        <v>0</v>
      </c>
      <c r="AK165" s="91">
        <v>2</v>
      </c>
      <c r="AL165" s="91">
        <f>0.1*$AL$2</f>
        <v>7.5000000000000011E-2</v>
      </c>
      <c r="AM165" s="91">
        <f>AM162</f>
        <v>2.7E-2</v>
      </c>
      <c r="AN165" s="91">
        <f>ROUNDUP(AN162/3,0)</f>
        <v>1</v>
      </c>
      <c r="AQ165" s="94">
        <f>AM165*I165+AL165</f>
        <v>7.9698000000000005E-2</v>
      </c>
      <c r="AR165" s="94">
        <f t="shared" si="152"/>
        <v>7.9698000000000008E-3</v>
      </c>
      <c r="AS165" s="95">
        <f t="shared" si="153"/>
        <v>0.5</v>
      </c>
      <c r="AT165" s="95">
        <f t="shared" si="154"/>
        <v>0.14691694999999999</v>
      </c>
      <c r="AU165" s="94">
        <f>10068.2*J165*POWER(10,-6)</f>
        <v>1.7518668E-3</v>
      </c>
      <c r="AV165" s="95">
        <f t="shared" si="155"/>
        <v>0.73633661680000007</v>
      </c>
      <c r="AW165" s="96">
        <f t="shared" si="156"/>
        <v>0</v>
      </c>
      <c r="AX165" s="96">
        <f t="shared" si="157"/>
        <v>6.9999999999999997E-7</v>
      </c>
      <c r="AY165" s="96">
        <f t="shared" si="158"/>
        <v>2.5771781588000002E-7</v>
      </c>
      <c r="AZ165" s="289">
        <f>AW165/DB!$B$23</f>
        <v>0</v>
      </c>
      <c r="BA165" s="289">
        <f>AX165/DB!$B$23</f>
        <v>8.4337349397590357E-10</v>
      </c>
    </row>
    <row r="166" spans="1:53" s="91" customFormat="1" x14ac:dyDescent="0.3">
      <c r="A166" s="81" t="s">
        <v>22</v>
      </c>
      <c r="B166" s="81" t="str">
        <f>B162</f>
        <v>Насос ЛВЖ+токси</v>
      </c>
      <c r="C166" s="83" t="s">
        <v>422</v>
      </c>
      <c r="D166" s="84" t="s">
        <v>421</v>
      </c>
      <c r="E166" s="97">
        <f>E164</f>
        <v>1.0000000000000001E-5</v>
      </c>
      <c r="F166" s="98">
        <f>F162</f>
        <v>1</v>
      </c>
      <c r="G166" s="81">
        <v>3.3249999999999995E-2</v>
      </c>
      <c r="H166" s="86">
        <f t="shared" si="148"/>
        <v>3.3249999999999999E-7</v>
      </c>
      <c r="I166" s="99">
        <f>0.15*I162</f>
        <v>0.17399999999999999</v>
      </c>
      <c r="J166" s="99">
        <f>0.01</f>
        <v>0.01</v>
      </c>
      <c r="K166" s="102" t="s">
        <v>127</v>
      </c>
      <c r="L166" s="103">
        <v>3</v>
      </c>
      <c r="M166" s="91" t="str">
        <f t="shared" si="149"/>
        <v>С5</v>
      </c>
      <c r="N166" s="91" t="str">
        <f t="shared" si="150"/>
        <v>Насос ЛВЖ+токси</v>
      </c>
      <c r="O166" s="91" t="str">
        <f t="shared" si="151"/>
        <v>Частичное-вспышка</v>
      </c>
      <c r="P166" s="91" t="s">
        <v>46</v>
      </c>
      <c r="Q166" s="91" t="s">
        <v>46</v>
      </c>
      <c r="R166" s="91" t="s">
        <v>46</v>
      </c>
      <c r="S166" s="91" t="s">
        <v>46</v>
      </c>
      <c r="T166" s="91" t="s">
        <v>46</v>
      </c>
      <c r="U166" s="91" t="s">
        <v>46</v>
      </c>
      <c r="V166" s="91" t="s">
        <v>46</v>
      </c>
      <c r="W166" s="91" t="s">
        <v>46</v>
      </c>
      <c r="X166" s="91" t="s">
        <v>46</v>
      </c>
      <c r="Y166" s="91" t="s">
        <v>46</v>
      </c>
      <c r="Z166" s="91" t="s">
        <v>46</v>
      </c>
      <c r="AA166" s="91" t="s">
        <v>46</v>
      </c>
      <c r="AB166" s="91" t="s">
        <v>46</v>
      </c>
      <c r="AC166" s="91" t="s">
        <v>46</v>
      </c>
      <c r="AD166" s="91" t="s">
        <v>46</v>
      </c>
      <c r="AE166" s="91" t="s">
        <v>46</v>
      </c>
      <c r="AF166" s="91" t="s">
        <v>46</v>
      </c>
      <c r="AG166" s="91" t="s">
        <v>46</v>
      </c>
      <c r="AH166" s="91" t="s">
        <v>46</v>
      </c>
      <c r="AI166" s="91" t="s">
        <v>46</v>
      </c>
      <c r="AJ166" s="91">
        <v>0</v>
      </c>
      <c r="AK166" s="91">
        <v>1</v>
      </c>
      <c r="AL166" s="91">
        <f>0.1*$AL$2</f>
        <v>7.5000000000000011E-2</v>
      </c>
      <c r="AM166" s="91">
        <f>AM162</f>
        <v>2.7E-2</v>
      </c>
      <c r="AN166" s="91">
        <f>ROUNDUP(AN162/3,0)</f>
        <v>1</v>
      </c>
      <c r="AQ166" s="94">
        <f>AM166*I166+AL166</f>
        <v>7.9698000000000005E-2</v>
      </c>
      <c r="AR166" s="94">
        <f t="shared" si="152"/>
        <v>7.9698000000000008E-3</v>
      </c>
      <c r="AS166" s="95">
        <f t="shared" si="153"/>
        <v>0.25</v>
      </c>
      <c r="AT166" s="95">
        <f t="shared" si="154"/>
        <v>8.4416950000000004E-2</v>
      </c>
      <c r="AU166" s="94">
        <f>10068.2*J166*POWER(10,-6)*10</f>
        <v>1.0068200000000001E-3</v>
      </c>
      <c r="AV166" s="95">
        <f t="shared" si="155"/>
        <v>0.42309157000000003</v>
      </c>
      <c r="AW166" s="96">
        <f t="shared" si="156"/>
        <v>0</v>
      </c>
      <c r="AX166" s="96">
        <f t="shared" si="157"/>
        <v>3.3249999999999999E-7</v>
      </c>
      <c r="AY166" s="96">
        <f t="shared" si="158"/>
        <v>1.40677947025E-7</v>
      </c>
      <c r="AZ166" s="289">
        <f>AW166/DB!$B$23</f>
        <v>0</v>
      </c>
      <c r="BA166" s="289">
        <f>AX166/DB!$B$23</f>
        <v>4.006024096385542E-10</v>
      </c>
    </row>
    <row r="167" spans="1:53" s="91" customFormat="1" ht="15" thickBot="1" x14ac:dyDescent="0.35">
      <c r="A167" s="81" t="s">
        <v>23</v>
      </c>
      <c r="B167" s="81" t="str">
        <f>B162</f>
        <v>Насос ЛВЖ+токси</v>
      </c>
      <c r="C167" s="83" t="s">
        <v>183</v>
      </c>
      <c r="D167" s="84" t="s">
        <v>119</v>
      </c>
      <c r="E167" s="97">
        <f>E165</f>
        <v>1.0000000000000001E-5</v>
      </c>
      <c r="F167" s="98">
        <f>F162</f>
        <v>1</v>
      </c>
      <c r="G167" s="81">
        <v>0.63174999999999992</v>
      </c>
      <c r="H167" s="86">
        <f t="shared" si="148"/>
        <v>6.3175000000000001E-6</v>
      </c>
      <c r="I167" s="99">
        <f>0.15*I162</f>
        <v>0.17399999999999999</v>
      </c>
      <c r="J167" s="81">
        <v>0</v>
      </c>
      <c r="K167" s="104" t="s">
        <v>138</v>
      </c>
      <c r="L167" s="104">
        <v>17</v>
      </c>
      <c r="M167" s="91" t="str">
        <f t="shared" si="149"/>
        <v>С6</v>
      </c>
      <c r="N167" s="91" t="str">
        <f t="shared" si="150"/>
        <v>Насос ЛВЖ+токси</v>
      </c>
      <c r="O167" s="91" t="str">
        <f t="shared" si="151"/>
        <v>Частичное-токси</v>
      </c>
      <c r="P167" s="91" t="s">
        <v>46</v>
      </c>
      <c r="Q167" s="91" t="s">
        <v>46</v>
      </c>
      <c r="R167" s="91" t="s">
        <v>46</v>
      </c>
      <c r="S167" s="91" t="s">
        <v>46</v>
      </c>
      <c r="T167" s="91" t="s">
        <v>46</v>
      </c>
      <c r="U167" s="91" t="s">
        <v>46</v>
      </c>
      <c r="V167" s="91" t="s">
        <v>46</v>
      </c>
      <c r="W167" s="91" t="s">
        <v>46</v>
      </c>
      <c r="X167" s="91" t="s">
        <v>46</v>
      </c>
      <c r="Y167" s="91" t="s">
        <v>46</v>
      </c>
      <c r="Z167" s="91" t="s">
        <v>46</v>
      </c>
      <c r="AA167" s="91" t="s">
        <v>46</v>
      </c>
      <c r="AB167" s="91" t="s">
        <v>46</v>
      </c>
      <c r="AC167" s="91" t="s">
        <v>46</v>
      </c>
      <c r="AD167" s="91" t="s">
        <v>46</v>
      </c>
      <c r="AE167" s="91" t="s">
        <v>46</v>
      </c>
      <c r="AF167" s="91" t="s">
        <v>46</v>
      </c>
      <c r="AG167" s="91" t="s">
        <v>46</v>
      </c>
      <c r="AH167" s="91" t="s">
        <v>46</v>
      </c>
      <c r="AI167" s="91" t="s">
        <v>46</v>
      </c>
      <c r="AJ167" s="91">
        <v>0</v>
      </c>
      <c r="AK167" s="91">
        <v>0</v>
      </c>
      <c r="AL167" s="91">
        <f>0.1*$AL$2</f>
        <v>7.5000000000000011E-2</v>
      </c>
      <c r="AM167" s="91">
        <f>AM162</f>
        <v>2.7E-2</v>
      </c>
      <c r="AN167" s="91">
        <f>ROUNDUP(AN162/3,0)</f>
        <v>1</v>
      </c>
      <c r="AQ167" s="94">
        <f>AM167*I167*0.1+AL167</f>
        <v>7.5469800000000017E-2</v>
      </c>
      <c r="AR167" s="94">
        <f t="shared" si="152"/>
        <v>7.5469800000000017E-3</v>
      </c>
      <c r="AS167" s="95">
        <f t="shared" si="153"/>
        <v>0</v>
      </c>
      <c r="AT167" s="95">
        <f t="shared" si="154"/>
        <v>2.0754195000000003E-2</v>
      </c>
      <c r="AU167" s="94">
        <f>1333*J166*POWER(10,-6)</f>
        <v>1.3329999999999999E-5</v>
      </c>
      <c r="AV167" s="95">
        <f t="shared" si="155"/>
        <v>0.10378430500000002</v>
      </c>
      <c r="AW167" s="96">
        <f t="shared" si="156"/>
        <v>0</v>
      </c>
      <c r="AX167" s="96">
        <f t="shared" si="157"/>
        <v>0</v>
      </c>
      <c r="AY167" s="96">
        <f t="shared" si="158"/>
        <v>6.5565734683750011E-7</v>
      </c>
      <c r="AZ167" s="289">
        <f>AW167/DB!$B$23</f>
        <v>0</v>
      </c>
      <c r="BA167" s="289">
        <f>AX167/DB!$B$23</f>
        <v>0</v>
      </c>
    </row>
    <row r="168" spans="1:53" s="91" customFormat="1" x14ac:dyDescent="0.3">
      <c r="A168" s="92"/>
      <c r="B168" s="92"/>
      <c r="D168" s="183"/>
      <c r="E168" s="184"/>
      <c r="F168" s="185"/>
      <c r="G168" s="92"/>
      <c r="H168" s="96"/>
      <c r="I168" s="95"/>
      <c r="J168" s="92"/>
      <c r="K168" s="92"/>
      <c r="L168" s="92"/>
      <c r="AQ168" s="94"/>
      <c r="AR168" s="94"/>
      <c r="AS168" s="95"/>
      <c r="AT168" s="95"/>
      <c r="AU168" s="94"/>
      <c r="AV168" s="95"/>
      <c r="AW168" s="96"/>
      <c r="AX168" s="96"/>
      <c r="AY168" s="96"/>
    </row>
    <row r="169" spans="1:53" s="91" customFormat="1" x14ac:dyDescent="0.3">
      <c r="A169" s="92"/>
      <c r="B169" s="92"/>
      <c r="D169" s="183"/>
      <c r="E169" s="184"/>
      <c r="F169" s="185"/>
      <c r="G169" s="92"/>
      <c r="H169" s="96"/>
      <c r="I169" s="95"/>
      <c r="J169" s="92"/>
      <c r="K169" s="92"/>
      <c r="L169" s="92"/>
      <c r="AQ169" s="94"/>
      <c r="AR169" s="94"/>
      <c r="AS169" s="95"/>
      <c r="AT169" s="95"/>
      <c r="AU169" s="94"/>
      <c r="AV169" s="95"/>
      <c r="AW169" s="96"/>
      <c r="AX169" s="96"/>
      <c r="AY169" s="96"/>
    </row>
    <row r="170" spans="1:53" s="91" customFormat="1" x14ac:dyDescent="0.3">
      <c r="A170" s="92"/>
      <c r="B170" s="92"/>
      <c r="D170" s="183"/>
      <c r="E170" s="184"/>
      <c r="F170" s="185"/>
      <c r="G170" s="92"/>
      <c r="H170" s="96"/>
      <c r="I170" s="95"/>
      <c r="J170" s="92"/>
      <c r="K170" s="92"/>
      <c r="L170" s="92"/>
      <c r="AQ170" s="94"/>
      <c r="AR170" s="94"/>
      <c r="AS170" s="95"/>
      <c r="AT170" s="95"/>
      <c r="AU170" s="94"/>
      <c r="AV170" s="95"/>
      <c r="AW170" s="96"/>
      <c r="AX170" s="96"/>
      <c r="AY170" s="96"/>
    </row>
    <row r="171" spans="1:53" ht="15" thickBot="1" x14ac:dyDescent="0.35"/>
    <row r="172" spans="1:53" s="91" customFormat="1" ht="15" thickBot="1" x14ac:dyDescent="0.35">
      <c r="A172" s="81" t="s">
        <v>18</v>
      </c>
      <c r="B172" s="82" t="s">
        <v>184</v>
      </c>
      <c r="C172" s="83" t="s">
        <v>174</v>
      </c>
      <c r="D172" s="84" t="s">
        <v>130</v>
      </c>
      <c r="E172" s="85">
        <v>1.0000000000000001E-5</v>
      </c>
      <c r="F172" s="82">
        <v>1</v>
      </c>
      <c r="G172" s="81">
        <v>1.4999999999999999E-2</v>
      </c>
      <c r="H172" s="86">
        <f t="shared" ref="H172:H177" si="159">E172*F172*G172</f>
        <v>1.5000000000000002E-7</v>
      </c>
      <c r="I172" s="87">
        <v>1.1599999999999999</v>
      </c>
      <c r="J172" s="99">
        <f>I172</f>
        <v>1.1599999999999999</v>
      </c>
      <c r="K172" s="89" t="s">
        <v>122</v>
      </c>
      <c r="L172" s="90">
        <v>7</v>
      </c>
      <c r="M172" s="91" t="str">
        <f t="shared" ref="M172:M177" si="160">A172</f>
        <v>С1</v>
      </c>
      <c r="N172" s="91" t="str">
        <f t="shared" ref="N172:N177" si="161">B172</f>
        <v>Насос ГЖ</v>
      </c>
      <c r="O172" s="91" t="str">
        <f t="shared" ref="O172:O177" si="162">D172</f>
        <v>Полное-факел</v>
      </c>
      <c r="P172" s="91" t="s">
        <v>46</v>
      </c>
      <c r="Q172" s="91" t="s">
        <v>46</v>
      </c>
      <c r="R172" s="91" t="s">
        <v>46</v>
      </c>
      <c r="S172" s="91" t="s">
        <v>46</v>
      </c>
      <c r="T172" s="91" t="s">
        <v>46</v>
      </c>
      <c r="U172" s="91" t="s">
        <v>46</v>
      </c>
      <c r="V172" s="91" t="s">
        <v>46</v>
      </c>
      <c r="W172" s="91" t="s">
        <v>46</v>
      </c>
      <c r="X172" s="91" t="s">
        <v>46</v>
      </c>
      <c r="Y172" s="91" t="s">
        <v>46</v>
      </c>
      <c r="Z172" s="91" t="s">
        <v>46</v>
      </c>
      <c r="AA172" s="91" t="s">
        <v>46</v>
      </c>
      <c r="AB172" s="91" t="s">
        <v>46</v>
      </c>
      <c r="AC172" s="91" t="s">
        <v>46</v>
      </c>
      <c r="AD172" s="91" t="s">
        <v>46</v>
      </c>
      <c r="AE172" s="91" t="s">
        <v>46</v>
      </c>
      <c r="AF172" s="91" t="s">
        <v>46</v>
      </c>
      <c r="AG172" s="91" t="s">
        <v>46</v>
      </c>
      <c r="AH172" s="91" t="s">
        <v>46</v>
      </c>
      <c r="AI172" s="91" t="s">
        <v>46</v>
      </c>
      <c r="AJ172" s="92">
        <v>1</v>
      </c>
      <c r="AK172" s="92">
        <v>2</v>
      </c>
      <c r="AL172" s="93">
        <v>0.75</v>
      </c>
      <c r="AM172" s="93">
        <v>2.7E-2</v>
      </c>
      <c r="AN172" s="93">
        <v>3</v>
      </c>
      <c r="AQ172" s="94">
        <f>AM172*I172+AL172</f>
        <v>0.78132000000000001</v>
      </c>
      <c r="AR172" s="94">
        <f t="shared" ref="AR172:AR177" si="163">0.1*AQ172</f>
        <v>7.8132000000000007E-2</v>
      </c>
      <c r="AS172" s="95">
        <f t="shared" ref="AS172:AS177" si="164">AJ172*3+0.25*AK172</f>
        <v>3.5</v>
      </c>
      <c r="AT172" s="95">
        <f t="shared" ref="AT172:AT177" si="165">SUM(AQ172:AS172)/4</f>
        <v>1.089863</v>
      </c>
      <c r="AU172" s="94">
        <f>10068.2*J172*POWER(10,-6)</f>
        <v>1.1679111999999998E-2</v>
      </c>
      <c r="AV172" s="95">
        <f t="shared" ref="AV172:AV177" si="166">AU172+AT172+AS172+AR172+AQ172</f>
        <v>5.4609941119999998</v>
      </c>
      <c r="AW172" s="96">
        <f t="shared" ref="AW172:AW177" si="167">AJ172*H172</f>
        <v>1.5000000000000002E-7</v>
      </c>
      <c r="AX172" s="96">
        <f t="shared" ref="AX172:AX177" si="168">H172*AK172</f>
        <v>3.0000000000000004E-7</v>
      </c>
      <c r="AY172" s="96">
        <f t="shared" ref="AY172:AY177" si="169">H172*AV172</f>
        <v>8.1914911680000006E-7</v>
      </c>
      <c r="AZ172" s="289">
        <f>AW172/DB!$B$23</f>
        <v>1.8072289156626509E-10</v>
      </c>
      <c r="BA172" s="289">
        <f>AX172/DB!$B$23</f>
        <v>3.6144578313253018E-10</v>
      </c>
    </row>
    <row r="173" spans="1:53" s="91" customFormat="1" ht="15" thickBot="1" x14ac:dyDescent="0.35">
      <c r="A173" s="81" t="s">
        <v>19</v>
      </c>
      <c r="B173" s="81" t="str">
        <f>B172</f>
        <v>Насос ГЖ</v>
      </c>
      <c r="C173" s="83" t="s">
        <v>185</v>
      </c>
      <c r="D173" s="84" t="s">
        <v>25</v>
      </c>
      <c r="E173" s="97">
        <f>E172</f>
        <v>1.0000000000000001E-5</v>
      </c>
      <c r="F173" s="98">
        <f>F172</f>
        <v>1</v>
      </c>
      <c r="G173" s="81">
        <v>1.4249999999999999E-2</v>
      </c>
      <c r="H173" s="86">
        <f t="shared" si="159"/>
        <v>1.4250000000000001E-7</v>
      </c>
      <c r="I173" s="99">
        <f>I172</f>
        <v>1.1599999999999999</v>
      </c>
      <c r="J173" s="189">
        <f>0.001</f>
        <v>1E-3</v>
      </c>
      <c r="K173" s="89" t="s">
        <v>123</v>
      </c>
      <c r="L173" s="90">
        <v>0</v>
      </c>
      <c r="M173" s="91" t="str">
        <f t="shared" si="160"/>
        <v>С2</v>
      </c>
      <c r="N173" s="91" t="str">
        <f t="shared" si="161"/>
        <v>Насос ГЖ</v>
      </c>
      <c r="O173" s="91" t="str">
        <f t="shared" si="162"/>
        <v>Полное-пожар</v>
      </c>
      <c r="P173" s="91" t="s">
        <v>46</v>
      </c>
      <c r="Q173" s="91" t="s">
        <v>46</v>
      </c>
      <c r="R173" s="91" t="s">
        <v>46</v>
      </c>
      <c r="S173" s="91" t="s">
        <v>46</v>
      </c>
      <c r="T173" s="91" t="s">
        <v>46</v>
      </c>
      <c r="U173" s="91" t="s">
        <v>46</v>
      </c>
      <c r="V173" s="91" t="s">
        <v>46</v>
      </c>
      <c r="W173" s="91" t="s">
        <v>46</v>
      </c>
      <c r="X173" s="91" t="s">
        <v>46</v>
      </c>
      <c r="Y173" s="91" t="s">
        <v>46</v>
      </c>
      <c r="Z173" s="91" t="s">
        <v>46</v>
      </c>
      <c r="AA173" s="91" t="s">
        <v>46</v>
      </c>
      <c r="AB173" s="91" t="s">
        <v>46</v>
      </c>
      <c r="AC173" s="91" t="s">
        <v>46</v>
      </c>
      <c r="AD173" s="91" t="s">
        <v>46</v>
      </c>
      <c r="AE173" s="91" t="s">
        <v>46</v>
      </c>
      <c r="AF173" s="91" t="s">
        <v>46</v>
      </c>
      <c r="AG173" s="91" t="s">
        <v>46</v>
      </c>
      <c r="AH173" s="91" t="s">
        <v>46</v>
      </c>
      <c r="AI173" s="91" t="s">
        <v>46</v>
      </c>
      <c r="AJ173" s="92">
        <v>2</v>
      </c>
      <c r="AK173" s="92">
        <v>2</v>
      </c>
      <c r="AL173" s="91">
        <f>AL172</f>
        <v>0.75</v>
      </c>
      <c r="AM173" s="91">
        <f>AM172</f>
        <v>2.7E-2</v>
      </c>
      <c r="AN173" s="91">
        <f>AN172</f>
        <v>3</v>
      </c>
      <c r="AQ173" s="94">
        <f>AM173*I173+AL173</f>
        <v>0.78132000000000001</v>
      </c>
      <c r="AR173" s="94">
        <f t="shared" si="163"/>
        <v>7.8132000000000007E-2</v>
      </c>
      <c r="AS173" s="95">
        <f t="shared" si="164"/>
        <v>6.5</v>
      </c>
      <c r="AT173" s="95">
        <f t="shared" si="165"/>
        <v>1.839863</v>
      </c>
      <c r="AU173" s="94">
        <f>10068.2*J173*POWER(10,-6)*10</f>
        <v>1.0068200000000001E-4</v>
      </c>
      <c r="AV173" s="95">
        <f t="shared" si="166"/>
        <v>9.1994156820000015</v>
      </c>
      <c r="AW173" s="96">
        <f t="shared" si="167"/>
        <v>2.8500000000000002E-7</v>
      </c>
      <c r="AX173" s="96">
        <f t="shared" si="168"/>
        <v>2.8500000000000002E-7</v>
      </c>
      <c r="AY173" s="96">
        <f t="shared" si="169"/>
        <v>1.3109167346850004E-6</v>
      </c>
      <c r="AZ173" s="289">
        <f>AW173/DB!$B$23</f>
        <v>3.4337349397590365E-10</v>
      </c>
      <c r="BA173" s="289">
        <f>AX173/DB!$B$23</f>
        <v>3.4337349397590365E-10</v>
      </c>
    </row>
    <row r="174" spans="1:53" s="91" customFormat="1" x14ac:dyDescent="0.3">
      <c r="A174" s="81" t="s">
        <v>20</v>
      </c>
      <c r="B174" s="81" t="str">
        <f>B172</f>
        <v>Насос ГЖ</v>
      </c>
      <c r="C174" s="83" t="s">
        <v>186</v>
      </c>
      <c r="D174" s="84" t="s">
        <v>26</v>
      </c>
      <c r="E174" s="97">
        <f>E172</f>
        <v>1.0000000000000001E-5</v>
      </c>
      <c r="F174" s="98">
        <f>F172</f>
        <v>1</v>
      </c>
      <c r="G174" s="81">
        <v>0.27074999999999999</v>
      </c>
      <c r="H174" s="86">
        <f t="shared" si="159"/>
        <v>2.7075000000000003E-6</v>
      </c>
      <c r="I174" s="99">
        <f>I172</f>
        <v>1.1599999999999999</v>
      </c>
      <c r="J174" s="81">
        <v>0</v>
      </c>
      <c r="K174" s="89" t="s">
        <v>124</v>
      </c>
      <c r="L174" s="90">
        <v>1</v>
      </c>
      <c r="M174" s="91" t="str">
        <f t="shared" si="160"/>
        <v>С3</v>
      </c>
      <c r="N174" s="91" t="str">
        <f t="shared" si="161"/>
        <v>Насос ГЖ</v>
      </c>
      <c r="O174" s="91" t="str">
        <f t="shared" si="162"/>
        <v>Полное-ликвидация</v>
      </c>
      <c r="P174" s="91" t="s">
        <v>46</v>
      </c>
      <c r="Q174" s="91" t="s">
        <v>46</v>
      </c>
      <c r="R174" s="91" t="s">
        <v>46</v>
      </c>
      <c r="S174" s="91" t="s">
        <v>46</v>
      </c>
      <c r="T174" s="91" t="s">
        <v>46</v>
      </c>
      <c r="U174" s="91" t="s">
        <v>46</v>
      </c>
      <c r="V174" s="91" t="s">
        <v>46</v>
      </c>
      <c r="W174" s="91" t="s">
        <v>46</v>
      </c>
      <c r="X174" s="91" t="s">
        <v>46</v>
      </c>
      <c r="Y174" s="91" t="s">
        <v>46</v>
      </c>
      <c r="Z174" s="91" t="s">
        <v>46</v>
      </c>
      <c r="AA174" s="91" t="s">
        <v>46</v>
      </c>
      <c r="AB174" s="91" t="s">
        <v>46</v>
      </c>
      <c r="AC174" s="91" t="s">
        <v>46</v>
      </c>
      <c r="AD174" s="91" t="s">
        <v>46</v>
      </c>
      <c r="AE174" s="91" t="s">
        <v>46</v>
      </c>
      <c r="AF174" s="91" t="s">
        <v>46</v>
      </c>
      <c r="AG174" s="91" t="s">
        <v>46</v>
      </c>
      <c r="AH174" s="91" t="s">
        <v>46</v>
      </c>
      <c r="AI174" s="91" t="s">
        <v>46</v>
      </c>
      <c r="AJ174" s="91">
        <v>0</v>
      </c>
      <c r="AK174" s="91">
        <v>0</v>
      </c>
      <c r="AL174" s="91">
        <f>AL172</f>
        <v>0.75</v>
      </c>
      <c r="AM174" s="91">
        <f>AM172</f>
        <v>2.7E-2</v>
      </c>
      <c r="AN174" s="91">
        <f>AN172</f>
        <v>3</v>
      </c>
      <c r="AQ174" s="94">
        <f>AM174*I174*0.1+AL174</f>
        <v>0.75313200000000002</v>
      </c>
      <c r="AR174" s="94">
        <f t="shared" si="163"/>
        <v>7.5313200000000011E-2</v>
      </c>
      <c r="AS174" s="95">
        <f t="shared" si="164"/>
        <v>0</v>
      </c>
      <c r="AT174" s="95">
        <f t="shared" si="165"/>
        <v>0.2071113</v>
      </c>
      <c r="AU174" s="94">
        <f>1333*J173*POWER(10,-6)</f>
        <v>1.333E-6</v>
      </c>
      <c r="AV174" s="95">
        <f t="shared" si="166"/>
        <v>1.0355578329999999</v>
      </c>
      <c r="AW174" s="96">
        <f t="shared" si="167"/>
        <v>0</v>
      </c>
      <c r="AX174" s="96">
        <f t="shared" si="168"/>
        <v>0</v>
      </c>
      <c r="AY174" s="96">
        <f t="shared" si="169"/>
        <v>2.8037728328474999E-6</v>
      </c>
      <c r="AZ174" s="289">
        <f>AW174/DB!$B$23</f>
        <v>0</v>
      </c>
      <c r="BA174" s="289">
        <f>AX174/DB!$B$23</f>
        <v>0</v>
      </c>
    </row>
    <row r="175" spans="1:53" s="91" customFormat="1" x14ac:dyDescent="0.3">
      <c r="A175" s="81" t="s">
        <v>21</v>
      </c>
      <c r="B175" s="81" t="str">
        <f>B172</f>
        <v>Насос ГЖ</v>
      </c>
      <c r="C175" s="83" t="s">
        <v>177</v>
      </c>
      <c r="D175" s="84" t="s">
        <v>47</v>
      </c>
      <c r="E175" s="97">
        <f>E173</f>
        <v>1.0000000000000001E-5</v>
      </c>
      <c r="F175" s="98">
        <f>F172</f>
        <v>1</v>
      </c>
      <c r="G175" s="81">
        <v>3.4999999999999996E-2</v>
      </c>
      <c r="H175" s="86">
        <f t="shared" si="159"/>
        <v>3.4999999999999998E-7</v>
      </c>
      <c r="I175" s="99">
        <f>0.15*I172</f>
        <v>0.17399999999999999</v>
      </c>
      <c r="J175" s="99">
        <f>I175</f>
        <v>0.17399999999999999</v>
      </c>
      <c r="K175" s="102" t="s">
        <v>126</v>
      </c>
      <c r="L175" s="103">
        <v>45390</v>
      </c>
      <c r="M175" s="91" t="str">
        <f t="shared" si="160"/>
        <v>С4</v>
      </c>
      <c r="N175" s="91" t="str">
        <f t="shared" si="161"/>
        <v>Насос ГЖ</v>
      </c>
      <c r="O175" s="91" t="str">
        <f t="shared" si="162"/>
        <v>Частичное-пожар</v>
      </c>
      <c r="P175" s="91" t="s">
        <v>46</v>
      </c>
      <c r="Q175" s="91" t="s">
        <v>46</v>
      </c>
      <c r="R175" s="91" t="s">
        <v>46</v>
      </c>
      <c r="S175" s="91" t="s">
        <v>46</v>
      </c>
      <c r="T175" s="91" t="s">
        <v>46</v>
      </c>
      <c r="U175" s="91" t="s">
        <v>46</v>
      </c>
      <c r="V175" s="91" t="s">
        <v>46</v>
      </c>
      <c r="W175" s="91" t="s">
        <v>46</v>
      </c>
      <c r="X175" s="91" t="s">
        <v>46</v>
      </c>
      <c r="Y175" s="91" t="s">
        <v>46</v>
      </c>
      <c r="Z175" s="91" t="s">
        <v>46</v>
      </c>
      <c r="AA175" s="91" t="s">
        <v>46</v>
      </c>
      <c r="AB175" s="91" t="s">
        <v>46</v>
      </c>
      <c r="AC175" s="91" t="s">
        <v>46</v>
      </c>
      <c r="AD175" s="91" t="s">
        <v>46</v>
      </c>
      <c r="AE175" s="91" t="s">
        <v>46</v>
      </c>
      <c r="AF175" s="91" t="s">
        <v>46</v>
      </c>
      <c r="AG175" s="91" t="s">
        <v>46</v>
      </c>
      <c r="AH175" s="91" t="s">
        <v>46</v>
      </c>
      <c r="AI175" s="91" t="s">
        <v>46</v>
      </c>
      <c r="AJ175" s="91">
        <v>0</v>
      </c>
      <c r="AK175" s="91">
        <v>2</v>
      </c>
      <c r="AL175" s="91">
        <f>0.1*$AL$2</f>
        <v>7.5000000000000011E-2</v>
      </c>
      <c r="AM175" s="91">
        <f>AM172</f>
        <v>2.7E-2</v>
      </c>
      <c r="AN175" s="91">
        <f>ROUNDUP(AN172/3,0)</f>
        <v>1</v>
      </c>
      <c r="AQ175" s="94">
        <f>AM175*I175+AL175</f>
        <v>7.9698000000000005E-2</v>
      </c>
      <c r="AR175" s="94">
        <f t="shared" si="163"/>
        <v>7.9698000000000008E-3</v>
      </c>
      <c r="AS175" s="95">
        <f t="shared" si="164"/>
        <v>0.5</v>
      </c>
      <c r="AT175" s="95">
        <f t="shared" si="165"/>
        <v>0.14691694999999999</v>
      </c>
      <c r="AU175" s="94">
        <f>10068.2*J175*POWER(10,-6)</f>
        <v>1.7518668E-3</v>
      </c>
      <c r="AV175" s="95">
        <f t="shared" si="166"/>
        <v>0.73633661680000007</v>
      </c>
      <c r="AW175" s="96">
        <f t="shared" si="167"/>
        <v>0</v>
      </c>
      <c r="AX175" s="96">
        <f t="shared" si="168"/>
        <v>6.9999999999999997E-7</v>
      </c>
      <c r="AY175" s="96">
        <f t="shared" si="169"/>
        <v>2.5771781588000002E-7</v>
      </c>
      <c r="AZ175" s="289">
        <f>AW175/DB!$B$23</f>
        <v>0</v>
      </c>
      <c r="BA175" s="289">
        <f>AX175/DB!$B$23</f>
        <v>8.4337349397590357E-10</v>
      </c>
    </row>
    <row r="176" spans="1:53" s="91" customFormat="1" x14ac:dyDescent="0.3">
      <c r="A176" s="81" t="s">
        <v>22</v>
      </c>
      <c r="B176" s="81" t="str">
        <f>B172</f>
        <v>Насос ГЖ</v>
      </c>
      <c r="C176" s="83" t="s">
        <v>179</v>
      </c>
      <c r="D176" s="84" t="s">
        <v>47</v>
      </c>
      <c r="E176" s="97">
        <f>E174</f>
        <v>1.0000000000000001E-5</v>
      </c>
      <c r="F176" s="98">
        <f>F172</f>
        <v>1</v>
      </c>
      <c r="G176" s="81">
        <v>3.3249999999999995E-2</v>
      </c>
      <c r="H176" s="86">
        <f t="shared" si="159"/>
        <v>3.3249999999999999E-7</v>
      </c>
      <c r="I176" s="99">
        <f>0.15*I172</f>
        <v>0.17399999999999999</v>
      </c>
      <c r="J176" s="99">
        <f>I175</f>
        <v>0.17399999999999999</v>
      </c>
      <c r="K176" s="102" t="s">
        <v>127</v>
      </c>
      <c r="L176" s="103">
        <v>3</v>
      </c>
      <c r="M176" s="91" t="str">
        <f t="shared" si="160"/>
        <v>С5</v>
      </c>
      <c r="N176" s="91" t="str">
        <f t="shared" si="161"/>
        <v>Насос ГЖ</v>
      </c>
      <c r="O176" s="91" t="str">
        <f t="shared" si="162"/>
        <v>Частичное-пожар</v>
      </c>
      <c r="P176" s="91" t="s">
        <v>46</v>
      </c>
      <c r="Q176" s="91" t="s">
        <v>46</v>
      </c>
      <c r="R176" s="91" t="s">
        <v>46</v>
      </c>
      <c r="S176" s="91" t="s">
        <v>46</v>
      </c>
      <c r="T176" s="91" t="s">
        <v>46</v>
      </c>
      <c r="U176" s="91" t="s">
        <v>46</v>
      </c>
      <c r="V176" s="91" t="s">
        <v>46</v>
      </c>
      <c r="W176" s="91" t="s">
        <v>46</v>
      </c>
      <c r="X176" s="91" t="s">
        <v>46</v>
      </c>
      <c r="Y176" s="91" t="s">
        <v>46</v>
      </c>
      <c r="Z176" s="91" t="s">
        <v>46</v>
      </c>
      <c r="AA176" s="91" t="s">
        <v>46</v>
      </c>
      <c r="AB176" s="91" t="s">
        <v>46</v>
      </c>
      <c r="AC176" s="91" t="s">
        <v>46</v>
      </c>
      <c r="AD176" s="91" t="s">
        <v>46</v>
      </c>
      <c r="AE176" s="91" t="s">
        <v>46</v>
      </c>
      <c r="AF176" s="91" t="s">
        <v>46</v>
      </c>
      <c r="AG176" s="91" t="s">
        <v>46</v>
      </c>
      <c r="AH176" s="91" t="s">
        <v>46</v>
      </c>
      <c r="AI176" s="91" t="s">
        <v>46</v>
      </c>
      <c r="AJ176" s="91">
        <v>0</v>
      </c>
      <c r="AK176" s="91">
        <v>1</v>
      </c>
      <c r="AL176" s="91">
        <f>0.1*$AL$2</f>
        <v>7.5000000000000011E-2</v>
      </c>
      <c r="AM176" s="91">
        <f>AM172</f>
        <v>2.7E-2</v>
      </c>
      <c r="AN176" s="91">
        <f>ROUNDUP(AN172/3,0)</f>
        <v>1</v>
      </c>
      <c r="AQ176" s="94">
        <f>AM176*I176+AL176</f>
        <v>7.9698000000000005E-2</v>
      </c>
      <c r="AR176" s="94">
        <f t="shared" si="163"/>
        <v>7.9698000000000008E-3</v>
      </c>
      <c r="AS176" s="95">
        <f t="shared" si="164"/>
        <v>0.25</v>
      </c>
      <c r="AT176" s="95">
        <f t="shared" si="165"/>
        <v>8.4416950000000004E-2</v>
      </c>
      <c r="AU176" s="94">
        <f>10068.2*J176*POWER(10,-6)*10</f>
        <v>1.7518668000000001E-2</v>
      </c>
      <c r="AV176" s="95">
        <f t="shared" si="166"/>
        <v>0.43960341800000002</v>
      </c>
      <c r="AW176" s="96">
        <f t="shared" si="167"/>
        <v>0</v>
      </c>
      <c r="AX176" s="96">
        <f t="shared" si="168"/>
        <v>3.3249999999999999E-7</v>
      </c>
      <c r="AY176" s="96">
        <f t="shared" si="169"/>
        <v>1.4616813648500001E-7</v>
      </c>
      <c r="AZ176" s="289">
        <f>AW176/DB!$B$23</f>
        <v>0</v>
      </c>
      <c r="BA176" s="289">
        <f>AX176/DB!$B$23</f>
        <v>4.006024096385542E-10</v>
      </c>
    </row>
    <row r="177" spans="1:53" s="91" customFormat="1" ht="15" thickBot="1" x14ac:dyDescent="0.35">
      <c r="A177" s="81" t="s">
        <v>23</v>
      </c>
      <c r="B177" s="81" t="str">
        <f>B172</f>
        <v>Насос ГЖ</v>
      </c>
      <c r="C177" s="83" t="s">
        <v>178</v>
      </c>
      <c r="D177" s="84" t="s">
        <v>119</v>
      </c>
      <c r="E177" s="97">
        <f>E175</f>
        <v>1.0000000000000001E-5</v>
      </c>
      <c r="F177" s="98">
        <f>F172</f>
        <v>1</v>
      </c>
      <c r="G177" s="81">
        <v>0.63174999999999992</v>
      </c>
      <c r="H177" s="86">
        <f t="shared" si="159"/>
        <v>6.3175000000000001E-6</v>
      </c>
      <c r="I177" s="99">
        <f>0.15*I172</f>
        <v>0.17399999999999999</v>
      </c>
      <c r="J177" s="81">
        <v>0</v>
      </c>
      <c r="K177" s="104" t="s">
        <v>138</v>
      </c>
      <c r="L177" s="104">
        <v>18</v>
      </c>
      <c r="M177" s="91" t="str">
        <f t="shared" si="160"/>
        <v>С6</v>
      </c>
      <c r="N177" s="91" t="str">
        <f t="shared" si="161"/>
        <v>Насос ГЖ</v>
      </c>
      <c r="O177" s="91" t="str">
        <f t="shared" si="162"/>
        <v>Частичное-токси</v>
      </c>
      <c r="P177" s="91" t="s">
        <v>46</v>
      </c>
      <c r="Q177" s="91" t="s">
        <v>46</v>
      </c>
      <c r="R177" s="91" t="s">
        <v>46</v>
      </c>
      <c r="S177" s="91" t="s">
        <v>46</v>
      </c>
      <c r="T177" s="91" t="s">
        <v>46</v>
      </c>
      <c r="U177" s="91" t="s">
        <v>46</v>
      </c>
      <c r="V177" s="91" t="s">
        <v>46</v>
      </c>
      <c r="W177" s="91" t="s">
        <v>46</v>
      </c>
      <c r="X177" s="91" t="s">
        <v>46</v>
      </c>
      <c r="Y177" s="91" t="s">
        <v>46</v>
      </c>
      <c r="Z177" s="91" t="s">
        <v>46</v>
      </c>
      <c r="AA177" s="91" t="s">
        <v>46</v>
      </c>
      <c r="AB177" s="91" t="s">
        <v>46</v>
      </c>
      <c r="AC177" s="91" t="s">
        <v>46</v>
      </c>
      <c r="AD177" s="91" t="s">
        <v>46</v>
      </c>
      <c r="AE177" s="91" t="s">
        <v>46</v>
      </c>
      <c r="AF177" s="91" t="s">
        <v>46</v>
      </c>
      <c r="AG177" s="91" t="s">
        <v>46</v>
      </c>
      <c r="AH177" s="91" t="s">
        <v>46</v>
      </c>
      <c r="AI177" s="91" t="s">
        <v>46</v>
      </c>
      <c r="AJ177" s="91">
        <v>0</v>
      </c>
      <c r="AK177" s="91">
        <v>0</v>
      </c>
      <c r="AL177" s="91">
        <f>0.1*$AL$2</f>
        <v>7.5000000000000011E-2</v>
      </c>
      <c r="AM177" s="91">
        <f>AM172</f>
        <v>2.7E-2</v>
      </c>
      <c r="AN177" s="91">
        <f>ROUNDUP(AN172/3,0)</f>
        <v>1</v>
      </c>
      <c r="AQ177" s="94">
        <f>AM177*I177*0.1+AL177</f>
        <v>7.5469800000000017E-2</v>
      </c>
      <c r="AR177" s="94">
        <f t="shared" si="163"/>
        <v>7.5469800000000017E-3</v>
      </c>
      <c r="AS177" s="95">
        <f t="shared" si="164"/>
        <v>0</v>
      </c>
      <c r="AT177" s="95">
        <f t="shared" si="165"/>
        <v>2.0754195000000003E-2</v>
      </c>
      <c r="AU177" s="94">
        <f>1333*J176*POWER(10,-6)</f>
        <v>2.3194199999999996E-4</v>
      </c>
      <c r="AV177" s="95">
        <f t="shared" si="166"/>
        <v>0.10400291700000003</v>
      </c>
      <c r="AW177" s="96">
        <f t="shared" si="167"/>
        <v>0</v>
      </c>
      <c r="AX177" s="96">
        <f t="shared" si="168"/>
        <v>0</v>
      </c>
      <c r="AY177" s="96">
        <f t="shared" si="169"/>
        <v>6.5703842814750017E-7</v>
      </c>
      <c r="AZ177" s="289">
        <f>AW177/DB!$B$23</f>
        <v>0</v>
      </c>
      <c r="BA177" s="289">
        <f>AX177/DB!$B$23</f>
        <v>0</v>
      </c>
    </row>
    <row r="178" spans="1:53" s="91" customFormat="1" x14ac:dyDescent="0.3">
      <c r="A178" s="92"/>
      <c r="B178" s="92"/>
      <c r="D178" s="183"/>
      <c r="E178" s="184"/>
      <c r="F178" s="185"/>
      <c r="G178" s="92"/>
      <c r="H178" s="96"/>
      <c r="I178" s="95"/>
      <c r="J178" s="92"/>
      <c r="K178" s="92"/>
      <c r="L178" s="92"/>
      <c r="AQ178" s="94"/>
      <c r="AR178" s="94"/>
      <c r="AS178" s="95"/>
      <c r="AT178" s="95"/>
      <c r="AU178" s="94"/>
      <c r="AV178" s="95"/>
      <c r="AW178" s="96"/>
      <c r="AX178" s="96"/>
      <c r="AY178" s="96"/>
    </row>
    <row r="179" spans="1:53" s="91" customFormat="1" x14ac:dyDescent="0.3">
      <c r="A179" s="92"/>
      <c r="B179" s="92"/>
      <c r="D179" s="183"/>
      <c r="E179" s="184"/>
      <c r="F179" s="185"/>
      <c r="G179" s="92"/>
      <c r="H179" s="96"/>
      <c r="I179" s="95"/>
      <c r="J179" s="92"/>
      <c r="K179" s="92"/>
      <c r="L179" s="92"/>
      <c r="AQ179" s="94"/>
      <c r="AR179" s="94"/>
      <c r="AS179" s="95"/>
      <c r="AT179" s="95"/>
      <c r="AU179" s="94"/>
      <c r="AV179" s="95"/>
      <c r="AW179" s="96"/>
      <c r="AX179" s="96"/>
      <c r="AY179" s="96"/>
    </row>
    <row r="180" spans="1:53" s="91" customFormat="1" x14ac:dyDescent="0.3">
      <c r="A180" s="92"/>
      <c r="B180" s="92"/>
      <c r="D180" s="183"/>
      <c r="E180" s="184"/>
      <c r="F180" s="185"/>
      <c r="G180" s="92"/>
      <c r="H180" s="96"/>
      <c r="I180" s="95"/>
      <c r="J180" s="92"/>
      <c r="K180" s="92"/>
      <c r="L180" s="92"/>
      <c r="AQ180" s="94"/>
      <c r="AR180" s="94"/>
      <c r="AS180" s="95"/>
      <c r="AT180" s="95"/>
      <c r="AU180" s="94"/>
      <c r="AV180" s="95"/>
      <c r="AW180" s="96"/>
      <c r="AX180" s="96"/>
      <c r="AY180" s="96"/>
    </row>
    <row r="181" spans="1:53" ht="15" thickBot="1" x14ac:dyDescent="0.35"/>
    <row r="182" spans="1:53" s="139" customFormat="1" ht="18" customHeight="1" x14ac:dyDescent="0.3">
      <c r="A182" s="130" t="s">
        <v>18</v>
      </c>
      <c r="B182" s="131" t="s">
        <v>239</v>
      </c>
      <c r="C182" s="13" t="s">
        <v>129</v>
      </c>
      <c r="D182" s="132" t="s">
        <v>243</v>
      </c>
      <c r="E182" s="133">
        <v>1.0000000000000001E-5</v>
      </c>
      <c r="F182" s="131">
        <v>1</v>
      </c>
      <c r="G182" s="130">
        <v>0.2</v>
      </c>
      <c r="H182" s="134">
        <f>E182*F182*G182</f>
        <v>2.0000000000000003E-6</v>
      </c>
      <c r="I182" s="135">
        <v>1.2</v>
      </c>
      <c r="J182" s="136">
        <f>I182</f>
        <v>1.2</v>
      </c>
      <c r="K182" s="137" t="s">
        <v>122</v>
      </c>
      <c r="L182" s="138">
        <v>0</v>
      </c>
      <c r="M182" s="139" t="str">
        <f t="shared" ref="M182:M189" si="170">A182</f>
        <v>С1</v>
      </c>
      <c r="N182" s="139" t="str">
        <f t="shared" ref="N182:N189" si="171">B182</f>
        <v>Трубопровод СУГ</v>
      </c>
      <c r="O182" s="139" t="str">
        <f t="shared" ref="O182:O189" si="172">D182</f>
        <v>Полное-факельное горение</v>
      </c>
      <c r="P182" s="139" t="s">
        <v>46</v>
      </c>
      <c r="Q182" s="139" t="s">
        <v>46</v>
      </c>
      <c r="R182" s="139" t="s">
        <v>46</v>
      </c>
      <c r="S182" s="139" t="s">
        <v>46</v>
      </c>
      <c r="T182" s="139" t="s">
        <v>46</v>
      </c>
      <c r="U182" s="139" t="s">
        <v>46</v>
      </c>
      <c r="V182" s="139" t="s">
        <v>46</v>
      </c>
      <c r="W182" s="139" t="s">
        <v>46</v>
      </c>
      <c r="X182" s="139" t="s">
        <v>46</v>
      </c>
      <c r="Y182" s="139">
        <v>44</v>
      </c>
      <c r="Z182" s="139">
        <v>7</v>
      </c>
      <c r="AA182" s="139" t="s">
        <v>46</v>
      </c>
      <c r="AB182" s="139" t="s">
        <v>46</v>
      </c>
      <c r="AC182" s="139" t="s">
        <v>46</v>
      </c>
      <c r="AD182" s="139" t="s">
        <v>46</v>
      </c>
      <c r="AE182" s="139" t="s">
        <v>46</v>
      </c>
      <c r="AF182" s="139" t="s">
        <v>46</v>
      </c>
      <c r="AG182" s="139" t="s">
        <v>46</v>
      </c>
      <c r="AH182" s="139" t="s">
        <v>46</v>
      </c>
      <c r="AI182" s="139" t="s">
        <v>46</v>
      </c>
      <c r="AJ182" s="140">
        <v>1</v>
      </c>
      <c r="AK182" s="140">
        <v>2</v>
      </c>
      <c r="AL182" s="141">
        <v>0.75</v>
      </c>
      <c r="AM182" s="141">
        <v>2.7E-2</v>
      </c>
      <c r="AN182" s="141">
        <v>3</v>
      </c>
      <c r="AQ182" s="142">
        <f>AM182*I182+AL182</f>
        <v>0.78239999999999998</v>
      </c>
      <c r="AR182" s="142">
        <f>0.1*AQ182</f>
        <v>7.8240000000000004E-2</v>
      </c>
      <c r="AS182" s="143">
        <f>AJ182*3+0.25*AK182</f>
        <v>3.5</v>
      </c>
      <c r="AT182" s="143">
        <f>SUM(AQ182:AS182)/4</f>
        <v>1.09016</v>
      </c>
      <c r="AU182" s="142">
        <f>10068.2*J182*POWER(10,-6)</f>
        <v>1.208184E-2</v>
      </c>
      <c r="AV182" s="143">
        <f t="shared" ref="AV182:AV189" si="173">AU182+AT182+AS182+AR182+AQ182</f>
        <v>5.4628818399999997</v>
      </c>
      <c r="AW182" s="144">
        <f>AJ182*H182</f>
        <v>2.0000000000000003E-6</v>
      </c>
      <c r="AX182" s="144">
        <f>H182*AK182</f>
        <v>4.0000000000000007E-6</v>
      </c>
      <c r="AY182" s="144">
        <f>H182*AV182</f>
        <v>1.0925763680000002E-5</v>
      </c>
      <c r="AZ182" s="289">
        <f>AW182/DB!$B$23</f>
        <v>2.4096385542168678E-9</v>
      </c>
      <c r="BA182" s="289">
        <f>AX182/DB!$B$23</f>
        <v>4.8192771084337357E-9</v>
      </c>
    </row>
    <row r="183" spans="1:53" s="139" customFormat="1" x14ac:dyDescent="0.3">
      <c r="A183" s="130" t="s">
        <v>19</v>
      </c>
      <c r="B183" s="130" t="str">
        <f>B182</f>
        <v>Трубопровод СУГ</v>
      </c>
      <c r="C183" s="13" t="s">
        <v>107</v>
      </c>
      <c r="D183" s="132" t="s">
        <v>28</v>
      </c>
      <c r="E183" s="145">
        <f>E182</f>
        <v>1.0000000000000001E-5</v>
      </c>
      <c r="F183" s="146">
        <f>F182</f>
        <v>1</v>
      </c>
      <c r="G183" s="130">
        <v>0.1152</v>
      </c>
      <c r="H183" s="134">
        <f t="shared" ref="H183:H189" si="174">E183*F183*G183</f>
        <v>1.1520000000000002E-6</v>
      </c>
      <c r="I183" s="147">
        <f>I182</f>
        <v>1.2</v>
      </c>
      <c r="J183" s="192">
        <f>0.1*I182</f>
        <v>0.12</v>
      </c>
      <c r="K183" s="148" t="s">
        <v>123</v>
      </c>
      <c r="L183" s="149">
        <v>0</v>
      </c>
      <c r="M183" s="139" t="str">
        <f t="shared" si="170"/>
        <v>С2</v>
      </c>
      <c r="N183" s="139" t="str">
        <f t="shared" si="171"/>
        <v>Трубопровод СУГ</v>
      </c>
      <c r="O183" s="139" t="str">
        <f t="shared" si="172"/>
        <v>Полное-взрыв</v>
      </c>
      <c r="P183" s="139" t="s">
        <v>46</v>
      </c>
      <c r="Q183" s="139" t="s">
        <v>46</v>
      </c>
      <c r="R183" s="139" t="s">
        <v>46</v>
      </c>
      <c r="S183" s="139" t="s">
        <v>46</v>
      </c>
      <c r="T183" s="139">
        <v>0</v>
      </c>
      <c r="U183" s="139">
        <v>0</v>
      </c>
      <c r="V183" s="139">
        <v>37.6</v>
      </c>
      <c r="W183" s="139">
        <v>124.6</v>
      </c>
      <c r="X183" s="139">
        <v>324.60000000000002</v>
      </c>
      <c r="Y183" s="139" t="s">
        <v>46</v>
      </c>
      <c r="Z183" s="139" t="s">
        <v>46</v>
      </c>
      <c r="AA183" s="139" t="s">
        <v>46</v>
      </c>
      <c r="AB183" s="139" t="s">
        <v>46</v>
      </c>
      <c r="AC183" s="139" t="s">
        <v>46</v>
      </c>
      <c r="AD183" s="139" t="s">
        <v>46</v>
      </c>
      <c r="AE183" s="139" t="s">
        <v>46</v>
      </c>
      <c r="AF183" s="139" t="s">
        <v>46</v>
      </c>
      <c r="AG183" s="139" t="s">
        <v>46</v>
      </c>
      <c r="AH183" s="139" t="s">
        <v>46</v>
      </c>
      <c r="AI183" s="139" t="s">
        <v>46</v>
      </c>
      <c r="AJ183" s="140">
        <v>2</v>
      </c>
      <c r="AK183" s="140">
        <v>2</v>
      </c>
      <c r="AL183" s="139">
        <f>AL182</f>
        <v>0.75</v>
      </c>
      <c r="AM183" s="139">
        <f>AM182</f>
        <v>2.7E-2</v>
      </c>
      <c r="AN183" s="139">
        <f>AN182</f>
        <v>3</v>
      </c>
      <c r="AQ183" s="142">
        <f>AM183*I183+AL183</f>
        <v>0.78239999999999998</v>
      </c>
      <c r="AR183" s="142">
        <f t="shared" ref="AR183:AR189" si="175">0.1*AQ183</f>
        <v>7.8240000000000004E-2</v>
      </c>
      <c r="AS183" s="143">
        <f t="shared" ref="AS183:AS189" si="176">AJ183*3+0.25*AK183</f>
        <v>6.5</v>
      </c>
      <c r="AT183" s="143">
        <f t="shared" ref="AT183:AT189" si="177">SUM(AQ183:AS183)/4</f>
        <v>1.84016</v>
      </c>
      <c r="AU183" s="142">
        <f>10068.2*J183*POWER(10,-6)*10</f>
        <v>1.208184E-2</v>
      </c>
      <c r="AV183" s="143">
        <f t="shared" si="173"/>
        <v>9.2128818399999979</v>
      </c>
      <c r="AW183" s="144">
        <f t="shared" ref="AW183:AW189" si="178">AJ183*H183</f>
        <v>2.3040000000000003E-6</v>
      </c>
      <c r="AX183" s="144">
        <f t="shared" ref="AX183:AX189" si="179">H183*AK183</f>
        <v>2.3040000000000003E-6</v>
      </c>
      <c r="AY183" s="144">
        <f t="shared" ref="AY183:AY189" si="180">H183*AV183</f>
        <v>1.061323987968E-5</v>
      </c>
      <c r="AZ183" s="289">
        <f>AW183/DB!$B$23</f>
        <v>2.7759036144578319E-9</v>
      </c>
      <c r="BA183" s="289">
        <f>AX183/DB!$B$23</f>
        <v>2.7759036144578319E-9</v>
      </c>
    </row>
    <row r="184" spans="1:53" s="139" customFormat="1" x14ac:dyDescent="0.3">
      <c r="A184" s="130" t="s">
        <v>20</v>
      </c>
      <c r="B184" s="130" t="str">
        <f>B182</f>
        <v>Трубопровод СУГ</v>
      </c>
      <c r="C184" s="13" t="s">
        <v>242</v>
      </c>
      <c r="D184" s="132" t="s">
        <v>241</v>
      </c>
      <c r="E184" s="145">
        <f>E182</f>
        <v>1.0000000000000001E-5</v>
      </c>
      <c r="F184" s="146">
        <f>F182</f>
        <v>1</v>
      </c>
      <c r="G184" s="130">
        <v>7.6799999999999993E-2</v>
      </c>
      <c r="H184" s="134">
        <f t="shared" si="174"/>
        <v>7.6799999999999999E-7</v>
      </c>
      <c r="I184" s="147">
        <f>I182</f>
        <v>1.2</v>
      </c>
      <c r="J184" s="136">
        <f>0.6*I182</f>
        <v>0.72</v>
      </c>
      <c r="K184" s="148" t="s">
        <v>124</v>
      </c>
      <c r="L184" s="149">
        <v>15</v>
      </c>
      <c r="M184" s="139" t="str">
        <f t="shared" si="170"/>
        <v>С3</v>
      </c>
      <c r="N184" s="139" t="str">
        <f t="shared" si="171"/>
        <v>Трубопровод СУГ</v>
      </c>
      <c r="O184" s="139" t="str">
        <f t="shared" si="172"/>
        <v>Полное-огненный шар</v>
      </c>
      <c r="P184" s="139" t="s">
        <v>46</v>
      </c>
      <c r="Q184" s="139" t="s">
        <v>46</v>
      </c>
      <c r="R184" s="139" t="s">
        <v>46</v>
      </c>
      <c r="S184" s="139" t="s">
        <v>46</v>
      </c>
      <c r="T184" s="139" t="s">
        <v>46</v>
      </c>
      <c r="U184" s="139" t="s">
        <v>46</v>
      </c>
      <c r="V184" s="139" t="s">
        <v>46</v>
      </c>
      <c r="W184" s="139" t="s">
        <v>46</v>
      </c>
      <c r="X184" s="139" t="s">
        <v>46</v>
      </c>
      <c r="Y184" s="139" t="s">
        <v>46</v>
      </c>
      <c r="Z184" s="139" t="s">
        <v>46</v>
      </c>
      <c r="AA184" s="139" t="s">
        <v>46</v>
      </c>
      <c r="AB184" s="139" t="s">
        <v>46</v>
      </c>
      <c r="AC184" s="139" t="s">
        <v>46</v>
      </c>
      <c r="AD184" s="139" t="s">
        <v>46</v>
      </c>
      <c r="AE184" s="139">
        <v>1</v>
      </c>
      <c r="AF184" s="139">
        <v>32</v>
      </c>
      <c r="AG184" s="139">
        <v>43.5</v>
      </c>
      <c r="AH184" s="139">
        <v>62</v>
      </c>
      <c r="AI184" s="139" t="s">
        <v>46</v>
      </c>
      <c r="AJ184" s="139">
        <v>0</v>
      </c>
      <c r="AK184" s="139">
        <v>0</v>
      </c>
      <c r="AL184" s="139">
        <f>AL182</f>
        <v>0.75</v>
      </c>
      <c r="AM184" s="139">
        <f>AM182</f>
        <v>2.7E-2</v>
      </c>
      <c r="AN184" s="139">
        <f>AN182</f>
        <v>3</v>
      </c>
      <c r="AQ184" s="142">
        <f>AM184*I184*0.1+AL184</f>
        <v>0.75324000000000002</v>
      </c>
      <c r="AR184" s="142">
        <f t="shared" si="175"/>
        <v>7.5324000000000002E-2</v>
      </c>
      <c r="AS184" s="143">
        <f t="shared" si="176"/>
        <v>0</v>
      </c>
      <c r="AT184" s="143">
        <f t="shared" si="177"/>
        <v>0.20714100000000002</v>
      </c>
      <c r="AU184" s="142">
        <f>1333*J182*POWER(10,-6)</f>
        <v>1.5995999999999999E-3</v>
      </c>
      <c r="AV184" s="143">
        <f t="shared" si="173"/>
        <v>1.0373046000000001</v>
      </c>
      <c r="AW184" s="144">
        <f t="shared" si="178"/>
        <v>0</v>
      </c>
      <c r="AX184" s="144">
        <f t="shared" si="179"/>
        <v>0</v>
      </c>
      <c r="AY184" s="144">
        <f t="shared" si="180"/>
        <v>7.9664993280000006E-7</v>
      </c>
      <c r="AZ184" s="289">
        <f>AW184/DB!$B$23</f>
        <v>0</v>
      </c>
      <c r="BA184" s="289">
        <f>AX184/DB!$B$23</f>
        <v>0</v>
      </c>
    </row>
    <row r="185" spans="1:53" s="139" customFormat="1" x14ac:dyDescent="0.3">
      <c r="A185" s="130" t="s">
        <v>21</v>
      </c>
      <c r="B185" s="130" t="str">
        <f>B182</f>
        <v>Трубопровод СУГ</v>
      </c>
      <c r="C185" s="13" t="s">
        <v>108</v>
      </c>
      <c r="D185" s="132" t="s">
        <v>26</v>
      </c>
      <c r="E185" s="145">
        <f>E182</f>
        <v>1.0000000000000001E-5</v>
      </c>
      <c r="F185" s="146">
        <f>F182</f>
        <v>1</v>
      </c>
      <c r="G185" s="130">
        <v>0.60799999999999998</v>
      </c>
      <c r="H185" s="134">
        <f t="shared" si="174"/>
        <v>6.0800000000000002E-6</v>
      </c>
      <c r="I185" s="147">
        <f>I182</f>
        <v>1.2</v>
      </c>
      <c r="J185" s="150">
        <v>0</v>
      </c>
      <c r="K185" s="148" t="s">
        <v>126</v>
      </c>
      <c r="L185" s="149">
        <v>45390</v>
      </c>
      <c r="M185" s="139" t="str">
        <f t="shared" si="170"/>
        <v>С4</v>
      </c>
      <c r="N185" s="139" t="str">
        <f t="shared" si="171"/>
        <v>Трубопровод СУГ</v>
      </c>
      <c r="O185" s="139" t="str">
        <f t="shared" si="172"/>
        <v>Полное-ликвидация</v>
      </c>
      <c r="P185" s="139" t="s">
        <v>46</v>
      </c>
      <c r="Q185" s="139" t="s">
        <v>46</v>
      </c>
      <c r="R185" s="139" t="s">
        <v>46</v>
      </c>
      <c r="S185" s="139" t="s">
        <v>46</v>
      </c>
      <c r="T185" s="139" t="s">
        <v>46</v>
      </c>
      <c r="U185" s="139" t="s">
        <v>46</v>
      </c>
      <c r="V185" s="139" t="s">
        <v>46</v>
      </c>
      <c r="W185" s="139" t="s">
        <v>46</v>
      </c>
      <c r="X185" s="139" t="s">
        <v>46</v>
      </c>
      <c r="Y185" s="139" t="s">
        <v>46</v>
      </c>
      <c r="Z185" s="139" t="s">
        <v>46</v>
      </c>
      <c r="AA185" s="139" t="s">
        <v>46</v>
      </c>
      <c r="AB185" s="139" t="s">
        <v>46</v>
      </c>
      <c r="AC185" s="139" t="s">
        <v>46</v>
      </c>
      <c r="AD185" s="139" t="s">
        <v>46</v>
      </c>
      <c r="AE185" s="139" t="s">
        <v>46</v>
      </c>
      <c r="AF185" s="139" t="s">
        <v>46</v>
      </c>
      <c r="AG185" s="139" t="s">
        <v>46</v>
      </c>
      <c r="AH185" s="139" t="s">
        <v>46</v>
      </c>
      <c r="AI185" s="139" t="s">
        <v>46</v>
      </c>
      <c r="AJ185" s="139">
        <v>0</v>
      </c>
      <c r="AK185" s="139">
        <v>0</v>
      </c>
      <c r="AL185" s="139">
        <f>AL182</f>
        <v>0.75</v>
      </c>
      <c r="AM185" s="139">
        <f>AM182</f>
        <v>2.7E-2</v>
      </c>
      <c r="AN185" s="139">
        <f>AN182</f>
        <v>3</v>
      </c>
      <c r="AQ185" s="142">
        <f>AM185*I185*0.1+AL185</f>
        <v>0.75324000000000002</v>
      </c>
      <c r="AR185" s="142">
        <f t="shared" si="175"/>
        <v>7.5324000000000002E-2</v>
      </c>
      <c r="AS185" s="143">
        <f t="shared" si="176"/>
        <v>0</v>
      </c>
      <c r="AT185" s="143">
        <f t="shared" si="177"/>
        <v>0.20714100000000002</v>
      </c>
      <c r="AU185" s="142">
        <f>1333*J183*POWER(10,-6)</f>
        <v>1.5996000000000001E-4</v>
      </c>
      <c r="AV185" s="143">
        <f t="shared" si="173"/>
        <v>1.0358649600000001</v>
      </c>
      <c r="AW185" s="144">
        <f t="shared" si="178"/>
        <v>0</v>
      </c>
      <c r="AX185" s="144">
        <f t="shared" si="179"/>
        <v>0</v>
      </c>
      <c r="AY185" s="144">
        <f t="shared" si="180"/>
        <v>6.2980589568000003E-6</v>
      </c>
      <c r="AZ185" s="289">
        <f>AW185/DB!$B$23</f>
        <v>0</v>
      </c>
      <c r="BA185" s="289">
        <f>AX185/DB!$B$23</f>
        <v>0</v>
      </c>
    </row>
    <row r="186" spans="1:53" s="139" customFormat="1" x14ac:dyDescent="0.3">
      <c r="A186" s="130" t="s">
        <v>22</v>
      </c>
      <c r="B186" s="130" t="str">
        <f>B182</f>
        <v>Трубопровод СУГ</v>
      </c>
      <c r="C186" s="13" t="s">
        <v>133</v>
      </c>
      <c r="D186" s="132" t="s">
        <v>134</v>
      </c>
      <c r="E186" s="133">
        <v>1E-4</v>
      </c>
      <c r="F186" s="146">
        <f>F182</f>
        <v>1</v>
      </c>
      <c r="G186" s="130">
        <v>3.5000000000000003E-2</v>
      </c>
      <c r="H186" s="134">
        <f t="shared" si="174"/>
        <v>3.5000000000000004E-6</v>
      </c>
      <c r="I186" s="147">
        <f>0.15*I182</f>
        <v>0.18</v>
      </c>
      <c r="J186" s="136">
        <f>I186</f>
        <v>0.18</v>
      </c>
      <c r="K186" s="148" t="s">
        <v>127</v>
      </c>
      <c r="L186" s="149">
        <v>3</v>
      </c>
      <c r="M186" s="139" t="str">
        <f t="shared" si="170"/>
        <v>С5</v>
      </c>
      <c r="N186" s="139" t="str">
        <f t="shared" si="171"/>
        <v>Трубопровод СУГ</v>
      </c>
      <c r="O186" s="139" t="str">
        <f t="shared" si="172"/>
        <v>Частичное-факел</v>
      </c>
      <c r="P186" s="139" t="s">
        <v>46</v>
      </c>
      <c r="Q186" s="139" t="s">
        <v>46</v>
      </c>
      <c r="R186" s="139" t="s">
        <v>46</v>
      </c>
      <c r="S186" s="139" t="s">
        <v>46</v>
      </c>
      <c r="T186" s="139" t="s">
        <v>46</v>
      </c>
      <c r="U186" s="139" t="s">
        <v>46</v>
      </c>
      <c r="V186" s="139" t="s">
        <v>46</v>
      </c>
      <c r="W186" s="139" t="s">
        <v>46</v>
      </c>
      <c r="X186" s="139" t="s">
        <v>46</v>
      </c>
      <c r="Y186" s="139">
        <v>28</v>
      </c>
      <c r="Z186" s="139">
        <v>5</v>
      </c>
      <c r="AA186" s="139" t="s">
        <v>46</v>
      </c>
      <c r="AB186" s="139" t="s">
        <v>46</v>
      </c>
      <c r="AC186" s="139" t="s">
        <v>46</v>
      </c>
      <c r="AD186" s="139" t="s">
        <v>46</v>
      </c>
      <c r="AE186" s="139" t="s">
        <v>46</v>
      </c>
      <c r="AF186" s="139" t="s">
        <v>46</v>
      </c>
      <c r="AG186" s="139" t="s">
        <v>46</v>
      </c>
      <c r="AH186" s="139" t="s">
        <v>46</v>
      </c>
      <c r="AI186" s="139" t="s">
        <v>46</v>
      </c>
      <c r="AJ186" s="139">
        <v>0</v>
      </c>
      <c r="AK186" s="139">
        <v>2</v>
      </c>
      <c r="AL186" s="139">
        <f>0.1*$AL$2</f>
        <v>7.5000000000000011E-2</v>
      </c>
      <c r="AM186" s="139">
        <f>AM182</f>
        <v>2.7E-2</v>
      </c>
      <c r="AN186" s="139">
        <f>ROUNDUP(AN182/3,0)</f>
        <v>1</v>
      </c>
      <c r="AQ186" s="142">
        <f>AM186*I186+AL186</f>
        <v>7.9860000000000014E-2</v>
      </c>
      <c r="AR186" s="142">
        <f t="shared" si="175"/>
        <v>7.9860000000000018E-3</v>
      </c>
      <c r="AS186" s="143">
        <f t="shared" si="176"/>
        <v>0.5</v>
      </c>
      <c r="AT186" s="143">
        <f t="shared" si="177"/>
        <v>0.14696149999999999</v>
      </c>
      <c r="AU186" s="142">
        <f>10068.2*J186*POWER(10,-6)</f>
        <v>1.812276E-3</v>
      </c>
      <c r="AV186" s="143">
        <f t="shared" si="173"/>
        <v>0.73661977600000006</v>
      </c>
      <c r="AW186" s="144">
        <f t="shared" si="178"/>
        <v>0</v>
      </c>
      <c r="AX186" s="144">
        <f t="shared" si="179"/>
        <v>7.0000000000000007E-6</v>
      </c>
      <c r="AY186" s="144">
        <f t="shared" si="180"/>
        <v>2.5781692160000003E-6</v>
      </c>
      <c r="AZ186" s="289">
        <f>AW186/DB!$B$23</f>
        <v>0</v>
      </c>
      <c r="BA186" s="289">
        <f>AX186/DB!$B$23</f>
        <v>8.4337349397590378E-9</v>
      </c>
    </row>
    <row r="187" spans="1:53" s="139" customFormat="1" x14ac:dyDescent="0.3">
      <c r="A187" s="130" t="s">
        <v>23</v>
      </c>
      <c r="B187" s="130" t="str">
        <f>B182</f>
        <v>Трубопровод СУГ</v>
      </c>
      <c r="C187" s="13" t="s">
        <v>135</v>
      </c>
      <c r="D187" s="132" t="s">
        <v>136</v>
      </c>
      <c r="E187" s="145">
        <f>E186</f>
        <v>1E-4</v>
      </c>
      <c r="F187" s="146">
        <v>1</v>
      </c>
      <c r="G187" s="130">
        <v>8.3000000000000001E-3</v>
      </c>
      <c r="H187" s="134">
        <f t="shared" si="174"/>
        <v>8.300000000000001E-7</v>
      </c>
      <c r="I187" s="147">
        <f>I186</f>
        <v>0.18</v>
      </c>
      <c r="J187" s="136">
        <f>J183*0.15</f>
        <v>1.7999999999999999E-2</v>
      </c>
      <c r="K187" s="151" t="s">
        <v>138</v>
      </c>
      <c r="L187" s="152">
        <v>19</v>
      </c>
      <c r="M187" s="139" t="str">
        <f t="shared" si="170"/>
        <v>С6</v>
      </c>
      <c r="N187" s="139" t="str">
        <f t="shared" si="171"/>
        <v>Трубопровод СУГ</v>
      </c>
      <c r="O187" s="139" t="str">
        <f t="shared" si="172"/>
        <v>Частичное-взрыв</v>
      </c>
      <c r="P187" s="139" t="s">
        <v>46</v>
      </c>
      <c r="Q187" s="139" t="s">
        <v>46</v>
      </c>
      <c r="R187" s="139" t="s">
        <v>46</v>
      </c>
      <c r="S187" s="139" t="s">
        <v>46</v>
      </c>
      <c r="T187" s="139">
        <v>0</v>
      </c>
      <c r="U187" s="139">
        <v>0</v>
      </c>
      <c r="V187" s="139">
        <v>20.100000000000001</v>
      </c>
      <c r="W187" s="139">
        <v>66.099999999999994</v>
      </c>
      <c r="X187" s="139">
        <v>172.6</v>
      </c>
      <c r="Y187" s="139" t="s">
        <v>46</v>
      </c>
      <c r="Z187" s="139" t="s">
        <v>46</v>
      </c>
      <c r="AA187" s="139" t="s">
        <v>46</v>
      </c>
      <c r="AB187" s="139" t="s">
        <v>46</v>
      </c>
      <c r="AC187" s="139" t="s">
        <v>46</v>
      </c>
      <c r="AD187" s="139" t="s">
        <v>46</v>
      </c>
      <c r="AE187" s="139" t="s">
        <v>46</v>
      </c>
      <c r="AF187" s="139" t="s">
        <v>46</v>
      </c>
      <c r="AG187" s="139" t="s">
        <v>46</v>
      </c>
      <c r="AH187" s="139" t="s">
        <v>46</v>
      </c>
      <c r="AI187" s="139" t="s">
        <v>46</v>
      </c>
      <c r="AJ187" s="139">
        <v>0</v>
      </c>
      <c r="AK187" s="139">
        <v>1</v>
      </c>
      <c r="AL187" s="139">
        <f>0.1*$AL$2</f>
        <v>7.5000000000000011E-2</v>
      </c>
      <c r="AM187" s="139">
        <f>AM182</f>
        <v>2.7E-2</v>
      </c>
      <c r="AN187" s="139">
        <f>AN186</f>
        <v>1</v>
      </c>
      <c r="AQ187" s="142">
        <f>AM187*I187+AL187</f>
        <v>7.9860000000000014E-2</v>
      </c>
      <c r="AR187" s="142">
        <f t="shared" si="175"/>
        <v>7.9860000000000018E-3</v>
      </c>
      <c r="AS187" s="143">
        <f t="shared" si="176"/>
        <v>0.25</v>
      </c>
      <c r="AT187" s="143">
        <f t="shared" si="177"/>
        <v>8.4461500000000009E-2</v>
      </c>
      <c r="AU187" s="142">
        <f>10068.2*J187*POWER(10,-6)*10</f>
        <v>1.8122759999999998E-3</v>
      </c>
      <c r="AV187" s="143">
        <f t="shared" si="173"/>
        <v>0.42411977600000006</v>
      </c>
      <c r="AW187" s="144">
        <f t="shared" si="178"/>
        <v>0</v>
      </c>
      <c r="AX187" s="144">
        <f t="shared" si="179"/>
        <v>8.300000000000001E-7</v>
      </c>
      <c r="AY187" s="144">
        <f t="shared" si="180"/>
        <v>3.5201941408000008E-7</v>
      </c>
      <c r="AZ187" s="289">
        <f>AW187/DB!$B$23</f>
        <v>0</v>
      </c>
      <c r="BA187" s="289">
        <f>AX187/DB!$B$23</f>
        <v>1.0000000000000001E-9</v>
      </c>
    </row>
    <row r="188" spans="1:53" s="139" customFormat="1" x14ac:dyDescent="0.3">
      <c r="A188" s="130" t="s">
        <v>157</v>
      </c>
      <c r="B188" s="130" t="str">
        <f>B182</f>
        <v>Трубопровод СУГ</v>
      </c>
      <c r="C188" s="13" t="s">
        <v>110</v>
      </c>
      <c r="D188" s="132" t="s">
        <v>112</v>
      </c>
      <c r="E188" s="145">
        <f>E186</f>
        <v>1E-4</v>
      </c>
      <c r="F188" s="146">
        <f>F182</f>
        <v>1</v>
      </c>
      <c r="G188" s="130">
        <v>2.64E-2</v>
      </c>
      <c r="H188" s="134">
        <f t="shared" si="174"/>
        <v>2.6400000000000001E-6</v>
      </c>
      <c r="I188" s="147">
        <f>0.15*I182</f>
        <v>0.18</v>
      </c>
      <c r="J188" s="136">
        <f>J184*0.15</f>
        <v>0.108</v>
      </c>
      <c r="K188" s="148"/>
      <c r="L188" s="149"/>
      <c r="M188" s="139" t="str">
        <f t="shared" si="170"/>
        <v>С7</v>
      </c>
      <c r="N188" s="139" t="str">
        <f t="shared" si="171"/>
        <v>Трубопровод СУГ</v>
      </c>
      <c r="O188" s="139" t="str">
        <f t="shared" si="172"/>
        <v>Частичное-пожар-вспышка</v>
      </c>
      <c r="P188" s="139" t="s">
        <v>46</v>
      </c>
      <c r="Q188" s="139" t="s">
        <v>46</v>
      </c>
      <c r="R188" s="139" t="s">
        <v>46</v>
      </c>
      <c r="S188" s="139" t="s">
        <v>46</v>
      </c>
      <c r="T188" s="139" t="s">
        <v>46</v>
      </c>
      <c r="U188" s="139" t="s">
        <v>46</v>
      </c>
      <c r="V188" s="139" t="s">
        <v>46</v>
      </c>
      <c r="W188" s="139" t="s">
        <v>46</v>
      </c>
      <c r="X188" s="139" t="s">
        <v>46</v>
      </c>
      <c r="Y188" s="139" t="s">
        <v>46</v>
      </c>
      <c r="Z188" s="139" t="s">
        <v>46</v>
      </c>
      <c r="AA188" s="139">
        <v>16.079999999999998</v>
      </c>
      <c r="AB188" s="139">
        <v>19.3</v>
      </c>
      <c r="AC188" s="139" t="s">
        <v>46</v>
      </c>
      <c r="AD188" s="139" t="s">
        <v>46</v>
      </c>
      <c r="AE188" s="139" t="s">
        <v>46</v>
      </c>
      <c r="AF188" s="139" t="s">
        <v>46</v>
      </c>
      <c r="AG188" s="139" t="s">
        <v>46</v>
      </c>
      <c r="AH188" s="139" t="s">
        <v>46</v>
      </c>
      <c r="AI188" s="139" t="s">
        <v>46</v>
      </c>
      <c r="AJ188" s="139">
        <v>0</v>
      </c>
      <c r="AK188" s="139">
        <v>1</v>
      </c>
      <c r="AL188" s="139">
        <f>0.1*$AL$2</f>
        <v>7.5000000000000011E-2</v>
      </c>
      <c r="AM188" s="139">
        <f>AM182</f>
        <v>2.7E-2</v>
      </c>
      <c r="AN188" s="139">
        <f>ROUNDUP(AN182/3,0)</f>
        <v>1</v>
      </c>
      <c r="AQ188" s="142">
        <f>AM188*I188+AL188</f>
        <v>7.9860000000000014E-2</v>
      </c>
      <c r="AR188" s="142">
        <f t="shared" si="175"/>
        <v>7.9860000000000018E-3</v>
      </c>
      <c r="AS188" s="143">
        <f t="shared" si="176"/>
        <v>0.25</v>
      </c>
      <c r="AT188" s="143">
        <f t="shared" si="177"/>
        <v>8.4461500000000009E-2</v>
      </c>
      <c r="AU188" s="142">
        <f>10068.2*J188*POWER(10,-6)*10</f>
        <v>1.0873656000000001E-2</v>
      </c>
      <c r="AV188" s="143">
        <f t="shared" si="173"/>
        <v>0.43318115599999996</v>
      </c>
      <c r="AW188" s="144">
        <f t="shared" si="178"/>
        <v>0</v>
      </c>
      <c r="AX188" s="144">
        <f t="shared" si="179"/>
        <v>2.6400000000000001E-6</v>
      </c>
      <c r="AY188" s="144">
        <f t="shared" si="180"/>
        <v>1.1435982518399999E-6</v>
      </c>
      <c r="AZ188" s="289">
        <f>AW188/DB!$B$23</f>
        <v>0</v>
      </c>
      <c r="BA188" s="289">
        <f>AX188/DB!$B$23</f>
        <v>3.1807228915662653E-9</v>
      </c>
    </row>
    <row r="189" spans="1:53" s="139" customFormat="1" ht="15" thickBot="1" x14ac:dyDescent="0.35">
      <c r="A189" s="130" t="s">
        <v>158</v>
      </c>
      <c r="B189" s="130" t="str">
        <f>B182</f>
        <v>Трубопровод СУГ</v>
      </c>
      <c r="C189" s="13" t="s">
        <v>111</v>
      </c>
      <c r="D189" s="132" t="s">
        <v>27</v>
      </c>
      <c r="E189" s="145">
        <f>E186</f>
        <v>1E-4</v>
      </c>
      <c r="F189" s="146">
        <f>F182</f>
        <v>1</v>
      </c>
      <c r="G189" s="130">
        <v>0.93030000000000002</v>
      </c>
      <c r="H189" s="134">
        <f t="shared" si="174"/>
        <v>9.3030000000000009E-5</v>
      </c>
      <c r="I189" s="147">
        <f>0.15*I182</f>
        <v>0.18</v>
      </c>
      <c r="J189" s="150">
        <v>0</v>
      </c>
      <c r="K189" s="153"/>
      <c r="L189" s="154"/>
      <c r="M189" s="139" t="str">
        <f t="shared" si="170"/>
        <v>С8</v>
      </c>
      <c r="N189" s="139" t="str">
        <f t="shared" si="171"/>
        <v>Трубопровод СУГ</v>
      </c>
      <c r="O189" s="139" t="str">
        <f t="shared" si="172"/>
        <v>Частичное-ликвидация</v>
      </c>
      <c r="P189" s="139" t="s">
        <v>46</v>
      </c>
      <c r="Q189" s="139" t="s">
        <v>46</v>
      </c>
      <c r="R189" s="139" t="s">
        <v>46</v>
      </c>
      <c r="S189" s="139" t="s">
        <v>46</v>
      </c>
      <c r="T189" s="139" t="s">
        <v>46</v>
      </c>
      <c r="U189" s="139" t="s">
        <v>46</v>
      </c>
      <c r="V189" s="139" t="s">
        <v>46</v>
      </c>
      <c r="W189" s="139" t="s">
        <v>46</v>
      </c>
      <c r="X189" s="139" t="s">
        <v>46</v>
      </c>
      <c r="Y189" s="139" t="s">
        <v>46</v>
      </c>
      <c r="Z189" s="139" t="s">
        <v>46</v>
      </c>
      <c r="AA189" s="139" t="s">
        <v>46</v>
      </c>
      <c r="AB189" s="139" t="s">
        <v>46</v>
      </c>
      <c r="AC189" s="139" t="s">
        <v>46</v>
      </c>
      <c r="AD189" s="139" t="s">
        <v>46</v>
      </c>
      <c r="AE189" s="139" t="s">
        <v>46</v>
      </c>
      <c r="AF189" s="139" t="s">
        <v>46</v>
      </c>
      <c r="AG189" s="139" t="s">
        <v>46</v>
      </c>
      <c r="AH189" s="139" t="s">
        <v>46</v>
      </c>
      <c r="AI189" s="139" t="s">
        <v>46</v>
      </c>
      <c r="AJ189" s="139">
        <v>0</v>
      </c>
      <c r="AK189" s="139">
        <v>0</v>
      </c>
      <c r="AL189" s="139">
        <f>0.1*$AL$2</f>
        <v>7.5000000000000011E-2</v>
      </c>
      <c r="AM189" s="139">
        <f>AM182</f>
        <v>2.7E-2</v>
      </c>
      <c r="AN189" s="139">
        <f>ROUNDUP(AN182/3,0)</f>
        <v>1</v>
      </c>
      <c r="AQ189" s="142">
        <f>AM189*I189*0.1+AL189</f>
        <v>7.5486000000000011E-2</v>
      </c>
      <c r="AR189" s="142">
        <f t="shared" si="175"/>
        <v>7.5486000000000017E-3</v>
      </c>
      <c r="AS189" s="143">
        <f t="shared" si="176"/>
        <v>0</v>
      </c>
      <c r="AT189" s="143">
        <f t="shared" si="177"/>
        <v>2.0758650000000003E-2</v>
      </c>
      <c r="AU189" s="142">
        <f>1333*J188*POWER(10,-6)</f>
        <v>1.4396399999999998E-4</v>
      </c>
      <c r="AV189" s="143">
        <f t="shared" si="173"/>
        <v>0.10393721400000001</v>
      </c>
      <c r="AW189" s="144">
        <f t="shared" si="178"/>
        <v>0</v>
      </c>
      <c r="AX189" s="144">
        <f t="shared" si="179"/>
        <v>0</v>
      </c>
      <c r="AY189" s="144">
        <f t="shared" si="180"/>
        <v>9.6692790184200019E-6</v>
      </c>
      <c r="AZ189" s="289">
        <f>AW189/DB!$B$23</f>
        <v>0</v>
      </c>
      <c r="BA189" s="289">
        <f>AX189/DB!$B$23</f>
        <v>0</v>
      </c>
    </row>
    <row r="190" spans="1:53" s="139" customFormat="1" x14ac:dyDescent="0.3">
      <c r="A190" s="140"/>
      <c r="B190" s="140"/>
      <c r="D190" s="186"/>
      <c r="E190" s="187"/>
      <c r="F190" s="188"/>
      <c r="G190" s="140"/>
      <c r="H190" s="144"/>
      <c r="I190" s="143"/>
      <c r="J190" s="140"/>
      <c r="K190" s="140"/>
      <c r="L190" s="140"/>
      <c r="AQ190" s="142"/>
      <c r="AR190" s="142"/>
      <c r="AS190" s="143"/>
      <c r="AT190" s="143"/>
      <c r="AU190" s="142"/>
      <c r="AV190" s="143"/>
      <c r="AW190" s="144"/>
      <c r="AX190" s="144"/>
      <c r="AY190" s="144"/>
    </row>
    <row r="191" spans="1:53" ht="15" thickBot="1" x14ac:dyDescent="0.35"/>
    <row r="192" spans="1:53" s="139" customFormat="1" ht="18" customHeight="1" x14ac:dyDescent="0.3">
      <c r="A192" s="130" t="s">
        <v>18</v>
      </c>
      <c r="B192" s="131" t="s">
        <v>240</v>
      </c>
      <c r="C192" s="13" t="s">
        <v>129</v>
      </c>
      <c r="D192" s="132" t="s">
        <v>243</v>
      </c>
      <c r="E192" s="133">
        <v>1.0000000000000001E-5</v>
      </c>
      <c r="F192" s="131">
        <v>1</v>
      </c>
      <c r="G192" s="130">
        <v>0.2</v>
      </c>
      <c r="H192" s="134">
        <f>E192*F192*G192</f>
        <v>2.0000000000000003E-6</v>
      </c>
      <c r="I192" s="135">
        <v>1.2</v>
      </c>
      <c r="J192" s="136">
        <f>I192</f>
        <v>1.2</v>
      </c>
      <c r="K192" s="137" t="s">
        <v>122</v>
      </c>
      <c r="L192" s="138">
        <v>0</v>
      </c>
      <c r="M192" s="139" t="str">
        <f t="shared" ref="M192:M199" si="181">A192</f>
        <v>С1</v>
      </c>
      <c r="N192" s="139" t="str">
        <f t="shared" ref="N192:N199" si="182">B192</f>
        <v>Трубопровод СУГ+токси</v>
      </c>
      <c r="O192" s="139" t="str">
        <f t="shared" ref="O192:O199" si="183">D192</f>
        <v>Полное-факельное горение</v>
      </c>
      <c r="P192" s="139" t="s">
        <v>46</v>
      </c>
      <c r="Q192" s="139" t="s">
        <v>46</v>
      </c>
      <c r="R192" s="139" t="s">
        <v>46</v>
      </c>
      <c r="S192" s="139" t="s">
        <v>46</v>
      </c>
      <c r="T192" s="139" t="s">
        <v>46</v>
      </c>
      <c r="U192" s="139" t="s">
        <v>46</v>
      </c>
      <c r="V192" s="139" t="s">
        <v>46</v>
      </c>
      <c r="W192" s="139" t="s">
        <v>46</v>
      </c>
      <c r="X192" s="139" t="s">
        <v>46</v>
      </c>
      <c r="Y192" s="139" t="s">
        <v>46</v>
      </c>
      <c r="Z192" s="139" t="s">
        <v>46</v>
      </c>
      <c r="AA192" s="139" t="s">
        <v>46</v>
      </c>
      <c r="AB192" s="139" t="s">
        <v>46</v>
      </c>
      <c r="AC192" s="139" t="s">
        <v>46</v>
      </c>
      <c r="AD192" s="139" t="s">
        <v>46</v>
      </c>
      <c r="AE192" s="139" t="s">
        <v>46</v>
      </c>
      <c r="AF192" s="139" t="s">
        <v>46</v>
      </c>
      <c r="AG192" s="139" t="s">
        <v>46</v>
      </c>
      <c r="AH192" s="139" t="s">
        <v>46</v>
      </c>
      <c r="AI192" s="139" t="s">
        <v>46</v>
      </c>
      <c r="AJ192" s="140">
        <v>1</v>
      </c>
      <c r="AK192" s="140">
        <v>2</v>
      </c>
      <c r="AL192" s="141">
        <v>0.75</v>
      </c>
      <c r="AM192" s="141">
        <v>2.7E-2</v>
      </c>
      <c r="AN192" s="141">
        <v>3</v>
      </c>
      <c r="AQ192" s="142">
        <f>AM192*I192+AL192</f>
        <v>0.78239999999999998</v>
      </c>
      <c r="AR192" s="142">
        <f>0.1*AQ192</f>
        <v>7.8240000000000004E-2</v>
      </c>
      <c r="AS192" s="143">
        <f>AJ192*3+0.25*AK192</f>
        <v>3.5</v>
      </c>
      <c r="AT192" s="143">
        <f>SUM(AQ192:AS192)/4</f>
        <v>1.09016</v>
      </c>
      <c r="AU192" s="142">
        <f>10068.2*J192*POWER(10,-6)</f>
        <v>1.208184E-2</v>
      </c>
      <c r="AV192" s="143">
        <f t="shared" ref="AV192:AV199" si="184">AU192+AT192+AS192+AR192+AQ192</f>
        <v>5.4628818399999997</v>
      </c>
      <c r="AW192" s="144">
        <f>AJ192*H192</f>
        <v>2.0000000000000003E-6</v>
      </c>
      <c r="AX192" s="144">
        <f>H192*AK192</f>
        <v>4.0000000000000007E-6</v>
      </c>
      <c r="AY192" s="144">
        <f>H192*AV192</f>
        <v>1.0925763680000002E-5</v>
      </c>
      <c r="AZ192" s="289">
        <f>AW192/DB!$B$23</f>
        <v>2.4096385542168678E-9</v>
      </c>
      <c r="BA192" s="289">
        <f>AX192/DB!$B$23</f>
        <v>4.8192771084337357E-9</v>
      </c>
    </row>
    <row r="193" spans="1:53" s="139" customFormat="1" x14ac:dyDescent="0.3">
      <c r="A193" s="130" t="s">
        <v>19</v>
      </c>
      <c r="B193" s="130" t="str">
        <f>B192</f>
        <v>Трубопровод СУГ+токси</v>
      </c>
      <c r="C193" s="13" t="s">
        <v>107</v>
      </c>
      <c r="D193" s="132" t="s">
        <v>28</v>
      </c>
      <c r="E193" s="145">
        <f>E192</f>
        <v>1.0000000000000001E-5</v>
      </c>
      <c r="F193" s="146">
        <f>F192</f>
        <v>1</v>
      </c>
      <c r="G193" s="130">
        <v>0.1152</v>
      </c>
      <c r="H193" s="134">
        <f t="shared" ref="H193:H199" si="185">E193*F193*G193</f>
        <v>1.1520000000000002E-6</v>
      </c>
      <c r="I193" s="147">
        <f>I192</f>
        <v>1.2</v>
      </c>
      <c r="J193" s="192">
        <f>0.1*I192</f>
        <v>0.12</v>
      </c>
      <c r="K193" s="148" t="s">
        <v>123</v>
      </c>
      <c r="L193" s="149">
        <v>0</v>
      </c>
      <c r="M193" s="139" t="str">
        <f t="shared" si="181"/>
        <v>С2</v>
      </c>
      <c r="N193" s="139" t="str">
        <f t="shared" si="182"/>
        <v>Трубопровод СУГ+токси</v>
      </c>
      <c r="O193" s="139" t="str">
        <f t="shared" si="183"/>
        <v>Полное-взрыв</v>
      </c>
      <c r="P193" s="139" t="s">
        <v>46</v>
      </c>
      <c r="Q193" s="139" t="s">
        <v>46</v>
      </c>
      <c r="R193" s="139" t="s">
        <v>46</v>
      </c>
      <c r="S193" s="139" t="s">
        <v>46</v>
      </c>
      <c r="T193" s="139" t="s">
        <v>46</v>
      </c>
      <c r="U193" s="139" t="s">
        <v>46</v>
      </c>
      <c r="V193" s="139" t="s">
        <v>46</v>
      </c>
      <c r="W193" s="139" t="s">
        <v>46</v>
      </c>
      <c r="X193" s="139" t="s">
        <v>46</v>
      </c>
      <c r="Y193" s="139" t="s">
        <v>46</v>
      </c>
      <c r="Z193" s="139" t="s">
        <v>46</v>
      </c>
      <c r="AA193" s="139" t="s">
        <v>46</v>
      </c>
      <c r="AB193" s="139" t="s">
        <v>46</v>
      </c>
      <c r="AC193" s="139" t="s">
        <v>46</v>
      </c>
      <c r="AD193" s="139" t="s">
        <v>46</v>
      </c>
      <c r="AE193" s="139" t="s">
        <v>46</v>
      </c>
      <c r="AF193" s="139" t="s">
        <v>46</v>
      </c>
      <c r="AG193" s="139" t="s">
        <v>46</v>
      </c>
      <c r="AH193" s="139" t="s">
        <v>46</v>
      </c>
      <c r="AI193" s="139" t="s">
        <v>46</v>
      </c>
      <c r="AJ193" s="140">
        <v>2</v>
      </c>
      <c r="AK193" s="140">
        <v>2</v>
      </c>
      <c r="AL193" s="139">
        <f>AL192</f>
        <v>0.75</v>
      </c>
      <c r="AM193" s="139">
        <f>AM192</f>
        <v>2.7E-2</v>
      </c>
      <c r="AN193" s="139">
        <f>AN192</f>
        <v>3</v>
      </c>
      <c r="AQ193" s="142">
        <f>AM193*I193+AL193</f>
        <v>0.78239999999999998</v>
      </c>
      <c r="AR193" s="142">
        <f t="shared" ref="AR193:AR199" si="186">0.1*AQ193</f>
        <v>7.8240000000000004E-2</v>
      </c>
      <c r="AS193" s="143">
        <f t="shared" ref="AS193:AS199" si="187">AJ193*3+0.25*AK193</f>
        <v>6.5</v>
      </c>
      <c r="AT193" s="143">
        <f t="shared" ref="AT193:AT199" si="188">SUM(AQ193:AS193)/4</f>
        <v>1.84016</v>
      </c>
      <c r="AU193" s="142">
        <f>10068.2*J193*POWER(10,-6)*10</f>
        <v>1.208184E-2</v>
      </c>
      <c r="AV193" s="143">
        <f t="shared" si="184"/>
        <v>9.2128818399999979</v>
      </c>
      <c r="AW193" s="144">
        <f t="shared" ref="AW193:AW199" si="189">AJ193*H193</f>
        <v>2.3040000000000003E-6</v>
      </c>
      <c r="AX193" s="144">
        <f t="shared" ref="AX193:AX199" si="190">H193*AK193</f>
        <v>2.3040000000000003E-6</v>
      </c>
      <c r="AY193" s="144">
        <f t="shared" ref="AY193:AY199" si="191">H193*AV193</f>
        <v>1.061323987968E-5</v>
      </c>
      <c r="AZ193" s="289">
        <f>AW193/DB!$B$23</f>
        <v>2.7759036144578319E-9</v>
      </c>
      <c r="BA193" s="289">
        <f>AX193/DB!$B$23</f>
        <v>2.7759036144578319E-9</v>
      </c>
    </row>
    <row r="194" spans="1:53" s="139" customFormat="1" x14ac:dyDescent="0.3">
      <c r="A194" s="130" t="s">
        <v>20</v>
      </c>
      <c r="B194" s="130" t="str">
        <f>B192</f>
        <v>Трубопровод СУГ+токси</v>
      </c>
      <c r="C194" s="13" t="s">
        <v>242</v>
      </c>
      <c r="D194" s="132" t="s">
        <v>241</v>
      </c>
      <c r="E194" s="145">
        <f>E192</f>
        <v>1.0000000000000001E-5</v>
      </c>
      <c r="F194" s="146">
        <f>F192</f>
        <v>1</v>
      </c>
      <c r="G194" s="130">
        <v>7.6799999999999993E-2</v>
      </c>
      <c r="H194" s="134">
        <f t="shared" si="185"/>
        <v>7.6799999999999999E-7</v>
      </c>
      <c r="I194" s="147">
        <f>I192</f>
        <v>1.2</v>
      </c>
      <c r="J194" s="136">
        <f>0.6*I192</f>
        <v>0.72</v>
      </c>
      <c r="K194" s="148" t="s">
        <v>124</v>
      </c>
      <c r="L194" s="149">
        <v>15</v>
      </c>
      <c r="M194" s="139" t="str">
        <f t="shared" si="181"/>
        <v>С3</v>
      </c>
      <c r="N194" s="139" t="str">
        <f t="shared" si="182"/>
        <v>Трубопровод СУГ+токси</v>
      </c>
      <c r="O194" s="139" t="str">
        <f t="shared" si="183"/>
        <v>Полное-огненный шар</v>
      </c>
      <c r="P194" s="139" t="s">
        <v>46</v>
      </c>
      <c r="Q194" s="139" t="s">
        <v>46</v>
      </c>
      <c r="R194" s="139" t="s">
        <v>46</v>
      </c>
      <c r="S194" s="139" t="s">
        <v>46</v>
      </c>
      <c r="T194" s="139" t="s">
        <v>46</v>
      </c>
      <c r="U194" s="139" t="s">
        <v>46</v>
      </c>
      <c r="V194" s="139" t="s">
        <v>46</v>
      </c>
      <c r="W194" s="139" t="s">
        <v>46</v>
      </c>
      <c r="X194" s="139" t="s">
        <v>46</v>
      </c>
      <c r="Y194" s="139" t="s">
        <v>46</v>
      </c>
      <c r="Z194" s="139" t="s">
        <v>46</v>
      </c>
      <c r="AA194" s="139" t="s">
        <v>46</v>
      </c>
      <c r="AB194" s="139" t="s">
        <v>46</v>
      </c>
      <c r="AC194" s="139" t="s">
        <v>46</v>
      </c>
      <c r="AD194" s="139" t="s">
        <v>46</v>
      </c>
      <c r="AE194" s="139" t="s">
        <v>46</v>
      </c>
      <c r="AF194" s="139" t="s">
        <v>46</v>
      </c>
      <c r="AG194" s="139" t="s">
        <v>46</v>
      </c>
      <c r="AH194" s="139" t="s">
        <v>46</v>
      </c>
      <c r="AI194" s="139" t="s">
        <v>46</v>
      </c>
      <c r="AJ194" s="139">
        <v>0</v>
      </c>
      <c r="AK194" s="139">
        <v>0</v>
      </c>
      <c r="AL194" s="139">
        <f>AL192</f>
        <v>0.75</v>
      </c>
      <c r="AM194" s="139">
        <f>AM192</f>
        <v>2.7E-2</v>
      </c>
      <c r="AN194" s="139">
        <f>AN192</f>
        <v>3</v>
      </c>
      <c r="AQ194" s="142">
        <f>AM194*I194*0.1+AL194</f>
        <v>0.75324000000000002</v>
      </c>
      <c r="AR194" s="142">
        <f t="shared" si="186"/>
        <v>7.5324000000000002E-2</v>
      </c>
      <c r="AS194" s="143">
        <f t="shared" si="187"/>
        <v>0</v>
      </c>
      <c r="AT194" s="143">
        <f t="shared" si="188"/>
        <v>0.20714100000000002</v>
      </c>
      <c r="AU194" s="142">
        <f>1333*J192*POWER(10,-6)</f>
        <v>1.5995999999999999E-3</v>
      </c>
      <c r="AV194" s="143">
        <f t="shared" si="184"/>
        <v>1.0373046000000001</v>
      </c>
      <c r="AW194" s="144">
        <f t="shared" si="189"/>
        <v>0</v>
      </c>
      <c r="AX194" s="144">
        <f t="shared" si="190"/>
        <v>0</v>
      </c>
      <c r="AY194" s="144">
        <f t="shared" si="191"/>
        <v>7.9664993280000006E-7</v>
      </c>
      <c r="AZ194" s="289">
        <f>AW194/DB!$B$23</f>
        <v>0</v>
      </c>
      <c r="BA194" s="289">
        <f>AX194/DB!$B$23</f>
        <v>0</v>
      </c>
    </row>
    <row r="195" spans="1:53" s="139" customFormat="1" x14ac:dyDescent="0.3">
      <c r="A195" s="130" t="s">
        <v>21</v>
      </c>
      <c r="B195" s="130" t="str">
        <f>B192</f>
        <v>Трубопровод СУГ+токси</v>
      </c>
      <c r="C195" s="13" t="s">
        <v>108</v>
      </c>
      <c r="D195" s="132" t="s">
        <v>26</v>
      </c>
      <c r="E195" s="145">
        <f>E192</f>
        <v>1.0000000000000001E-5</v>
      </c>
      <c r="F195" s="146">
        <f>F192</f>
        <v>1</v>
      </c>
      <c r="G195" s="130">
        <v>0.60799999999999998</v>
      </c>
      <c r="H195" s="134">
        <f t="shared" si="185"/>
        <v>6.0800000000000002E-6</v>
      </c>
      <c r="I195" s="147">
        <f>I192</f>
        <v>1.2</v>
      </c>
      <c r="J195" s="150">
        <v>0</v>
      </c>
      <c r="K195" s="148" t="s">
        <v>126</v>
      </c>
      <c r="L195" s="149">
        <v>45390</v>
      </c>
      <c r="M195" s="139" t="str">
        <f t="shared" si="181"/>
        <v>С4</v>
      </c>
      <c r="N195" s="139" t="str">
        <f t="shared" si="182"/>
        <v>Трубопровод СУГ+токси</v>
      </c>
      <c r="O195" s="139" t="str">
        <f t="shared" si="183"/>
        <v>Полное-ликвидация</v>
      </c>
      <c r="P195" s="139" t="s">
        <v>46</v>
      </c>
      <c r="Q195" s="139" t="s">
        <v>46</v>
      </c>
      <c r="R195" s="139" t="s">
        <v>46</v>
      </c>
      <c r="S195" s="139" t="s">
        <v>46</v>
      </c>
      <c r="T195" s="139" t="s">
        <v>46</v>
      </c>
      <c r="U195" s="139" t="s">
        <v>46</v>
      </c>
      <c r="V195" s="139" t="s">
        <v>46</v>
      </c>
      <c r="W195" s="139" t="s">
        <v>46</v>
      </c>
      <c r="X195" s="139" t="s">
        <v>46</v>
      </c>
      <c r="Y195" s="139" t="s">
        <v>46</v>
      </c>
      <c r="Z195" s="139" t="s">
        <v>46</v>
      </c>
      <c r="AA195" s="139" t="s">
        <v>46</v>
      </c>
      <c r="AB195" s="139" t="s">
        <v>46</v>
      </c>
      <c r="AC195" s="139" t="s">
        <v>46</v>
      </c>
      <c r="AD195" s="139" t="s">
        <v>46</v>
      </c>
      <c r="AE195" s="139" t="s">
        <v>46</v>
      </c>
      <c r="AF195" s="139" t="s">
        <v>46</v>
      </c>
      <c r="AG195" s="139" t="s">
        <v>46</v>
      </c>
      <c r="AH195" s="139" t="s">
        <v>46</v>
      </c>
      <c r="AI195" s="139" t="s">
        <v>46</v>
      </c>
      <c r="AJ195" s="139">
        <v>1</v>
      </c>
      <c r="AK195" s="139">
        <v>1</v>
      </c>
      <c r="AL195" s="139">
        <f>AL192</f>
        <v>0.75</v>
      </c>
      <c r="AM195" s="139">
        <f>AM192</f>
        <v>2.7E-2</v>
      </c>
      <c r="AN195" s="139">
        <f>AN192</f>
        <v>3</v>
      </c>
      <c r="AQ195" s="142">
        <f>AM195*I195*0.1+AL195</f>
        <v>0.75324000000000002</v>
      </c>
      <c r="AR195" s="142">
        <f t="shared" si="186"/>
        <v>7.5324000000000002E-2</v>
      </c>
      <c r="AS195" s="143">
        <f t="shared" si="187"/>
        <v>3.25</v>
      </c>
      <c r="AT195" s="143">
        <f t="shared" si="188"/>
        <v>1.019641</v>
      </c>
      <c r="AU195" s="142">
        <f>1333*J193*POWER(10,-6)</f>
        <v>1.5996000000000001E-4</v>
      </c>
      <c r="AV195" s="143">
        <f t="shared" si="184"/>
        <v>5.0983649599999996</v>
      </c>
      <c r="AW195" s="144">
        <f t="shared" si="189"/>
        <v>6.0800000000000002E-6</v>
      </c>
      <c r="AX195" s="144">
        <f t="shared" si="190"/>
        <v>6.0800000000000002E-6</v>
      </c>
      <c r="AY195" s="144">
        <f t="shared" si="191"/>
        <v>3.0998058956799997E-5</v>
      </c>
      <c r="AZ195" s="289">
        <f>AW195/DB!$B$23</f>
        <v>7.325301204819277E-9</v>
      </c>
      <c r="BA195" s="289">
        <f>AX195/DB!$B$23</f>
        <v>7.325301204819277E-9</v>
      </c>
    </row>
    <row r="196" spans="1:53" s="139" customFormat="1" x14ac:dyDescent="0.3">
      <c r="A196" s="130" t="s">
        <v>22</v>
      </c>
      <c r="B196" s="130" t="str">
        <f>B192</f>
        <v>Трубопровод СУГ+токси</v>
      </c>
      <c r="C196" s="13" t="s">
        <v>133</v>
      </c>
      <c r="D196" s="132" t="s">
        <v>134</v>
      </c>
      <c r="E196" s="133">
        <v>1E-4</v>
      </c>
      <c r="F196" s="146">
        <f>F192</f>
        <v>1</v>
      </c>
      <c r="G196" s="130">
        <v>3.5000000000000003E-2</v>
      </c>
      <c r="H196" s="134">
        <f t="shared" si="185"/>
        <v>3.5000000000000004E-6</v>
      </c>
      <c r="I196" s="147">
        <f>0.15*I192</f>
        <v>0.18</v>
      </c>
      <c r="J196" s="136">
        <f>I196</f>
        <v>0.18</v>
      </c>
      <c r="K196" s="148" t="s">
        <v>127</v>
      </c>
      <c r="L196" s="149">
        <v>3</v>
      </c>
      <c r="M196" s="139" t="str">
        <f t="shared" si="181"/>
        <v>С5</v>
      </c>
      <c r="N196" s="139" t="str">
        <f t="shared" si="182"/>
        <v>Трубопровод СУГ+токси</v>
      </c>
      <c r="O196" s="139" t="str">
        <f t="shared" si="183"/>
        <v>Частичное-факел</v>
      </c>
      <c r="P196" s="139" t="s">
        <v>46</v>
      </c>
      <c r="Q196" s="139" t="s">
        <v>46</v>
      </c>
      <c r="R196" s="139" t="s">
        <v>46</v>
      </c>
      <c r="S196" s="139" t="s">
        <v>46</v>
      </c>
      <c r="T196" s="139" t="s">
        <v>46</v>
      </c>
      <c r="U196" s="139" t="s">
        <v>46</v>
      </c>
      <c r="V196" s="139" t="s">
        <v>46</v>
      </c>
      <c r="W196" s="139" t="s">
        <v>46</v>
      </c>
      <c r="X196" s="139" t="s">
        <v>46</v>
      </c>
      <c r="Y196" s="139" t="s">
        <v>46</v>
      </c>
      <c r="Z196" s="139" t="s">
        <v>46</v>
      </c>
      <c r="AA196" s="139" t="s">
        <v>46</v>
      </c>
      <c r="AB196" s="139" t="s">
        <v>46</v>
      </c>
      <c r="AC196" s="139" t="s">
        <v>46</v>
      </c>
      <c r="AD196" s="139" t="s">
        <v>46</v>
      </c>
      <c r="AE196" s="139" t="s">
        <v>46</v>
      </c>
      <c r="AF196" s="139" t="s">
        <v>46</v>
      </c>
      <c r="AG196" s="139" t="s">
        <v>46</v>
      </c>
      <c r="AH196" s="139" t="s">
        <v>46</v>
      </c>
      <c r="AI196" s="139" t="s">
        <v>46</v>
      </c>
      <c r="AJ196" s="139">
        <v>0</v>
      </c>
      <c r="AK196" s="139">
        <v>2</v>
      </c>
      <c r="AL196" s="139">
        <f>0.1*$AL$2</f>
        <v>7.5000000000000011E-2</v>
      </c>
      <c r="AM196" s="139">
        <f>AM192</f>
        <v>2.7E-2</v>
      </c>
      <c r="AN196" s="139">
        <f>ROUNDUP(AN192/3,0)</f>
        <v>1</v>
      </c>
      <c r="AQ196" s="142">
        <f>AM196*I196+AL196</f>
        <v>7.9860000000000014E-2</v>
      </c>
      <c r="AR196" s="142">
        <f t="shared" si="186"/>
        <v>7.9860000000000018E-3</v>
      </c>
      <c r="AS196" s="143">
        <f t="shared" si="187"/>
        <v>0.5</v>
      </c>
      <c r="AT196" s="143">
        <f t="shared" si="188"/>
        <v>0.14696149999999999</v>
      </c>
      <c r="AU196" s="142">
        <f>10068.2*J196*POWER(10,-6)</f>
        <v>1.812276E-3</v>
      </c>
      <c r="AV196" s="143">
        <f t="shared" si="184"/>
        <v>0.73661977600000006</v>
      </c>
      <c r="AW196" s="144">
        <f t="shared" si="189"/>
        <v>0</v>
      </c>
      <c r="AX196" s="144">
        <f t="shared" si="190"/>
        <v>7.0000000000000007E-6</v>
      </c>
      <c r="AY196" s="144">
        <f t="shared" si="191"/>
        <v>2.5781692160000003E-6</v>
      </c>
      <c r="AZ196" s="289">
        <f>AW196/DB!$B$23</f>
        <v>0</v>
      </c>
      <c r="BA196" s="289">
        <f>AX196/DB!$B$23</f>
        <v>8.4337349397590378E-9</v>
      </c>
    </row>
    <row r="197" spans="1:53" s="139" customFormat="1" x14ac:dyDescent="0.3">
      <c r="A197" s="130" t="s">
        <v>23</v>
      </c>
      <c r="B197" s="130" t="str">
        <f>B192</f>
        <v>Трубопровод СУГ+токси</v>
      </c>
      <c r="C197" s="13" t="s">
        <v>135</v>
      </c>
      <c r="D197" s="132" t="s">
        <v>136</v>
      </c>
      <c r="E197" s="145">
        <f>E196</f>
        <v>1E-4</v>
      </c>
      <c r="F197" s="146">
        <v>1</v>
      </c>
      <c r="G197" s="130">
        <v>8.3000000000000001E-3</v>
      </c>
      <c r="H197" s="134">
        <f t="shared" si="185"/>
        <v>8.300000000000001E-7</v>
      </c>
      <c r="I197" s="147">
        <f>I196</f>
        <v>0.18</v>
      </c>
      <c r="J197" s="136">
        <f>J193*0.15</f>
        <v>1.7999999999999999E-2</v>
      </c>
      <c r="K197" s="151" t="s">
        <v>138</v>
      </c>
      <c r="L197" s="152">
        <v>20</v>
      </c>
      <c r="M197" s="139" t="str">
        <f t="shared" si="181"/>
        <v>С6</v>
      </c>
      <c r="N197" s="139" t="str">
        <f t="shared" si="182"/>
        <v>Трубопровод СУГ+токси</v>
      </c>
      <c r="O197" s="139" t="str">
        <f t="shared" si="183"/>
        <v>Частичное-взрыв</v>
      </c>
      <c r="P197" s="139" t="s">
        <v>46</v>
      </c>
      <c r="Q197" s="139" t="s">
        <v>46</v>
      </c>
      <c r="R197" s="139" t="s">
        <v>46</v>
      </c>
      <c r="S197" s="139" t="s">
        <v>46</v>
      </c>
      <c r="T197" s="139" t="s">
        <v>46</v>
      </c>
      <c r="U197" s="139" t="s">
        <v>46</v>
      </c>
      <c r="V197" s="139" t="s">
        <v>46</v>
      </c>
      <c r="W197" s="139" t="s">
        <v>46</v>
      </c>
      <c r="X197" s="139" t="s">
        <v>46</v>
      </c>
      <c r="Y197" s="139" t="s">
        <v>46</v>
      </c>
      <c r="Z197" s="139" t="s">
        <v>46</v>
      </c>
      <c r="AA197" s="139" t="s">
        <v>46</v>
      </c>
      <c r="AB197" s="139" t="s">
        <v>46</v>
      </c>
      <c r="AC197" s="139" t="s">
        <v>46</v>
      </c>
      <c r="AD197" s="139" t="s">
        <v>46</v>
      </c>
      <c r="AE197" s="139" t="s">
        <v>46</v>
      </c>
      <c r="AF197" s="139" t="s">
        <v>46</v>
      </c>
      <c r="AG197" s="139" t="s">
        <v>46</v>
      </c>
      <c r="AH197" s="139" t="s">
        <v>46</v>
      </c>
      <c r="AI197" s="139" t="s">
        <v>46</v>
      </c>
      <c r="AJ197" s="139">
        <v>0</v>
      </c>
      <c r="AK197" s="139">
        <v>2</v>
      </c>
      <c r="AL197" s="139">
        <f>0.1*$AL$2</f>
        <v>7.5000000000000011E-2</v>
      </c>
      <c r="AM197" s="139">
        <f>AM192</f>
        <v>2.7E-2</v>
      </c>
      <c r="AN197" s="139">
        <f>AN196</f>
        <v>1</v>
      </c>
      <c r="AQ197" s="142">
        <f>AM197*I197+AL197</f>
        <v>7.9860000000000014E-2</v>
      </c>
      <c r="AR197" s="142">
        <f t="shared" si="186"/>
        <v>7.9860000000000018E-3</v>
      </c>
      <c r="AS197" s="143">
        <f t="shared" si="187"/>
        <v>0.5</v>
      </c>
      <c r="AT197" s="143">
        <f t="shared" si="188"/>
        <v>0.14696149999999999</v>
      </c>
      <c r="AU197" s="142">
        <f>10068.2*J197*POWER(10,-6)*10</f>
        <v>1.8122759999999998E-3</v>
      </c>
      <c r="AV197" s="143">
        <f t="shared" si="184"/>
        <v>0.73661977600000006</v>
      </c>
      <c r="AW197" s="144">
        <f t="shared" si="189"/>
        <v>0</v>
      </c>
      <c r="AX197" s="144">
        <f t="shared" si="190"/>
        <v>1.6600000000000002E-6</v>
      </c>
      <c r="AY197" s="144">
        <f t="shared" si="191"/>
        <v>6.1139441408000009E-7</v>
      </c>
      <c r="AZ197" s="289">
        <f>AW197/DB!$B$23</f>
        <v>0</v>
      </c>
      <c r="BA197" s="289">
        <f>AX197/DB!$B$23</f>
        <v>2.0000000000000001E-9</v>
      </c>
    </row>
    <row r="198" spans="1:53" s="139" customFormat="1" x14ac:dyDescent="0.3">
      <c r="A198" s="130" t="s">
        <v>157</v>
      </c>
      <c r="B198" s="130" t="str">
        <f>B192</f>
        <v>Трубопровод СУГ+токси</v>
      </c>
      <c r="C198" s="13" t="s">
        <v>110</v>
      </c>
      <c r="D198" s="132" t="s">
        <v>112</v>
      </c>
      <c r="E198" s="145">
        <f>E196</f>
        <v>1E-4</v>
      </c>
      <c r="F198" s="146">
        <f>F192</f>
        <v>1</v>
      </c>
      <c r="G198" s="130">
        <v>2.64E-2</v>
      </c>
      <c r="H198" s="134">
        <f t="shared" si="185"/>
        <v>2.6400000000000001E-6</v>
      </c>
      <c r="I198" s="147">
        <f>0.15*I192</f>
        <v>0.18</v>
      </c>
      <c r="J198" s="136">
        <f>J194*0.15</f>
        <v>0.108</v>
      </c>
      <c r="K198" s="148"/>
      <c r="L198" s="149"/>
      <c r="M198" s="139" t="str">
        <f t="shared" si="181"/>
        <v>С7</v>
      </c>
      <c r="N198" s="139" t="str">
        <f t="shared" si="182"/>
        <v>Трубопровод СУГ+токси</v>
      </c>
      <c r="O198" s="139" t="str">
        <f t="shared" si="183"/>
        <v>Частичное-пожар-вспышка</v>
      </c>
      <c r="P198" s="139" t="s">
        <v>46</v>
      </c>
      <c r="Q198" s="139" t="s">
        <v>46</v>
      </c>
      <c r="R198" s="139" t="s">
        <v>46</v>
      </c>
      <c r="S198" s="139" t="s">
        <v>46</v>
      </c>
      <c r="T198" s="139" t="s">
        <v>46</v>
      </c>
      <c r="U198" s="139" t="s">
        <v>46</v>
      </c>
      <c r="V198" s="139" t="s">
        <v>46</v>
      </c>
      <c r="W198" s="139" t="s">
        <v>46</v>
      </c>
      <c r="X198" s="139" t="s">
        <v>46</v>
      </c>
      <c r="Y198" s="139" t="s">
        <v>46</v>
      </c>
      <c r="Z198" s="139" t="s">
        <v>46</v>
      </c>
      <c r="AA198" s="139" t="s">
        <v>46</v>
      </c>
      <c r="AB198" s="139" t="s">
        <v>46</v>
      </c>
      <c r="AC198" s="139" t="s">
        <v>46</v>
      </c>
      <c r="AD198" s="139" t="s">
        <v>46</v>
      </c>
      <c r="AE198" s="139" t="s">
        <v>46</v>
      </c>
      <c r="AF198" s="139" t="s">
        <v>46</v>
      </c>
      <c r="AG198" s="139" t="s">
        <v>46</v>
      </c>
      <c r="AH198" s="139" t="s">
        <v>46</v>
      </c>
      <c r="AI198" s="139" t="s">
        <v>46</v>
      </c>
      <c r="AJ198" s="139">
        <v>0</v>
      </c>
      <c r="AK198" s="139">
        <v>1</v>
      </c>
      <c r="AL198" s="139">
        <f>0.1*$AL$2</f>
        <v>7.5000000000000011E-2</v>
      </c>
      <c r="AM198" s="139">
        <f>AM192</f>
        <v>2.7E-2</v>
      </c>
      <c r="AN198" s="139">
        <f>ROUNDUP(AN192/3,0)</f>
        <v>1</v>
      </c>
      <c r="AQ198" s="142">
        <f>AM198*I198+AL198</f>
        <v>7.9860000000000014E-2</v>
      </c>
      <c r="AR198" s="142">
        <f t="shared" si="186"/>
        <v>7.9860000000000018E-3</v>
      </c>
      <c r="AS198" s="143">
        <f t="shared" si="187"/>
        <v>0.25</v>
      </c>
      <c r="AT198" s="143">
        <f t="shared" si="188"/>
        <v>8.4461500000000009E-2</v>
      </c>
      <c r="AU198" s="142">
        <f>10068.2*J198*POWER(10,-6)*10</f>
        <v>1.0873656000000001E-2</v>
      </c>
      <c r="AV198" s="143">
        <f t="shared" si="184"/>
        <v>0.43318115599999996</v>
      </c>
      <c r="AW198" s="144">
        <f t="shared" si="189"/>
        <v>0</v>
      </c>
      <c r="AX198" s="144">
        <f t="shared" si="190"/>
        <v>2.6400000000000001E-6</v>
      </c>
      <c r="AY198" s="144">
        <f t="shared" si="191"/>
        <v>1.1435982518399999E-6</v>
      </c>
      <c r="AZ198" s="289">
        <f>AW198/DB!$B$23</f>
        <v>0</v>
      </c>
      <c r="BA198" s="289">
        <f>AX198/DB!$B$23</f>
        <v>3.1807228915662653E-9</v>
      </c>
    </row>
    <row r="199" spans="1:53" s="139" customFormat="1" ht="15" thickBot="1" x14ac:dyDescent="0.35">
      <c r="A199" s="130" t="s">
        <v>158</v>
      </c>
      <c r="B199" s="130" t="str">
        <f>B192</f>
        <v>Трубопровод СУГ+токси</v>
      </c>
      <c r="C199" s="13" t="s">
        <v>111</v>
      </c>
      <c r="D199" s="132" t="s">
        <v>27</v>
      </c>
      <c r="E199" s="145">
        <f>E196</f>
        <v>1E-4</v>
      </c>
      <c r="F199" s="146">
        <f>F192</f>
        <v>1</v>
      </c>
      <c r="G199" s="130">
        <v>0.93030000000000002</v>
      </c>
      <c r="H199" s="134">
        <f t="shared" si="185"/>
        <v>9.3030000000000009E-5</v>
      </c>
      <c r="I199" s="147">
        <f>0.15*I192</f>
        <v>0.18</v>
      </c>
      <c r="J199" s="150">
        <v>0</v>
      </c>
      <c r="K199" s="153"/>
      <c r="L199" s="154"/>
      <c r="M199" s="139" t="str">
        <f t="shared" si="181"/>
        <v>С8</v>
      </c>
      <c r="N199" s="139" t="str">
        <f t="shared" si="182"/>
        <v>Трубопровод СУГ+токси</v>
      </c>
      <c r="O199" s="139" t="str">
        <f t="shared" si="183"/>
        <v>Частичное-ликвидация</v>
      </c>
      <c r="P199" s="139" t="s">
        <v>46</v>
      </c>
      <c r="Q199" s="139" t="s">
        <v>46</v>
      </c>
      <c r="R199" s="139" t="s">
        <v>46</v>
      </c>
      <c r="S199" s="139" t="s">
        <v>46</v>
      </c>
      <c r="T199" s="139" t="s">
        <v>46</v>
      </c>
      <c r="U199" s="139" t="s">
        <v>46</v>
      </c>
      <c r="V199" s="139" t="s">
        <v>46</v>
      </c>
      <c r="W199" s="139" t="s">
        <v>46</v>
      </c>
      <c r="X199" s="139" t="s">
        <v>46</v>
      </c>
      <c r="Y199" s="139" t="s">
        <v>46</v>
      </c>
      <c r="Z199" s="139" t="s">
        <v>46</v>
      </c>
      <c r="AA199" s="139" t="s">
        <v>46</v>
      </c>
      <c r="AB199" s="139" t="s">
        <v>46</v>
      </c>
      <c r="AC199" s="139" t="s">
        <v>46</v>
      </c>
      <c r="AD199" s="139" t="s">
        <v>46</v>
      </c>
      <c r="AE199" s="139" t="s">
        <v>46</v>
      </c>
      <c r="AF199" s="139" t="s">
        <v>46</v>
      </c>
      <c r="AG199" s="139" t="s">
        <v>46</v>
      </c>
      <c r="AH199" s="139" t="s">
        <v>46</v>
      </c>
      <c r="AI199" s="139" t="s">
        <v>46</v>
      </c>
      <c r="AJ199" s="139">
        <v>0</v>
      </c>
      <c r="AK199" s="139">
        <v>1</v>
      </c>
      <c r="AL199" s="139">
        <f>0.1*$AL$2</f>
        <v>7.5000000000000011E-2</v>
      </c>
      <c r="AM199" s="139">
        <f>AM192</f>
        <v>2.7E-2</v>
      </c>
      <c r="AN199" s="139">
        <f>ROUNDUP(AN192/3,0)</f>
        <v>1</v>
      </c>
      <c r="AQ199" s="142">
        <f>AM199*I199*0.1+AL199</f>
        <v>7.5486000000000011E-2</v>
      </c>
      <c r="AR199" s="142">
        <f t="shared" si="186"/>
        <v>7.5486000000000017E-3</v>
      </c>
      <c r="AS199" s="143">
        <f t="shared" si="187"/>
        <v>0.25</v>
      </c>
      <c r="AT199" s="143">
        <f t="shared" si="188"/>
        <v>8.3258650000000003E-2</v>
      </c>
      <c r="AU199" s="142">
        <f>1333*J198*POWER(10,-6)</f>
        <v>1.4396399999999998E-4</v>
      </c>
      <c r="AV199" s="143">
        <f t="shared" si="184"/>
        <v>0.416437214</v>
      </c>
      <c r="AW199" s="144">
        <f t="shared" si="189"/>
        <v>0</v>
      </c>
      <c r="AX199" s="144">
        <f t="shared" si="190"/>
        <v>9.3030000000000009E-5</v>
      </c>
      <c r="AY199" s="144">
        <f t="shared" si="191"/>
        <v>3.874115401842E-5</v>
      </c>
      <c r="AZ199" s="289">
        <f>AW199/DB!$B$23</f>
        <v>0</v>
      </c>
      <c r="BA199" s="289">
        <f>AX199/DB!$B$23</f>
        <v>1.120843373493976E-7</v>
      </c>
    </row>
    <row r="200" spans="1:53" s="139" customFormat="1" x14ac:dyDescent="0.3">
      <c r="A200" s="140"/>
      <c r="B200" s="140"/>
      <c r="D200" s="186"/>
      <c r="E200" s="187"/>
      <c r="F200" s="188"/>
      <c r="G200" s="140"/>
      <c r="H200" s="144"/>
      <c r="I200" s="143"/>
      <c r="J200" s="140"/>
      <c r="K200" s="140"/>
      <c r="L200" s="140"/>
      <c r="AQ200" s="142"/>
      <c r="AR200" s="142"/>
      <c r="AS200" s="143"/>
      <c r="AT200" s="143"/>
      <c r="AU200" s="142"/>
      <c r="AV200" s="143"/>
      <c r="AW200" s="144"/>
      <c r="AX200" s="144"/>
      <c r="AY200" s="144"/>
    </row>
    <row r="201" spans="1:53" ht="15" thickBot="1" x14ac:dyDescent="0.35"/>
    <row r="202" spans="1:53" s="139" customFormat="1" ht="18" customHeight="1" x14ac:dyDescent="0.3">
      <c r="A202" s="130" t="s">
        <v>18</v>
      </c>
      <c r="B202" s="131" t="s">
        <v>244</v>
      </c>
      <c r="C202" s="13" t="s">
        <v>246</v>
      </c>
      <c r="D202" s="132" t="s">
        <v>247</v>
      </c>
      <c r="E202" s="133">
        <v>9.9999999999999995E-7</v>
      </c>
      <c r="F202" s="131">
        <v>2</v>
      </c>
      <c r="G202" s="130">
        <v>0.05</v>
      </c>
      <c r="H202" s="134">
        <f>E202*F202*G202</f>
        <v>9.9999999999999995E-8</v>
      </c>
      <c r="I202" s="135">
        <v>399</v>
      </c>
      <c r="J202" s="136">
        <f>0.03*I202</f>
        <v>11.969999999999999</v>
      </c>
      <c r="K202" s="137" t="s">
        <v>122</v>
      </c>
      <c r="L202" s="138">
        <v>2000</v>
      </c>
      <c r="M202" s="139" t="str">
        <f t="shared" ref="M202:M210" si="192">A202</f>
        <v>С1</v>
      </c>
      <c r="N202" s="139" t="str">
        <f t="shared" ref="N202:N209" si="193">B202</f>
        <v>Емкость СУГ</v>
      </c>
      <c r="O202" s="139" t="str">
        <f t="shared" ref="O202:O209" si="194">D202</f>
        <v>Полное-огенный шар</v>
      </c>
      <c r="P202" s="139" t="s">
        <v>46</v>
      </c>
      <c r="Q202" s="139" t="s">
        <v>46</v>
      </c>
      <c r="R202" s="139" t="s">
        <v>46</v>
      </c>
      <c r="S202" s="139" t="s">
        <v>46</v>
      </c>
      <c r="T202" s="139" t="s">
        <v>46</v>
      </c>
      <c r="U202" s="139" t="s">
        <v>46</v>
      </c>
      <c r="V202" s="139" t="s">
        <v>46</v>
      </c>
      <c r="W202" s="139" t="s">
        <v>46</v>
      </c>
      <c r="X202" s="139" t="s">
        <v>46</v>
      </c>
      <c r="Y202" s="139" t="s">
        <v>46</v>
      </c>
      <c r="Z202" s="139" t="s">
        <v>46</v>
      </c>
      <c r="AA202" s="139" t="s">
        <v>46</v>
      </c>
      <c r="AB202" s="139" t="s">
        <v>46</v>
      </c>
      <c r="AC202" s="139" t="s">
        <v>46</v>
      </c>
      <c r="AD202" s="139" t="s">
        <v>46</v>
      </c>
      <c r="AE202" s="139">
        <v>96.5</v>
      </c>
      <c r="AF202" s="139">
        <v>142.5</v>
      </c>
      <c r="AG202" s="139">
        <v>171</v>
      </c>
      <c r="AH202" s="139">
        <v>221.5</v>
      </c>
      <c r="AI202" s="139" t="s">
        <v>46</v>
      </c>
      <c r="AJ202" s="140">
        <v>1</v>
      </c>
      <c r="AK202" s="140">
        <v>2</v>
      </c>
      <c r="AL202" s="141">
        <v>5.36</v>
      </c>
      <c r="AM202" s="141">
        <v>2.7E-2</v>
      </c>
      <c r="AN202" s="141">
        <v>3</v>
      </c>
      <c r="AQ202" s="142">
        <f>AM202*I202+AL202</f>
        <v>16.132999999999999</v>
      </c>
      <c r="AR202" s="142">
        <f>0.1*AQ202</f>
        <v>1.6133</v>
      </c>
      <c r="AS202" s="143">
        <f>AJ202*3+0.25*AK202</f>
        <v>3.5</v>
      </c>
      <c r="AT202" s="143">
        <f>SUM(AQ202:AS202)/4</f>
        <v>5.3115749999999995</v>
      </c>
      <c r="AU202" s="142">
        <f>10068.2*J202*POWER(10,-6)</f>
        <v>0.12051635399999999</v>
      </c>
      <c r="AV202" s="143">
        <f t="shared" ref="AV202:AV210" si="195">AU202+AT202+AS202+AR202+AQ202</f>
        <v>26.678391353999999</v>
      </c>
      <c r="AW202" s="144">
        <f>AJ202*H202</f>
        <v>9.9999999999999995E-8</v>
      </c>
      <c r="AX202" s="144">
        <f>H202*AK202</f>
        <v>1.9999999999999999E-7</v>
      </c>
      <c r="AY202" s="144">
        <f t="shared" ref="AY202:AY210" si="196">H202*AV202</f>
        <v>2.6678391353999997E-6</v>
      </c>
      <c r="AZ202" s="289">
        <f>AW202/DB!$B$23</f>
        <v>1.2048192771084336E-10</v>
      </c>
      <c r="BA202" s="289">
        <f>AX202/DB!$B$23</f>
        <v>2.4096385542168672E-10</v>
      </c>
    </row>
    <row r="203" spans="1:53" s="139" customFormat="1" x14ac:dyDescent="0.3">
      <c r="A203" s="130" t="s">
        <v>19</v>
      </c>
      <c r="B203" s="130" t="str">
        <f>B202</f>
        <v>Емкость СУГ</v>
      </c>
      <c r="C203" s="13" t="s">
        <v>149</v>
      </c>
      <c r="D203" s="132" t="s">
        <v>28</v>
      </c>
      <c r="E203" s="145">
        <f>E202</f>
        <v>9.9999999999999995E-7</v>
      </c>
      <c r="F203" s="146">
        <f>F202</f>
        <v>2</v>
      </c>
      <c r="G203" s="130">
        <v>0.19</v>
      </c>
      <c r="H203" s="134">
        <f t="shared" ref="H203:H210" si="197">E203*F203*G203</f>
        <v>3.7999999999999996E-7</v>
      </c>
      <c r="I203" s="147">
        <f>I202</f>
        <v>399</v>
      </c>
      <c r="J203" s="155">
        <v>0.35</v>
      </c>
      <c r="K203" s="148" t="s">
        <v>123</v>
      </c>
      <c r="L203" s="149">
        <v>2</v>
      </c>
      <c r="M203" s="139" t="str">
        <f t="shared" si="192"/>
        <v>С2</v>
      </c>
      <c r="N203" s="139" t="str">
        <f t="shared" si="193"/>
        <v>Емкость СУГ</v>
      </c>
      <c r="O203" s="139" t="str">
        <f t="shared" si="194"/>
        <v>Полное-взрыв</v>
      </c>
      <c r="P203" s="139" t="s">
        <v>46</v>
      </c>
      <c r="Q203" s="139" t="s">
        <v>46</v>
      </c>
      <c r="R203" s="139" t="s">
        <v>46</v>
      </c>
      <c r="S203" s="139" t="s">
        <v>46</v>
      </c>
      <c r="T203" s="139">
        <v>0</v>
      </c>
      <c r="U203" s="139">
        <v>0</v>
      </c>
      <c r="V203" s="139">
        <v>53.6</v>
      </c>
      <c r="W203" s="139">
        <v>178.1</v>
      </c>
      <c r="X203" s="139">
        <v>463.6</v>
      </c>
      <c r="Y203" s="139" t="s">
        <v>46</v>
      </c>
      <c r="Z203" s="139" t="s">
        <v>46</v>
      </c>
      <c r="AA203" s="139" t="s">
        <v>46</v>
      </c>
      <c r="AB203" s="139" t="s">
        <v>46</v>
      </c>
      <c r="AC203" s="139" t="s">
        <v>46</v>
      </c>
      <c r="AD203" s="139" t="s">
        <v>46</v>
      </c>
      <c r="AE203" s="139" t="s">
        <v>46</v>
      </c>
      <c r="AF203" s="139" t="s">
        <v>46</v>
      </c>
      <c r="AG203" s="139" t="s">
        <v>46</v>
      </c>
      <c r="AH203" s="139" t="s">
        <v>46</v>
      </c>
      <c r="AI203" s="139" t="s">
        <v>46</v>
      </c>
      <c r="AJ203" s="140">
        <v>2</v>
      </c>
      <c r="AK203" s="140">
        <v>2</v>
      </c>
      <c r="AL203" s="139">
        <f>AL202</f>
        <v>5.36</v>
      </c>
      <c r="AM203" s="139">
        <f>AM202</f>
        <v>2.7E-2</v>
      </c>
      <c r="AN203" s="139">
        <f>AN202</f>
        <v>3</v>
      </c>
      <c r="AQ203" s="142">
        <f>AM203*I203+AL203</f>
        <v>16.132999999999999</v>
      </c>
      <c r="AR203" s="142">
        <f t="shared" ref="AR203:AR209" si="198">0.1*AQ203</f>
        <v>1.6133</v>
      </c>
      <c r="AS203" s="143">
        <f t="shared" ref="AS203:AS209" si="199">AJ203*3+0.25*AK203</f>
        <v>6.5</v>
      </c>
      <c r="AT203" s="143">
        <f t="shared" ref="AT203:AT209" si="200">SUM(AQ203:AS203)/4</f>
        <v>6.0615749999999995</v>
      </c>
      <c r="AU203" s="142">
        <f>10068.2*J203*POWER(10,-6)*10</f>
        <v>3.5238699999999998E-2</v>
      </c>
      <c r="AV203" s="143">
        <f t="shared" si="195"/>
        <v>30.343113699999996</v>
      </c>
      <c r="AW203" s="144">
        <f t="shared" ref="AW203:AW209" si="201">AJ203*H203</f>
        <v>7.5999999999999992E-7</v>
      </c>
      <c r="AX203" s="144">
        <f t="shared" ref="AX203:AX209" si="202">H203*AK203</f>
        <v>7.5999999999999992E-7</v>
      </c>
      <c r="AY203" s="144">
        <f t="shared" si="196"/>
        <v>1.1530383205999997E-5</v>
      </c>
      <c r="AZ203" s="289">
        <f>AW203/DB!$B$23</f>
        <v>9.1566265060240952E-10</v>
      </c>
      <c r="BA203" s="289">
        <f>AX203/DB!$B$23</f>
        <v>9.1566265060240952E-10</v>
      </c>
    </row>
    <row r="204" spans="1:53" s="139" customFormat="1" x14ac:dyDescent="0.3">
      <c r="A204" s="130" t="s">
        <v>20</v>
      </c>
      <c r="B204" s="130" t="str">
        <f>B202</f>
        <v>Емкость СУГ</v>
      </c>
      <c r="C204" s="13" t="s">
        <v>188</v>
      </c>
      <c r="D204" s="132" t="s">
        <v>26</v>
      </c>
      <c r="E204" s="145">
        <f>E202</f>
        <v>9.9999999999999995E-7</v>
      </c>
      <c r="F204" s="146">
        <f t="shared" ref="F204:F210" si="203">F203</f>
        <v>2</v>
      </c>
      <c r="G204" s="130">
        <v>0.76</v>
      </c>
      <c r="H204" s="134">
        <f t="shared" si="197"/>
        <v>1.5199999999999998E-6</v>
      </c>
      <c r="I204" s="147">
        <f>I202</f>
        <v>399</v>
      </c>
      <c r="J204" s="136">
        <v>0</v>
      </c>
      <c r="K204" s="148" t="s">
        <v>124</v>
      </c>
      <c r="L204" s="149">
        <v>1.05</v>
      </c>
      <c r="M204" s="139" t="str">
        <f t="shared" si="192"/>
        <v>С3</v>
      </c>
      <c r="N204" s="139" t="str">
        <f t="shared" si="193"/>
        <v>Емкость СУГ</v>
      </c>
      <c r="O204" s="139" t="str">
        <f t="shared" si="194"/>
        <v>Полное-ликвидация</v>
      </c>
      <c r="P204" s="139" t="s">
        <v>46</v>
      </c>
      <c r="Q204" s="139" t="s">
        <v>46</v>
      </c>
      <c r="R204" s="139" t="s">
        <v>46</v>
      </c>
      <c r="S204" s="139" t="s">
        <v>46</v>
      </c>
      <c r="T204" s="139" t="s">
        <v>46</v>
      </c>
      <c r="U204" s="139" t="s">
        <v>46</v>
      </c>
      <c r="V204" s="139" t="s">
        <v>46</v>
      </c>
      <c r="W204" s="139" t="s">
        <v>46</v>
      </c>
      <c r="X204" s="139" t="s">
        <v>46</v>
      </c>
      <c r="Y204" s="139" t="s">
        <v>46</v>
      </c>
      <c r="Z204" s="139" t="s">
        <v>46</v>
      </c>
      <c r="AA204" s="139" t="s">
        <v>46</v>
      </c>
      <c r="AB204" s="139" t="s">
        <v>46</v>
      </c>
      <c r="AC204" s="139" t="s">
        <v>46</v>
      </c>
      <c r="AD204" s="139" t="s">
        <v>46</v>
      </c>
      <c r="AE204" s="139" t="s">
        <v>46</v>
      </c>
      <c r="AF204" s="139" t="s">
        <v>46</v>
      </c>
      <c r="AG204" s="139" t="s">
        <v>46</v>
      </c>
      <c r="AH204" s="139" t="s">
        <v>46</v>
      </c>
      <c r="AI204" s="139" t="s">
        <v>46</v>
      </c>
      <c r="AJ204" s="139">
        <v>0</v>
      </c>
      <c r="AK204" s="139">
        <v>0</v>
      </c>
      <c r="AL204" s="139">
        <f>AL202</f>
        <v>5.36</v>
      </c>
      <c r="AM204" s="139">
        <f>AM202</f>
        <v>2.7E-2</v>
      </c>
      <c r="AN204" s="139">
        <f>AN202</f>
        <v>3</v>
      </c>
      <c r="AQ204" s="142">
        <f>AM204*I204*0.1+AL204</f>
        <v>6.4373000000000005</v>
      </c>
      <c r="AR204" s="142">
        <f t="shared" si="198"/>
        <v>0.64373000000000014</v>
      </c>
      <c r="AS204" s="143">
        <f t="shared" si="199"/>
        <v>0</v>
      </c>
      <c r="AT204" s="143">
        <f t="shared" si="200"/>
        <v>1.7702575</v>
      </c>
      <c r="AU204" s="142">
        <f>1333*J202*POWER(10,-6)</f>
        <v>1.5956009999999996E-2</v>
      </c>
      <c r="AV204" s="143">
        <f t="shared" si="195"/>
        <v>8.8672435100000015</v>
      </c>
      <c r="AW204" s="144">
        <f t="shared" si="201"/>
        <v>0</v>
      </c>
      <c r="AX204" s="144">
        <f t="shared" si="202"/>
        <v>0</v>
      </c>
      <c r="AY204" s="144">
        <f t="shared" si="196"/>
        <v>1.3478210135200001E-5</v>
      </c>
      <c r="AZ204" s="289">
        <f>AW204/DB!$B$23</f>
        <v>0</v>
      </c>
      <c r="BA204" s="289">
        <f>AX204/DB!$B$23</f>
        <v>0</v>
      </c>
    </row>
    <row r="205" spans="1:53" s="139" customFormat="1" x14ac:dyDescent="0.3">
      <c r="A205" s="130" t="s">
        <v>21</v>
      </c>
      <c r="B205" s="130" t="str">
        <f>B202</f>
        <v>Емкость СУГ</v>
      </c>
      <c r="C205" s="13" t="s">
        <v>160</v>
      </c>
      <c r="D205" s="132" t="s">
        <v>161</v>
      </c>
      <c r="E205" s="133">
        <v>1.0000000000000001E-5</v>
      </c>
      <c r="F205" s="146">
        <f t="shared" si="203"/>
        <v>2</v>
      </c>
      <c r="G205" s="130">
        <v>4.0000000000000008E-2</v>
      </c>
      <c r="H205" s="134">
        <f t="shared" si="197"/>
        <v>8.0000000000000018E-7</v>
      </c>
      <c r="I205" s="147">
        <f>0.15*I202</f>
        <v>59.849999999999994</v>
      </c>
      <c r="J205" s="136">
        <f>I205</f>
        <v>59.849999999999994</v>
      </c>
      <c r="K205" s="148" t="s">
        <v>126</v>
      </c>
      <c r="L205" s="149">
        <v>45390</v>
      </c>
      <c r="M205" s="139" t="str">
        <f t="shared" si="192"/>
        <v>С4</v>
      </c>
      <c r="N205" s="139" t="str">
        <f t="shared" si="193"/>
        <v>Емкость СУГ</v>
      </c>
      <c r="O205" s="139" t="str">
        <f t="shared" si="194"/>
        <v>Частичное факел</v>
      </c>
      <c r="P205" s="139" t="s">
        <v>46</v>
      </c>
      <c r="Q205" s="139" t="s">
        <v>46</v>
      </c>
      <c r="R205" s="139" t="s">
        <v>46</v>
      </c>
      <c r="S205" s="139" t="s">
        <v>46</v>
      </c>
      <c r="T205" s="139" t="s">
        <v>46</v>
      </c>
      <c r="U205" s="139" t="s">
        <v>46</v>
      </c>
      <c r="V205" s="139" t="s">
        <v>46</v>
      </c>
      <c r="W205" s="139" t="s">
        <v>46</v>
      </c>
      <c r="X205" s="139" t="s">
        <v>46</v>
      </c>
      <c r="Y205" s="139">
        <v>15</v>
      </c>
      <c r="Z205" s="139">
        <v>3</v>
      </c>
      <c r="AA205" s="139" t="s">
        <v>46</v>
      </c>
      <c r="AB205" s="139" t="s">
        <v>46</v>
      </c>
      <c r="AC205" s="139" t="s">
        <v>46</v>
      </c>
      <c r="AD205" s="139" t="s">
        <v>46</v>
      </c>
      <c r="AE205" s="139" t="s">
        <v>46</v>
      </c>
      <c r="AF205" s="139" t="s">
        <v>46</v>
      </c>
      <c r="AG205" s="139" t="s">
        <v>46</v>
      </c>
      <c r="AH205" s="139" t="s">
        <v>46</v>
      </c>
      <c r="AI205" s="139" t="s">
        <v>46</v>
      </c>
      <c r="AJ205" s="139">
        <v>0</v>
      </c>
      <c r="AK205" s="139">
        <v>1</v>
      </c>
      <c r="AL205" s="139">
        <f>0.1*$AL202</f>
        <v>0.53600000000000003</v>
      </c>
      <c r="AM205" s="139">
        <f>AM203</f>
        <v>2.7E-2</v>
      </c>
      <c r="AN205" s="139">
        <f>AN202</f>
        <v>3</v>
      </c>
      <c r="AQ205" s="142">
        <f>AM205*I205*0.1+AL205</f>
        <v>0.69759499999999997</v>
      </c>
      <c r="AR205" s="142">
        <f t="shared" si="198"/>
        <v>6.9759500000000002E-2</v>
      </c>
      <c r="AS205" s="143">
        <f t="shared" si="199"/>
        <v>0.25</v>
      </c>
      <c r="AT205" s="143">
        <f t="shared" si="200"/>
        <v>0.25433862499999998</v>
      </c>
      <c r="AU205" s="142">
        <f>10068.2*J205*POWER(10,-6)</f>
        <v>0.60258177000000002</v>
      </c>
      <c r="AV205" s="143">
        <f t="shared" si="195"/>
        <v>1.8742748949999999</v>
      </c>
      <c r="AW205" s="144">
        <f t="shared" si="201"/>
        <v>0</v>
      </c>
      <c r="AX205" s="144">
        <f t="shared" si="202"/>
        <v>8.0000000000000018E-7</v>
      </c>
      <c r="AY205" s="144">
        <f t="shared" si="196"/>
        <v>1.4994199160000002E-6</v>
      </c>
      <c r="AZ205" s="289">
        <f>AW205/DB!$B$23</f>
        <v>0</v>
      </c>
      <c r="BA205" s="289">
        <f>AX205/DB!$B$23</f>
        <v>9.638554216867473E-10</v>
      </c>
    </row>
    <row r="206" spans="1:53" s="139" customFormat="1" x14ac:dyDescent="0.3">
      <c r="A206" s="130" t="s">
        <v>22</v>
      </c>
      <c r="B206" s="130" t="str">
        <f>B202</f>
        <v>Емкость СУГ</v>
      </c>
      <c r="C206" s="13" t="s">
        <v>189</v>
      </c>
      <c r="D206" s="132" t="s">
        <v>27</v>
      </c>
      <c r="E206" s="145">
        <f>E205</f>
        <v>1.0000000000000001E-5</v>
      </c>
      <c r="F206" s="146">
        <f t="shared" si="203"/>
        <v>2</v>
      </c>
      <c r="G206" s="130">
        <v>0.16000000000000003</v>
      </c>
      <c r="H206" s="134">
        <f t="shared" si="197"/>
        <v>3.2000000000000007E-6</v>
      </c>
      <c r="I206" s="147">
        <f>0.15*I202</f>
        <v>59.849999999999994</v>
      </c>
      <c r="J206" s="136">
        <v>0</v>
      </c>
      <c r="K206" s="148" t="s">
        <v>127</v>
      </c>
      <c r="L206" s="149">
        <v>3</v>
      </c>
      <c r="M206" s="139" t="str">
        <f t="shared" si="192"/>
        <v>С5</v>
      </c>
      <c r="N206" s="139" t="str">
        <f t="shared" si="193"/>
        <v>Емкость СУГ</v>
      </c>
      <c r="O206" s="139" t="str">
        <f t="shared" si="194"/>
        <v>Частичное-ликвидация</v>
      </c>
      <c r="P206" s="139" t="s">
        <v>46</v>
      </c>
      <c r="Q206" s="139" t="s">
        <v>46</v>
      </c>
      <c r="R206" s="139" t="s">
        <v>46</v>
      </c>
      <c r="S206" s="139" t="s">
        <v>46</v>
      </c>
      <c r="T206" s="139" t="s">
        <v>46</v>
      </c>
      <c r="U206" s="139" t="s">
        <v>46</v>
      </c>
      <c r="V206" s="139" t="s">
        <v>46</v>
      </c>
      <c r="W206" s="139" t="s">
        <v>46</v>
      </c>
      <c r="X206" s="139" t="s">
        <v>46</v>
      </c>
      <c r="Y206" s="139" t="s">
        <v>46</v>
      </c>
      <c r="Z206" s="139" t="s">
        <v>46</v>
      </c>
      <c r="AA206" s="139" t="s">
        <v>46</v>
      </c>
      <c r="AB206" s="139" t="s">
        <v>46</v>
      </c>
      <c r="AC206" s="139" t="s">
        <v>46</v>
      </c>
      <c r="AD206" s="139" t="s">
        <v>46</v>
      </c>
      <c r="AE206" s="139" t="s">
        <v>46</v>
      </c>
      <c r="AF206" s="139" t="s">
        <v>46</v>
      </c>
      <c r="AG206" s="139" t="s">
        <v>46</v>
      </c>
      <c r="AH206" s="139" t="s">
        <v>46</v>
      </c>
      <c r="AI206" s="139" t="s">
        <v>46</v>
      </c>
      <c r="AJ206" s="139">
        <v>0</v>
      </c>
      <c r="AK206" s="139">
        <v>1</v>
      </c>
      <c r="AL206" s="139">
        <f>0.1*$AL203</f>
        <v>0.53600000000000003</v>
      </c>
      <c r="AM206" s="139">
        <f>AM202</f>
        <v>2.7E-2</v>
      </c>
      <c r="AN206" s="139">
        <f>ROUNDUP(AN202/3,0)</f>
        <v>1</v>
      </c>
      <c r="AQ206" s="142">
        <f>AM206*I206+AL206</f>
        <v>2.1519499999999998</v>
      </c>
      <c r="AR206" s="142">
        <f t="shared" si="198"/>
        <v>0.215195</v>
      </c>
      <c r="AS206" s="143">
        <f t="shared" si="199"/>
        <v>0.25</v>
      </c>
      <c r="AT206" s="143">
        <f t="shared" si="200"/>
        <v>0.65428624999999996</v>
      </c>
      <c r="AU206" s="142">
        <f>1333*J203*POWER(10,-6)*10</f>
        <v>4.6654999999999995E-3</v>
      </c>
      <c r="AV206" s="143">
        <f t="shared" si="195"/>
        <v>3.2760967499999998</v>
      </c>
      <c r="AW206" s="144">
        <f t="shared" si="201"/>
        <v>0</v>
      </c>
      <c r="AX206" s="144">
        <f t="shared" si="202"/>
        <v>3.2000000000000007E-6</v>
      </c>
      <c r="AY206" s="144">
        <f t="shared" si="196"/>
        <v>1.0483509600000001E-5</v>
      </c>
      <c r="AZ206" s="289">
        <f>AW206/DB!$B$23</f>
        <v>0</v>
      </c>
      <c r="BA206" s="289">
        <f>AX206/DB!$B$23</f>
        <v>3.8554216867469892E-9</v>
      </c>
    </row>
    <row r="207" spans="1:53" s="139" customFormat="1" x14ac:dyDescent="0.3">
      <c r="A207" s="130" t="s">
        <v>23</v>
      </c>
      <c r="B207" s="130" t="str">
        <f>B202</f>
        <v>Емкость СУГ</v>
      </c>
      <c r="C207" s="13" t="s">
        <v>162</v>
      </c>
      <c r="D207" s="132" t="s">
        <v>161</v>
      </c>
      <c r="E207" s="145">
        <f>E206</f>
        <v>1.0000000000000001E-5</v>
      </c>
      <c r="F207" s="146">
        <f t="shared" si="203"/>
        <v>2</v>
      </c>
      <c r="G207" s="130">
        <v>4.0000000000000008E-2</v>
      </c>
      <c r="H207" s="134">
        <f t="shared" si="197"/>
        <v>8.0000000000000018E-7</v>
      </c>
      <c r="I207" s="147">
        <f>I205*0.15</f>
        <v>8.9774999999999991</v>
      </c>
      <c r="J207" s="136">
        <f>I207</f>
        <v>8.9774999999999991</v>
      </c>
      <c r="K207" s="151" t="s">
        <v>138</v>
      </c>
      <c r="L207" s="152">
        <v>21</v>
      </c>
      <c r="M207" s="139" t="str">
        <f t="shared" si="192"/>
        <v>С6</v>
      </c>
      <c r="N207" s="139" t="str">
        <f t="shared" si="193"/>
        <v>Емкость СУГ</v>
      </c>
      <c r="O207" s="139" t="str">
        <f t="shared" si="194"/>
        <v>Частичное факел</v>
      </c>
      <c r="P207" s="139" t="s">
        <v>46</v>
      </c>
      <c r="Q207" s="139" t="s">
        <v>46</v>
      </c>
      <c r="R207" s="139" t="s">
        <v>46</v>
      </c>
      <c r="S207" s="139" t="s">
        <v>46</v>
      </c>
      <c r="T207" s="139" t="s">
        <v>46</v>
      </c>
      <c r="U207" s="139" t="s">
        <v>46</v>
      </c>
      <c r="V207" s="139" t="s">
        <v>46</v>
      </c>
      <c r="W207" s="139" t="s">
        <v>46</v>
      </c>
      <c r="X207" s="139" t="s">
        <v>46</v>
      </c>
      <c r="Y207" s="139">
        <v>11</v>
      </c>
      <c r="Z207" s="139">
        <v>2</v>
      </c>
      <c r="AA207" s="139" t="s">
        <v>46</v>
      </c>
      <c r="AB207" s="139" t="s">
        <v>46</v>
      </c>
      <c r="AC207" s="139" t="s">
        <v>46</v>
      </c>
      <c r="AD207" s="139" t="s">
        <v>46</v>
      </c>
      <c r="AE207" s="139" t="s">
        <v>46</v>
      </c>
      <c r="AF207" s="139" t="s">
        <v>46</v>
      </c>
      <c r="AG207" s="139" t="s">
        <v>46</v>
      </c>
      <c r="AH207" s="139" t="s">
        <v>46</v>
      </c>
      <c r="AI207" s="139" t="s">
        <v>46</v>
      </c>
      <c r="AJ207" s="139">
        <v>0</v>
      </c>
      <c r="AK207" s="139">
        <v>1</v>
      </c>
      <c r="AL207" s="139">
        <f>0.1*$AL204</f>
        <v>0.53600000000000003</v>
      </c>
      <c r="AM207" s="139">
        <f>AM202</f>
        <v>2.7E-2</v>
      </c>
      <c r="AN207" s="139">
        <f>AN206</f>
        <v>1</v>
      </c>
      <c r="AQ207" s="142">
        <f>AM207*I207+AL207</f>
        <v>0.77839250000000004</v>
      </c>
      <c r="AR207" s="142">
        <f t="shared" si="198"/>
        <v>7.7839250000000013E-2</v>
      </c>
      <c r="AS207" s="143">
        <f t="shared" si="199"/>
        <v>0.25</v>
      </c>
      <c r="AT207" s="143">
        <f t="shared" si="200"/>
        <v>0.27655793750000002</v>
      </c>
      <c r="AU207" s="142">
        <f>10068.2*J207*POWER(10,-6)</f>
        <v>9.0387265499999994E-2</v>
      </c>
      <c r="AV207" s="143">
        <f t="shared" si="195"/>
        <v>1.4731769530000001</v>
      </c>
      <c r="AW207" s="144">
        <f t="shared" si="201"/>
        <v>0</v>
      </c>
      <c r="AX207" s="144">
        <f t="shared" si="202"/>
        <v>8.0000000000000018E-7</v>
      </c>
      <c r="AY207" s="144">
        <f t="shared" si="196"/>
        <v>1.1785415624000003E-6</v>
      </c>
      <c r="AZ207" s="289">
        <f>AW207/DB!$B$23</f>
        <v>0</v>
      </c>
      <c r="BA207" s="289">
        <f>AX207/DB!$B$23</f>
        <v>9.638554216867473E-10</v>
      </c>
    </row>
    <row r="208" spans="1:53" s="139" customFormat="1" x14ac:dyDescent="0.3">
      <c r="A208" s="130" t="s">
        <v>157</v>
      </c>
      <c r="B208" s="130" t="str">
        <f>B202</f>
        <v>Емкость СУГ</v>
      </c>
      <c r="C208" s="13" t="s">
        <v>163</v>
      </c>
      <c r="D208" s="132" t="s">
        <v>112</v>
      </c>
      <c r="E208" s="145">
        <f>E206</f>
        <v>1.0000000000000001E-5</v>
      </c>
      <c r="F208" s="146">
        <f t="shared" si="203"/>
        <v>2</v>
      </c>
      <c r="G208" s="130">
        <v>0.15200000000000002</v>
      </c>
      <c r="H208" s="134">
        <f t="shared" si="197"/>
        <v>3.0400000000000005E-6</v>
      </c>
      <c r="I208" s="147">
        <f>I205*0.15</f>
        <v>8.9774999999999991</v>
      </c>
      <c r="J208" s="136">
        <f>I208</f>
        <v>8.9774999999999991</v>
      </c>
      <c r="K208" s="148"/>
      <c r="L208" s="149"/>
      <c r="M208" s="139" t="str">
        <f t="shared" si="192"/>
        <v>С7</v>
      </c>
      <c r="N208" s="139" t="str">
        <f t="shared" si="193"/>
        <v>Емкость СУГ</v>
      </c>
      <c r="O208" s="139" t="str">
        <f t="shared" si="194"/>
        <v>Частичное-пожар-вспышка</v>
      </c>
      <c r="P208" s="139" t="s">
        <v>46</v>
      </c>
      <c r="Q208" s="139" t="s">
        <v>46</v>
      </c>
      <c r="R208" s="139" t="s">
        <v>46</v>
      </c>
      <c r="S208" s="139" t="s">
        <v>46</v>
      </c>
      <c r="T208" s="139" t="s">
        <v>46</v>
      </c>
      <c r="U208" s="139" t="s">
        <v>46</v>
      </c>
      <c r="V208" s="139" t="s">
        <v>46</v>
      </c>
      <c r="W208" s="139" t="s">
        <v>46</v>
      </c>
      <c r="X208" s="139" t="s">
        <v>46</v>
      </c>
      <c r="Y208" s="139" t="s">
        <v>46</v>
      </c>
      <c r="Z208" s="139" t="s">
        <v>46</v>
      </c>
      <c r="AA208" s="139">
        <v>69.150000000000006</v>
      </c>
      <c r="AB208" s="139">
        <v>82.98</v>
      </c>
      <c r="AC208" s="139" t="s">
        <v>46</v>
      </c>
      <c r="AD208" s="139" t="s">
        <v>46</v>
      </c>
      <c r="AE208" s="139" t="s">
        <v>46</v>
      </c>
      <c r="AF208" s="139" t="s">
        <v>46</v>
      </c>
      <c r="AG208" s="139" t="s">
        <v>46</v>
      </c>
      <c r="AH208" s="139" t="s">
        <v>46</v>
      </c>
      <c r="AI208" s="139" t="s">
        <v>46</v>
      </c>
      <c r="AJ208" s="139">
        <v>0</v>
      </c>
      <c r="AK208" s="139">
        <v>1</v>
      </c>
      <c r="AL208" s="139">
        <f>0.1*$AL205</f>
        <v>5.3600000000000009E-2</v>
      </c>
      <c r="AM208" s="139">
        <f>AM202</f>
        <v>2.7E-2</v>
      </c>
      <c r="AN208" s="139">
        <f>ROUNDUP(AN202/3,0)</f>
        <v>1</v>
      </c>
      <c r="AQ208" s="142">
        <f>AM208*I208+AL208</f>
        <v>0.29599249999999999</v>
      </c>
      <c r="AR208" s="142">
        <f t="shared" si="198"/>
        <v>2.9599250000000001E-2</v>
      </c>
      <c r="AS208" s="143">
        <f t="shared" si="199"/>
        <v>0.25</v>
      </c>
      <c r="AT208" s="143">
        <f t="shared" si="200"/>
        <v>0.14389793750000002</v>
      </c>
      <c r="AU208" s="142">
        <f>10068.2*J208*POWER(10,-6)</f>
        <v>9.0387265499999994E-2</v>
      </c>
      <c r="AV208" s="143">
        <f t="shared" si="195"/>
        <v>0.80987695299999996</v>
      </c>
      <c r="AW208" s="144">
        <f t="shared" si="201"/>
        <v>0</v>
      </c>
      <c r="AX208" s="144">
        <f t="shared" si="202"/>
        <v>3.0400000000000005E-6</v>
      </c>
      <c r="AY208" s="144">
        <f t="shared" si="196"/>
        <v>2.4620259371200003E-6</v>
      </c>
      <c r="AZ208" s="289">
        <f>AW208/DB!$B$23</f>
        <v>0</v>
      </c>
      <c r="BA208" s="289">
        <f>AX208/DB!$B$23</f>
        <v>3.6626506024096393E-9</v>
      </c>
    </row>
    <row r="209" spans="1:53" s="139" customFormat="1" ht="15" thickBot="1" x14ac:dyDescent="0.35">
      <c r="A209" s="130" t="s">
        <v>158</v>
      </c>
      <c r="B209" s="130" t="str">
        <f>B202</f>
        <v>Емкость СУГ</v>
      </c>
      <c r="C209" s="13" t="s">
        <v>164</v>
      </c>
      <c r="D209" s="132" t="s">
        <v>27</v>
      </c>
      <c r="E209" s="145">
        <f>E206</f>
        <v>1.0000000000000001E-5</v>
      </c>
      <c r="F209" s="146">
        <f t="shared" si="203"/>
        <v>2</v>
      </c>
      <c r="G209" s="130">
        <v>0.6080000000000001</v>
      </c>
      <c r="H209" s="134">
        <f t="shared" si="197"/>
        <v>1.2160000000000002E-5</v>
      </c>
      <c r="I209" s="147">
        <f>I205*0.15</f>
        <v>8.9774999999999991</v>
      </c>
      <c r="J209" s="136">
        <v>0</v>
      </c>
      <c r="K209" s="153"/>
      <c r="L209" s="154"/>
      <c r="M209" s="139" t="str">
        <f t="shared" si="192"/>
        <v>С8</v>
      </c>
      <c r="N209" s="139" t="str">
        <f t="shared" si="193"/>
        <v>Емкость СУГ</v>
      </c>
      <c r="O209" s="139" t="str">
        <f t="shared" si="194"/>
        <v>Частичное-ликвидация</v>
      </c>
      <c r="P209" s="139" t="s">
        <v>46</v>
      </c>
      <c r="Q209" s="139" t="s">
        <v>46</v>
      </c>
      <c r="R209" s="139" t="s">
        <v>46</v>
      </c>
      <c r="S209" s="139" t="s">
        <v>46</v>
      </c>
      <c r="T209" s="139" t="s">
        <v>46</v>
      </c>
      <c r="U209" s="139" t="s">
        <v>46</v>
      </c>
      <c r="V209" s="139" t="s">
        <v>46</v>
      </c>
      <c r="W209" s="139" t="s">
        <v>46</v>
      </c>
      <c r="X209" s="139" t="s">
        <v>46</v>
      </c>
      <c r="Y209" s="139" t="s">
        <v>46</v>
      </c>
      <c r="Z209" s="139" t="s">
        <v>46</v>
      </c>
      <c r="AA209" s="139" t="s">
        <v>46</v>
      </c>
      <c r="AB209" s="139" t="s">
        <v>46</v>
      </c>
      <c r="AC209" s="139" t="s">
        <v>46</v>
      </c>
      <c r="AD209" s="139" t="s">
        <v>46</v>
      </c>
      <c r="AE209" s="139" t="s">
        <v>46</v>
      </c>
      <c r="AF209" s="139" t="s">
        <v>46</v>
      </c>
      <c r="AG209" s="139" t="s">
        <v>46</v>
      </c>
      <c r="AH209" s="139" t="s">
        <v>46</v>
      </c>
      <c r="AI209" s="139" t="s">
        <v>46</v>
      </c>
      <c r="AJ209" s="139">
        <v>0</v>
      </c>
      <c r="AK209" s="139">
        <v>0</v>
      </c>
      <c r="AL209" s="139">
        <f>0.1*$AL206</f>
        <v>5.3600000000000009E-2</v>
      </c>
      <c r="AM209" s="139">
        <f>AM202</f>
        <v>2.7E-2</v>
      </c>
      <c r="AN209" s="139">
        <f>ROUNDUP(AN202/3,0)</f>
        <v>1</v>
      </c>
      <c r="AQ209" s="142">
        <f>AM209*I209*0.1+AL209</f>
        <v>7.7839250000000013E-2</v>
      </c>
      <c r="AR209" s="142">
        <f t="shared" si="198"/>
        <v>7.7839250000000014E-3</v>
      </c>
      <c r="AS209" s="143">
        <f t="shared" si="199"/>
        <v>0</v>
      </c>
      <c r="AT209" s="143">
        <f t="shared" si="200"/>
        <v>2.1405793750000002E-2</v>
      </c>
      <c r="AU209" s="142">
        <f>1333*J207*POWER(10,-6)</f>
        <v>1.19670075E-2</v>
      </c>
      <c r="AV209" s="143">
        <f t="shared" si="195"/>
        <v>0.11899597625000002</v>
      </c>
      <c r="AW209" s="144">
        <f t="shared" si="201"/>
        <v>0</v>
      </c>
      <c r="AX209" s="144">
        <f t="shared" si="202"/>
        <v>0</v>
      </c>
      <c r="AY209" s="144">
        <f t="shared" si="196"/>
        <v>1.4469910712000006E-6</v>
      </c>
      <c r="AZ209" s="289">
        <f>AW209/DB!$B$23</f>
        <v>0</v>
      </c>
      <c r="BA209" s="289">
        <f>AX209/DB!$B$23</f>
        <v>0</v>
      </c>
    </row>
    <row r="210" spans="1:53" s="139" customFormat="1" x14ac:dyDescent="0.3">
      <c r="A210" s="193" t="s">
        <v>187</v>
      </c>
      <c r="B210" s="193" t="str">
        <f>B202</f>
        <v>Емкость СУГ</v>
      </c>
      <c r="C210" s="193" t="s">
        <v>248</v>
      </c>
      <c r="D210" s="193" t="s">
        <v>249</v>
      </c>
      <c r="E210" s="194">
        <v>2.5000000000000001E-5</v>
      </c>
      <c r="F210" s="146">
        <f t="shared" si="203"/>
        <v>2</v>
      </c>
      <c r="G210" s="193">
        <v>1</v>
      </c>
      <c r="H210" s="195">
        <f t="shared" si="197"/>
        <v>5.0000000000000002E-5</v>
      </c>
      <c r="I210" s="196">
        <f>I202</f>
        <v>399</v>
      </c>
      <c r="J210" s="196">
        <f>I210*0.07</f>
        <v>27.930000000000003</v>
      </c>
      <c r="K210" s="193"/>
      <c r="L210" s="193"/>
      <c r="M210" s="197" t="str">
        <f t="shared" si="192"/>
        <v>С9</v>
      </c>
      <c r="N210" s="197"/>
      <c r="O210" s="197"/>
      <c r="P210" s="197">
        <v>30.2</v>
      </c>
      <c r="Q210" s="197">
        <v>41.6</v>
      </c>
      <c r="R210" s="197">
        <v>59.6</v>
      </c>
      <c r="S210" s="197">
        <v>110.1</v>
      </c>
      <c r="T210" s="197"/>
      <c r="U210" s="197"/>
      <c r="V210" s="197"/>
      <c r="W210" s="197"/>
      <c r="X210" s="197"/>
      <c r="Y210" s="197"/>
      <c r="Z210" s="197"/>
      <c r="AA210" s="197"/>
      <c r="AB210" s="197"/>
      <c r="AC210" s="197"/>
      <c r="AD210" s="197"/>
      <c r="AE210" s="197">
        <v>150.5</v>
      </c>
      <c r="AF210" s="197">
        <v>211</v>
      </c>
      <c r="AG210" s="197">
        <v>249.5</v>
      </c>
      <c r="AH210" s="197">
        <v>317.5</v>
      </c>
      <c r="AI210" s="197"/>
      <c r="AJ210" s="197">
        <v>1</v>
      </c>
      <c r="AK210" s="197">
        <v>2</v>
      </c>
      <c r="AL210" s="197">
        <f>AL202</f>
        <v>5.36</v>
      </c>
      <c r="AM210" s="197">
        <f>AM202</f>
        <v>2.7E-2</v>
      </c>
      <c r="AN210" s="197">
        <v>5</v>
      </c>
      <c r="AO210" s="197"/>
      <c r="AP210" s="197"/>
      <c r="AQ210" s="198">
        <f>AM210*I210+AL210</f>
        <v>16.132999999999999</v>
      </c>
      <c r="AR210" s="198">
        <f>0.1*AQ210</f>
        <v>1.6133</v>
      </c>
      <c r="AS210" s="199">
        <f>AJ210*3+0.25*AK210</f>
        <v>3.5</v>
      </c>
      <c r="AT210" s="199">
        <f>SUM(AQ210:AS210)/4</f>
        <v>5.3115749999999995</v>
      </c>
      <c r="AU210" s="198">
        <f>10068.2*J210*POWER(10,-6)</f>
        <v>0.28120482600000002</v>
      </c>
      <c r="AV210" s="199">
        <f t="shared" si="195"/>
        <v>26.839079825999999</v>
      </c>
      <c r="AW210" s="200">
        <f>AJ210*H210</f>
        <v>5.0000000000000002E-5</v>
      </c>
      <c r="AX210" s="200">
        <f>H210*AK210</f>
        <v>1E-4</v>
      </c>
      <c r="AY210" s="200">
        <f t="shared" si="196"/>
        <v>1.3419539913000001E-3</v>
      </c>
      <c r="AZ210" s="289">
        <f>AW210/DB!$B$23</f>
        <v>6.0240963855421685E-8</v>
      </c>
      <c r="BA210" s="289">
        <f>AX210/DB!$B$23</f>
        <v>1.2048192771084337E-7</v>
      </c>
    </row>
    <row r="211" spans="1:53" ht="15" thickBot="1" x14ac:dyDescent="0.35"/>
    <row r="212" spans="1:53" s="139" customFormat="1" ht="18" customHeight="1" x14ac:dyDescent="0.3">
      <c r="A212" s="130" t="s">
        <v>18</v>
      </c>
      <c r="B212" s="131" t="s">
        <v>245</v>
      </c>
      <c r="C212" s="13" t="s">
        <v>246</v>
      </c>
      <c r="D212" s="132" t="s">
        <v>247</v>
      </c>
      <c r="E212" s="133">
        <v>9.9999999999999995E-7</v>
      </c>
      <c r="F212" s="131">
        <v>2</v>
      </c>
      <c r="G212" s="130">
        <v>0.05</v>
      </c>
      <c r="H212" s="134">
        <f>E212*F212*G212</f>
        <v>9.9999999999999995E-8</v>
      </c>
      <c r="I212" s="135">
        <v>46.64</v>
      </c>
      <c r="J212" s="136">
        <f>0.05*I212</f>
        <v>2.3320000000000003</v>
      </c>
      <c r="K212" s="137" t="s">
        <v>122</v>
      </c>
      <c r="L212" s="138">
        <v>2000</v>
      </c>
      <c r="M212" s="139" t="str">
        <f t="shared" ref="M212:M220" si="204">A212</f>
        <v>С1</v>
      </c>
      <c r="N212" s="139" t="str">
        <f t="shared" ref="N212:N219" si="205">B212</f>
        <v>Емкость СУГ+токси</v>
      </c>
      <c r="O212" s="139" t="str">
        <f t="shared" ref="O212:O219" si="206">D212</f>
        <v>Полное-огенный шар</v>
      </c>
      <c r="P212" s="139" t="s">
        <v>46</v>
      </c>
      <c r="Q212" s="139" t="s">
        <v>46</v>
      </c>
      <c r="R212" s="139" t="s">
        <v>46</v>
      </c>
      <c r="S212" s="139" t="s">
        <v>46</v>
      </c>
      <c r="T212" s="139" t="s">
        <v>46</v>
      </c>
      <c r="U212" s="139" t="s">
        <v>46</v>
      </c>
      <c r="V212" s="139" t="s">
        <v>46</v>
      </c>
      <c r="W212" s="139" t="s">
        <v>46</v>
      </c>
      <c r="X212" s="139" t="s">
        <v>46</v>
      </c>
      <c r="Y212" s="139" t="s">
        <v>46</v>
      </c>
      <c r="Z212" s="139" t="s">
        <v>46</v>
      </c>
      <c r="AA212" s="139" t="s">
        <v>46</v>
      </c>
      <c r="AB212" s="139" t="s">
        <v>46</v>
      </c>
      <c r="AC212" s="139" t="s">
        <v>46</v>
      </c>
      <c r="AD212" s="139" t="s">
        <v>46</v>
      </c>
      <c r="AE212" s="139">
        <v>33.5</v>
      </c>
      <c r="AF212" s="139">
        <v>63</v>
      </c>
      <c r="AG212" s="139">
        <v>79.5</v>
      </c>
      <c r="AH212" s="139">
        <v>107</v>
      </c>
      <c r="AI212" s="139" t="s">
        <v>46</v>
      </c>
      <c r="AJ212" s="140">
        <v>1</v>
      </c>
      <c r="AK212" s="140">
        <v>2</v>
      </c>
      <c r="AL212" s="141">
        <v>6.98</v>
      </c>
      <c r="AM212" s="141">
        <v>2.7E-2</v>
      </c>
      <c r="AN212" s="141">
        <v>3</v>
      </c>
      <c r="AQ212" s="142">
        <f>AM212*I212+AL212</f>
        <v>8.2392800000000008</v>
      </c>
      <c r="AR212" s="142">
        <f>0.1*AQ212</f>
        <v>0.8239280000000001</v>
      </c>
      <c r="AS212" s="143">
        <f>AJ212*3+0.25*AK212</f>
        <v>3.5</v>
      </c>
      <c r="AT212" s="143">
        <f>SUM(AQ212:AS212)/4</f>
        <v>3.1408020000000003</v>
      </c>
      <c r="AU212" s="142">
        <f>10068.2*J212*POWER(10,-6)</f>
        <v>2.3479042400000004E-2</v>
      </c>
      <c r="AV212" s="143">
        <f t="shared" ref="AV212:AV220" si="207">AU212+AT212+AS212+AR212+AQ212</f>
        <v>15.727489042400002</v>
      </c>
      <c r="AW212" s="144">
        <f>AJ212*H212</f>
        <v>9.9999999999999995E-8</v>
      </c>
      <c r="AX212" s="144">
        <f>H212*AK212</f>
        <v>1.9999999999999999E-7</v>
      </c>
      <c r="AY212" s="144">
        <f t="shared" ref="AY212:AY220" si="208">H212*AV212</f>
        <v>1.5727489042400002E-6</v>
      </c>
      <c r="AZ212" s="289">
        <f>AW212/DB!$B$23</f>
        <v>1.2048192771084336E-10</v>
      </c>
      <c r="BA212" s="289">
        <f>AX212/DB!$B$23</f>
        <v>2.4096385542168672E-10</v>
      </c>
    </row>
    <row r="213" spans="1:53" s="139" customFormat="1" x14ac:dyDescent="0.3">
      <c r="A213" s="130" t="s">
        <v>19</v>
      </c>
      <c r="B213" s="130" t="str">
        <f>B212</f>
        <v>Емкость СУГ+токси</v>
      </c>
      <c r="C213" s="13" t="s">
        <v>149</v>
      </c>
      <c r="D213" s="132" t="s">
        <v>28</v>
      </c>
      <c r="E213" s="145">
        <f>E212</f>
        <v>9.9999999999999995E-7</v>
      </c>
      <c r="F213" s="146">
        <f>F212</f>
        <v>2</v>
      </c>
      <c r="G213" s="130">
        <v>0.19</v>
      </c>
      <c r="H213" s="134">
        <f t="shared" ref="H213:H220" si="209">E213*F213*G213</f>
        <v>3.7999999999999996E-7</v>
      </c>
      <c r="I213" s="147">
        <f>I212</f>
        <v>46.64</v>
      </c>
      <c r="J213" s="155">
        <v>1.22</v>
      </c>
      <c r="K213" s="148" t="s">
        <v>123</v>
      </c>
      <c r="L213" s="149">
        <v>2</v>
      </c>
      <c r="M213" s="139" t="str">
        <f t="shared" si="204"/>
        <v>С2</v>
      </c>
      <c r="N213" s="139" t="str">
        <f t="shared" si="205"/>
        <v>Емкость СУГ+токси</v>
      </c>
      <c r="O213" s="139" t="str">
        <f t="shared" si="206"/>
        <v>Полное-взрыв</v>
      </c>
      <c r="P213" s="139" t="s">
        <v>46</v>
      </c>
      <c r="Q213" s="139" t="s">
        <v>46</v>
      </c>
      <c r="R213" s="139" t="s">
        <v>46</v>
      </c>
      <c r="S213" s="139" t="s">
        <v>46</v>
      </c>
      <c r="T213" s="139">
        <v>0</v>
      </c>
      <c r="U213" s="139">
        <v>0</v>
      </c>
      <c r="V213" s="139">
        <v>81.099999999999994</v>
      </c>
      <c r="W213" s="139">
        <v>270.10000000000002</v>
      </c>
      <c r="X213" s="139">
        <v>702.6</v>
      </c>
      <c r="Y213" s="139" t="s">
        <v>46</v>
      </c>
      <c r="Z213" s="139" t="s">
        <v>46</v>
      </c>
      <c r="AA213" s="139" t="s">
        <v>46</v>
      </c>
      <c r="AB213" s="139" t="s">
        <v>46</v>
      </c>
      <c r="AC213" s="139" t="s">
        <v>46</v>
      </c>
      <c r="AD213" s="139" t="s">
        <v>46</v>
      </c>
      <c r="AE213" s="139" t="s">
        <v>46</v>
      </c>
      <c r="AF213" s="139" t="s">
        <v>46</v>
      </c>
      <c r="AG213" s="139" t="s">
        <v>46</v>
      </c>
      <c r="AH213" s="139" t="s">
        <v>46</v>
      </c>
      <c r="AI213" s="139" t="s">
        <v>46</v>
      </c>
      <c r="AJ213" s="140">
        <v>2</v>
      </c>
      <c r="AK213" s="140">
        <v>2</v>
      </c>
      <c r="AL213" s="139">
        <f>AL212</f>
        <v>6.98</v>
      </c>
      <c r="AM213" s="139">
        <f>AM212</f>
        <v>2.7E-2</v>
      </c>
      <c r="AN213" s="139">
        <f>AN212</f>
        <v>3</v>
      </c>
      <c r="AQ213" s="142">
        <f>AM213*I213+AL213</f>
        <v>8.2392800000000008</v>
      </c>
      <c r="AR213" s="142">
        <f t="shared" ref="AR213:AR219" si="210">0.1*AQ213</f>
        <v>0.8239280000000001</v>
      </c>
      <c r="AS213" s="143">
        <f t="shared" ref="AS213:AS219" si="211">AJ213*3+0.25*AK213</f>
        <v>6.5</v>
      </c>
      <c r="AT213" s="143">
        <f t="shared" ref="AT213:AT219" si="212">SUM(AQ213:AS213)/4</f>
        <v>3.8908020000000003</v>
      </c>
      <c r="AU213" s="142">
        <f>10068.2*J213*POWER(10,-6)*10</f>
        <v>0.12283203999999999</v>
      </c>
      <c r="AV213" s="143">
        <f t="shared" si="207"/>
        <v>19.576842040000002</v>
      </c>
      <c r="AW213" s="144">
        <f t="shared" ref="AW213:AW219" si="213">AJ213*H213</f>
        <v>7.5999999999999992E-7</v>
      </c>
      <c r="AX213" s="144">
        <f t="shared" ref="AX213:AX219" si="214">H213*AK213</f>
        <v>7.5999999999999992E-7</v>
      </c>
      <c r="AY213" s="144">
        <f t="shared" si="208"/>
        <v>7.4391999752E-6</v>
      </c>
      <c r="AZ213" s="289">
        <f>AW213/DB!$B$23</f>
        <v>9.1566265060240952E-10</v>
      </c>
      <c r="BA213" s="289">
        <f>AX213/DB!$B$23</f>
        <v>9.1566265060240952E-10</v>
      </c>
    </row>
    <row r="214" spans="1:53" s="139" customFormat="1" x14ac:dyDescent="0.3">
      <c r="A214" s="130" t="s">
        <v>20</v>
      </c>
      <c r="B214" s="130" t="str">
        <f>B212</f>
        <v>Емкость СУГ+токси</v>
      </c>
      <c r="C214" s="13" t="s">
        <v>190</v>
      </c>
      <c r="D214" s="132" t="s">
        <v>118</v>
      </c>
      <c r="E214" s="145">
        <f>E212</f>
        <v>9.9999999999999995E-7</v>
      </c>
      <c r="F214" s="146">
        <f>F212</f>
        <v>2</v>
      </c>
      <c r="G214" s="130">
        <v>0.76</v>
      </c>
      <c r="H214" s="134">
        <f t="shared" si="209"/>
        <v>1.5199999999999998E-6</v>
      </c>
      <c r="I214" s="147">
        <f>I212</f>
        <v>46.64</v>
      </c>
      <c r="J214" s="155">
        <v>0.36</v>
      </c>
      <c r="K214" s="148" t="s">
        <v>124</v>
      </c>
      <c r="L214" s="149">
        <v>1.05</v>
      </c>
      <c r="M214" s="139" t="str">
        <f t="shared" si="204"/>
        <v>С3</v>
      </c>
      <c r="N214" s="139" t="str">
        <f t="shared" si="205"/>
        <v>Емкость СУГ+токси</v>
      </c>
      <c r="O214" s="139" t="str">
        <f t="shared" si="206"/>
        <v>Полное-токси</v>
      </c>
      <c r="P214" s="139" t="s">
        <v>46</v>
      </c>
      <c r="Q214" s="139" t="s">
        <v>46</v>
      </c>
      <c r="R214" s="139" t="s">
        <v>46</v>
      </c>
      <c r="S214" s="139" t="s">
        <v>46</v>
      </c>
      <c r="T214" s="139" t="s">
        <v>46</v>
      </c>
      <c r="U214" s="139" t="s">
        <v>46</v>
      </c>
      <c r="V214" s="139" t="s">
        <v>46</v>
      </c>
      <c r="W214" s="139" t="s">
        <v>46</v>
      </c>
      <c r="X214" s="139" t="s">
        <v>46</v>
      </c>
      <c r="Y214" s="139" t="s">
        <v>46</v>
      </c>
      <c r="Z214" s="139" t="s">
        <v>46</v>
      </c>
      <c r="AA214" s="139" t="s">
        <v>46</v>
      </c>
      <c r="AB214" s="139" t="s">
        <v>46</v>
      </c>
      <c r="AC214" s="139">
        <v>131.4</v>
      </c>
      <c r="AD214" s="139">
        <v>248</v>
      </c>
      <c r="AE214" s="139" t="s">
        <v>46</v>
      </c>
      <c r="AF214" s="139" t="s">
        <v>46</v>
      </c>
      <c r="AG214" s="139" t="s">
        <v>46</v>
      </c>
      <c r="AH214" s="139" t="s">
        <v>46</v>
      </c>
      <c r="AI214" s="139" t="s">
        <v>46</v>
      </c>
      <c r="AJ214" s="139">
        <v>0</v>
      </c>
      <c r="AK214" s="139">
        <v>0</v>
      </c>
      <c r="AL214" s="139">
        <f>AL212</f>
        <v>6.98</v>
      </c>
      <c r="AM214" s="139">
        <f>AM212</f>
        <v>2.7E-2</v>
      </c>
      <c r="AN214" s="139">
        <f>AN212</f>
        <v>3</v>
      </c>
      <c r="AQ214" s="142">
        <f>AM214*I214*0.1+AL214</f>
        <v>7.1059280000000005</v>
      </c>
      <c r="AR214" s="142">
        <f t="shared" si="210"/>
        <v>0.71059280000000014</v>
      </c>
      <c r="AS214" s="143">
        <f t="shared" si="211"/>
        <v>0</v>
      </c>
      <c r="AT214" s="143">
        <f t="shared" si="212"/>
        <v>1.9541302000000003</v>
      </c>
      <c r="AU214" s="142">
        <f>1333*J212*POWER(10,-6)</f>
        <v>3.1085560000000002E-3</v>
      </c>
      <c r="AV214" s="143">
        <f t="shared" si="207"/>
        <v>9.7737595560000017</v>
      </c>
      <c r="AW214" s="144">
        <f t="shared" si="213"/>
        <v>0</v>
      </c>
      <c r="AX214" s="144">
        <f t="shared" si="214"/>
        <v>0</v>
      </c>
      <c r="AY214" s="144">
        <f t="shared" si="208"/>
        <v>1.4856114525120002E-5</v>
      </c>
      <c r="AZ214" s="289">
        <f>AW214/DB!$B$23</f>
        <v>0</v>
      </c>
      <c r="BA214" s="289">
        <f>AX214/DB!$B$23</f>
        <v>0</v>
      </c>
    </row>
    <row r="215" spans="1:53" s="139" customFormat="1" x14ac:dyDescent="0.3">
      <c r="A215" s="130" t="s">
        <v>21</v>
      </c>
      <c r="B215" s="130" t="str">
        <f>B212</f>
        <v>Емкость СУГ+токси</v>
      </c>
      <c r="C215" s="13" t="s">
        <v>160</v>
      </c>
      <c r="D215" s="132" t="s">
        <v>161</v>
      </c>
      <c r="E215" s="133">
        <v>1.0000000000000001E-5</v>
      </c>
      <c r="F215" s="146">
        <f>F212</f>
        <v>2</v>
      </c>
      <c r="G215" s="130">
        <v>4.0000000000000008E-2</v>
      </c>
      <c r="H215" s="134">
        <f t="shared" si="209"/>
        <v>8.0000000000000018E-7</v>
      </c>
      <c r="I215" s="147">
        <f>0.15*I212</f>
        <v>6.9959999999999996</v>
      </c>
      <c r="J215" s="136">
        <f>I215</f>
        <v>6.9959999999999996</v>
      </c>
      <c r="K215" s="148" t="s">
        <v>126</v>
      </c>
      <c r="L215" s="149">
        <v>45390</v>
      </c>
      <c r="M215" s="139" t="str">
        <f t="shared" si="204"/>
        <v>С4</v>
      </c>
      <c r="N215" s="139" t="str">
        <f t="shared" si="205"/>
        <v>Емкость СУГ+токси</v>
      </c>
      <c r="O215" s="139" t="str">
        <f t="shared" si="206"/>
        <v>Частичное факел</v>
      </c>
      <c r="P215" s="139" t="s">
        <v>46</v>
      </c>
      <c r="Q215" s="139" t="s">
        <v>46</v>
      </c>
      <c r="R215" s="139" t="s">
        <v>46</v>
      </c>
      <c r="S215" s="139" t="s">
        <v>46</v>
      </c>
      <c r="T215" s="139" t="s">
        <v>46</v>
      </c>
      <c r="U215" s="139" t="s">
        <v>46</v>
      </c>
      <c r="V215" s="139" t="s">
        <v>46</v>
      </c>
      <c r="W215" s="139" t="s">
        <v>46</v>
      </c>
      <c r="X215" s="139" t="s">
        <v>46</v>
      </c>
      <c r="Y215" s="139">
        <v>15</v>
      </c>
      <c r="Z215" s="139">
        <v>3</v>
      </c>
      <c r="AA215" s="139" t="s">
        <v>46</v>
      </c>
      <c r="AB215" s="139" t="s">
        <v>46</v>
      </c>
      <c r="AC215" s="139" t="s">
        <v>46</v>
      </c>
      <c r="AD215" s="139" t="s">
        <v>46</v>
      </c>
      <c r="AE215" s="139" t="s">
        <v>46</v>
      </c>
      <c r="AF215" s="139" t="s">
        <v>46</v>
      </c>
      <c r="AG215" s="139" t="s">
        <v>46</v>
      </c>
      <c r="AH215" s="139" t="s">
        <v>46</v>
      </c>
      <c r="AI215" s="139" t="s">
        <v>46</v>
      </c>
      <c r="AJ215" s="139">
        <v>0</v>
      </c>
      <c r="AK215" s="139">
        <v>1</v>
      </c>
      <c r="AL215" s="139">
        <f>0.1*$AL212</f>
        <v>0.69800000000000006</v>
      </c>
      <c r="AM215" s="139">
        <f>AM213</f>
        <v>2.7E-2</v>
      </c>
      <c r="AN215" s="139">
        <f>AN212</f>
        <v>3</v>
      </c>
      <c r="AQ215" s="142">
        <f>AM215*I215*0.1+AL215</f>
        <v>0.71688920000000012</v>
      </c>
      <c r="AR215" s="142">
        <f t="shared" si="210"/>
        <v>7.1688920000000017E-2</v>
      </c>
      <c r="AS215" s="143">
        <f t="shared" si="211"/>
        <v>0.25</v>
      </c>
      <c r="AT215" s="143">
        <f t="shared" si="212"/>
        <v>0.25964453000000004</v>
      </c>
      <c r="AU215" s="142">
        <f>10068.2*J215*POWER(10,-6)</f>
        <v>7.0437127200000005E-2</v>
      </c>
      <c r="AV215" s="143">
        <f t="shared" si="207"/>
        <v>1.3686597772000002</v>
      </c>
      <c r="AW215" s="144">
        <f t="shared" si="213"/>
        <v>0</v>
      </c>
      <c r="AX215" s="144">
        <f t="shared" si="214"/>
        <v>8.0000000000000018E-7</v>
      </c>
      <c r="AY215" s="144">
        <f t="shared" si="208"/>
        <v>1.0949278217600004E-6</v>
      </c>
      <c r="AZ215" s="289">
        <f>AW215/DB!$B$23</f>
        <v>0</v>
      </c>
      <c r="BA215" s="289">
        <f>AX215/DB!$B$23</f>
        <v>9.638554216867473E-10</v>
      </c>
    </row>
    <row r="216" spans="1:53" s="139" customFormat="1" x14ac:dyDescent="0.3">
      <c r="A216" s="130" t="s">
        <v>22</v>
      </c>
      <c r="B216" s="130" t="str">
        <f>B212</f>
        <v>Емкость СУГ+токси</v>
      </c>
      <c r="C216" s="13" t="s">
        <v>191</v>
      </c>
      <c r="D216" s="132" t="s">
        <v>119</v>
      </c>
      <c r="E216" s="145">
        <f>E215</f>
        <v>1.0000000000000001E-5</v>
      </c>
      <c r="F216" s="146">
        <f>F212</f>
        <v>2</v>
      </c>
      <c r="G216" s="130">
        <v>0.16000000000000003</v>
      </c>
      <c r="H216" s="134">
        <f t="shared" si="209"/>
        <v>3.2000000000000007E-6</v>
      </c>
      <c r="I216" s="147">
        <f>0.15*I212</f>
        <v>6.9959999999999996</v>
      </c>
      <c r="J216" s="136">
        <f>J214*0.15</f>
        <v>5.3999999999999999E-2</v>
      </c>
      <c r="K216" s="148" t="s">
        <v>127</v>
      </c>
      <c r="L216" s="149">
        <v>3</v>
      </c>
      <c r="M216" s="139" t="str">
        <f t="shared" si="204"/>
        <v>С5</v>
      </c>
      <c r="N216" s="139" t="str">
        <f t="shared" si="205"/>
        <v>Емкость СУГ+токси</v>
      </c>
      <c r="O216" s="139" t="str">
        <f t="shared" si="206"/>
        <v>Частичное-токси</v>
      </c>
      <c r="P216" s="139" t="s">
        <v>46</v>
      </c>
      <c r="Q216" s="139" t="s">
        <v>46</v>
      </c>
      <c r="R216" s="139" t="s">
        <v>46</v>
      </c>
      <c r="S216" s="139" t="s">
        <v>46</v>
      </c>
      <c r="T216" s="139" t="s">
        <v>46</v>
      </c>
      <c r="U216" s="139" t="s">
        <v>46</v>
      </c>
      <c r="V216" s="139" t="s">
        <v>46</v>
      </c>
      <c r="W216" s="139" t="s">
        <v>46</v>
      </c>
      <c r="X216" s="139" t="s">
        <v>46</v>
      </c>
      <c r="Y216" s="139" t="s">
        <v>46</v>
      </c>
      <c r="Z216" s="139" t="s">
        <v>46</v>
      </c>
      <c r="AA216" s="139" t="s">
        <v>46</v>
      </c>
      <c r="AB216" s="139" t="s">
        <v>46</v>
      </c>
      <c r="AC216" s="139">
        <v>19.7</v>
      </c>
      <c r="AD216" s="139">
        <v>37.200000000000003</v>
      </c>
      <c r="AE216" s="139" t="s">
        <v>46</v>
      </c>
      <c r="AF216" s="139" t="s">
        <v>46</v>
      </c>
      <c r="AG216" s="139" t="s">
        <v>46</v>
      </c>
      <c r="AH216" s="139" t="s">
        <v>46</v>
      </c>
      <c r="AI216" s="139" t="s">
        <v>46</v>
      </c>
      <c r="AJ216" s="139">
        <v>0</v>
      </c>
      <c r="AK216" s="139">
        <v>1</v>
      </c>
      <c r="AL216" s="139">
        <f>0.1*$AL213</f>
        <v>0.69800000000000006</v>
      </c>
      <c r="AM216" s="139">
        <f>AM212</f>
        <v>2.7E-2</v>
      </c>
      <c r="AN216" s="139">
        <f>ROUNDUP(AN212/3,0)</f>
        <v>1</v>
      </c>
      <c r="AQ216" s="142">
        <f>AM216*I216+AL216</f>
        <v>0.88689200000000001</v>
      </c>
      <c r="AR216" s="142">
        <f t="shared" si="210"/>
        <v>8.868920000000001E-2</v>
      </c>
      <c r="AS216" s="143">
        <f t="shared" si="211"/>
        <v>0.25</v>
      </c>
      <c r="AT216" s="143">
        <f t="shared" si="212"/>
        <v>0.30639530000000004</v>
      </c>
      <c r="AU216" s="142">
        <f>1333*J213*POWER(10,-6)*10</f>
        <v>1.6262599999999999E-2</v>
      </c>
      <c r="AV216" s="143">
        <f t="shared" si="207"/>
        <v>1.5482391</v>
      </c>
      <c r="AW216" s="144">
        <f t="shared" si="213"/>
        <v>0</v>
      </c>
      <c r="AX216" s="144">
        <f t="shared" si="214"/>
        <v>3.2000000000000007E-6</v>
      </c>
      <c r="AY216" s="144">
        <f t="shared" si="208"/>
        <v>4.9543651200000009E-6</v>
      </c>
      <c r="AZ216" s="289">
        <f>AW216/DB!$B$23</f>
        <v>0</v>
      </c>
      <c r="BA216" s="289">
        <f>AX216/DB!$B$23</f>
        <v>3.8554216867469892E-9</v>
      </c>
    </row>
    <row r="217" spans="1:53" s="139" customFormat="1" x14ac:dyDescent="0.3">
      <c r="A217" s="130" t="s">
        <v>23</v>
      </c>
      <c r="B217" s="130" t="str">
        <f>B212</f>
        <v>Емкость СУГ+токси</v>
      </c>
      <c r="C217" s="13" t="s">
        <v>162</v>
      </c>
      <c r="D217" s="132" t="s">
        <v>161</v>
      </c>
      <c r="E217" s="145">
        <f>E216</f>
        <v>1.0000000000000001E-5</v>
      </c>
      <c r="F217" s="146">
        <v>1</v>
      </c>
      <c r="G217" s="130">
        <v>4.0000000000000008E-2</v>
      </c>
      <c r="H217" s="134">
        <f t="shared" si="209"/>
        <v>4.0000000000000009E-7</v>
      </c>
      <c r="I217" s="147">
        <f>I215*0.15</f>
        <v>1.0493999999999999</v>
      </c>
      <c r="J217" s="136">
        <f>I217*0.25</f>
        <v>0.26234999999999997</v>
      </c>
      <c r="K217" s="151" t="s">
        <v>138</v>
      </c>
      <c r="L217" s="152">
        <v>22</v>
      </c>
      <c r="M217" s="139" t="str">
        <f t="shared" si="204"/>
        <v>С6</v>
      </c>
      <c r="N217" s="139" t="str">
        <f t="shared" si="205"/>
        <v>Емкость СУГ+токси</v>
      </c>
      <c r="O217" s="139" t="str">
        <f t="shared" si="206"/>
        <v>Частичное факел</v>
      </c>
      <c r="P217" s="139" t="s">
        <v>46</v>
      </c>
      <c r="Q217" s="139" t="s">
        <v>46</v>
      </c>
      <c r="R217" s="139" t="s">
        <v>46</v>
      </c>
      <c r="S217" s="139" t="s">
        <v>46</v>
      </c>
      <c r="T217" s="139" t="s">
        <v>46</v>
      </c>
      <c r="U217" s="139" t="s">
        <v>46</v>
      </c>
      <c r="V217" s="139" t="s">
        <v>46</v>
      </c>
      <c r="W217" s="139" t="s">
        <v>46</v>
      </c>
      <c r="X217" s="139" t="s">
        <v>46</v>
      </c>
      <c r="Y217" s="139">
        <v>11</v>
      </c>
      <c r="Z217" s="139">
        <v>2</v>
      </c>
      <c r="AA217" s="139" t="s">
        <v>46</v>
      </c>
      <c r="AB217" s="139" t="s">
        <v>46</v>
      </c>
      <c r="AC217" s="139" t="s">
        <v>46</v>
      </c>
      <c r="AD217" s="139" t="s">
        <v>46</v>
      </c>
      <c r="AE217" s="139" t="s">
        <v>46</v>
      </c>
      <c r="AF217" s="139" t="s">
        <v>46</v>
      </c>
      <c r="AG217" s="139" t="s">
        <v>46</v>
      </c>
      <c r="AH217" s="139" t="s">
        <v>46</v>
      </c>
      <c r="AI217" s="139" t="s">
        <v>46</v>
      </c>
      <c r="AJ217" s="139">
        <v>0</v>
      </c>
      <c r="AK217" s="139">
        <v>1</v>
      </c>
      <c r="AL217" s="139">
        <f>0.1*$AL214</f>
        <v>0.69800000000000006</v>
      </c>
      <c r="AM217" s="139">
        <f>AM212</f>
        <v>2.7E-2</v>
      </c>
      <c r="AN217" s="139">
        <f>AN216</f>
        <v>1</v>
      </c>
      <c r="AQ217" s="142">
        <f>AM217*I217+AL217</f>
        <v>0.72633380000000003</v>
      </c>
      <c r="AR217" s="142">
        <f t="shared" si="210"/>
        <v>7.2633380000000011E-2</v>
      </c>
      <c r="AS217" s="143">
        <f t="shared" si="211"/>
        <v>0.25</v>
      </c>
      <c r="AT217" s="143">
        <f t="shared" si="212"/>
        <v>0.262241795</v>
      </c>
      <c r="AU217" s="142">
        <f>10068.2*J217*POWER(10,-6)</f>
        <v>2.6413922699999996E-3</v>
      </c>
      <c r="AV217" s="143">
        <f t="shared" si="207"/>
        <v>1.3138503672699999</v>
      </c>
      <c r="AW217" s="144">
        <f t="shared" si="213"/>
        <v>0</v>
      </c>
      <c r="AX217" s="144">
        <f t="shared" si="214"/>
        <v>4.0000000000000009E-7</v>
      </c>
      <c r="AY217" s="144">
        <f t="shared" si="208"/>
        <v>5.2554014690800008E-7</v>
      </c>
      <c r="AZ217" s="289">
        <f>AW217/DB!$B$23</f>
        <v>0</v>
      </c>
      <c r="BA217" s="289">
        <f>AX217/DB!$B$23</f>
        <v>4.8192771084337365E-10</v>
      </c>
    </row>
    <row r="218" spans="1:53" s="139" customFormat="1" x14ac:dyDescent="0.3">
      <c r="A218" s="130" t="s">
        <v>157</v>
      </c>
      <c r="B218" s="130" t="str">
        <f>B212</f>
        <v>Емкость СУГ+токси</v>
      </c>
      <c r="C218" s="13" t="s">
        <v>163</v>
      </c>
      <c r="D218" s="132" t="s">
        <v>112</v>
      </c>
      <c r="E218" s="145">
        <f>E216</f>
        <v>1.0000000000000001E-5</v>
      </c>
      <c r="F218" s="146">
        <f>F212</f>
        <v>2</v>
      </c>
      <c r="G218" s="130">
        <v>0.15200000000000002</v>
      </c>
      <c r="H218" s="134">
        <f t="shared" si="209"/>
        <v>3.0400000000000005E-6</v>
      </c>
      <c r="I218" s="147">
        <f>I215*0.15</f>
        <v>1.0493999999999999</v>
      </c>
      <c r="J218" s="136">
        <f>J217</f>
        <v>0.26234999999999997</v>
      </c>
      <c r="K218" s="148"/>
      <c r="L218" s="149"/>
      <c r="M218" s="139" t="str">
        <f t="shared" si="204"/>
        <v>С7</v>
      </c>
      <c r="N218" s="139" t="str">
        <f t="shared" si="205"/>
        <v>Емкость СУГ+токси</v>
      </c>
      <c r="O218" s="139" t="str">
        <f t="shared" si="206"/>
        <v>Частичное-пожар-вспышка</v>
      </c>
      <c r="P218" s="139" t="s">
        <v>46</v>
      </c>
      <c r="Q218" s="139" t="s">
        <v>46</v>
      </c>
      <c r="R218" s="139" t="s">
        <v>46</v>
      </c>
      <c r="S218" s="139" t="s">
        <v>46</v>
      </c>
      <c r="T218" s="139" t="s">
        <v>46</v>
      </c>
      <c r="U218" s="139" t="s">
        <v>46</v>
      </c>
      <c r="V218" s="139" t="s">
        <v>46</v>
      </c>
      <c r="W218" s="139" t="s">
        <v>46</v>
      </c>
      <c r="X218" s="139" t="s">
        <v>46</v>
      </c>
      <c r="Y218" s="139" t="s">
        <v>46</v>
      </c>
      <c r="Z218" s="139" t="s">
        <v>46</v>
      </c>
      <c r="AA218" s="139">
        <v>21.55</v>
      </c>
      <c r="AB218" s="139">
        <v>25.86</v>
      </c>
      <c r="AC218" s="139" t="s">
        <v>46</v>
      </c>
      <c r="AD218" s="139" t="s">
        <v>46</v>
      </c>
      <c r="AE218" s="139" t="s">
        <v>46</v>
      </c>
      <c r="AF218" s="139" t="s">
        <v>46</v>
      </c>
      <c r="AG218" s="139" t="s">
        <v>46</v>
      </c>
      <c r="AH218" s="139" t="s">
        <v>46</v>
      </c>
      <c r="AI218" s="139" t="s">
        <v>46</v>
      </c>
      <c r="AJ218" s="139">
        <v>0</v>
      </c>
      <c r="AK218" s="139">
        <v>1</v>
      </c>
      <c r="AL218" s="139">
        <f>0.1*$AL215</f>
        <v>6.9800000000000015E-2</v>
      </c>
      <c r="AM218" s="139">
        <f>AM212</f>
        <v>2.7E-2</v>
      </c>
      <c r="AN218" s="139">
        <f>ROUNDUP(AN212/3,0)</f>
        <v>1</v>
      </c>
      <c r="AQ218" s="142">
        <f>AM218*I218+AL218</f>
        <v>9.8133800000000007E-2</v>
      </c>
      <c r="AR218" s="142">
        <f t="shared" si="210"/>
        <v>9.8133800000000018E-3</v>
      </c>
      <c r="AS218" s="143">
        <f t="shared" si="211"/>
        <v>0.25</v>
      </c>
      <c r="AT218" s="143">
        <f t="shared" si="212"/>
        <v>8.9486795000000008E-2</v>
      </c>
      <c r="AU218" s="142">
        <f>10068.2*J218*POWER(10,-6)</f>
        <v>2.6413922699999996E-3</v>
      </c>
      <c r="AV218" s="143">
        <f t="shared" si="207"/>
        <v>0.45007536726999997</v>
      </c>
      <c r="AW218" s="144">
        <f t="shared" si="213"/>
        <v>0</v>
      </c>
      <c r="AX218" s="144">
        <f t="shared" si="214"/>
        <v>3.0400000000000005E-6</v>
      </c>
      <c r="AY218" s="144">
        <f t="shared" si="208"/>
        <v>1.3682291165008002E-6</v>
      </c>
      <c r="AZ218" s="289">
        <f>AW218/DB!$B$23</f>
        <v>0</v>
      </c>
      <c r="BA218" s="289">
        <f>AX218/DB!$B$23</f>
        <v>3.6626506024096393E-9</v>
      </c>
    </row>
    <row r="219" spans="1:53" s="139" customFormat="1" ht="15" thickBot="1" x14ac:dyDescent="0.35">
      <c r="A219" s="130" t="s">
        <v>158</v>
      </c>
      <c r="B219" s="130" t="str">
        <f>B212</f>
        <v>Емкость СУГ+токси</v>
      </c>
      <c r="C219" s="13" t="s">
        <v>165</v>
      </c>
      <c r="D219" s="132" t="s">
        <v>119</v>
      </c>
      <c r="E219" s="145">
        <f>E216</f>
        <v>1.0000000000000001E-5</v>
      </c>
      <c r="F219" s="146">
        <f>F212</f>
        <v>2</v>
      </c>
      <c r="G219" s="130">
        <v>0.6080000000000001</v>
      </c>
      <c r="H219" s="134">
        <f t="shared" si="209"/>
        <v>1.2160000000000002E-5</v>
      </c>
      <c r="I219" s="147">
        <f>I215*0.15</f>
        <v>1.0493999999999999</v>
      </c>
      <c r="J219" s="136">
        <f>0.15*J217</f>
        <v>3.9352499999999992E-2</v>
      </c>
      <c r="K219" s="153"/>
      <c r="L219" s="154"/>
      <c r="M219" s="139" t="str">
        <f t="shared" si="204"/>
        <v>С8</v>
      </c>
      <c r="N219" s="139" t="str">
        <f t="shared" si="205"/>
        <v>Емкость СУГ+токси</v>
      </c>
      <c r="O219" s="139" t="str">
        <f t="shared" si="206"/>
        <v>Частичное-токси</v>
      </c>
      <c r="P219" s="139" t="s">
        <v>46</v>
      </c>
      <c r="Q219" s="139" t="s">
        <v>46</v>
      </c>
      <c r="R219" s="139" t="s">
        <v>46</v>
      </c>
      <c r="S219" s="139" t="s">
        <v>46</v>
      </c>
      <c r="T219" s="139" t="s">
        <v>46</v>
      </c>
      <c r="U219" s="139" t="s">
        <v>46</v>
      </c>
      <c r="V219" s="139" t="s">
        <v>46</v>
      </c>
      <c r="W219" s="139" t="s">
        <v>46</v>
      </c>
      <c r="X219" s="139" t="s">
        <v>46</v>
      </c>
      <c r="Y219" s="139" t="s">
        <v>46</v>
      </c>
      <c r="Z219" s="139" t="s">
        <v>46</v>
      </c>
      <c r="AA219" s="139" t="s">
        <v>46</v>
      </c>
      <c r="AB219" s="139" t="s">
        <v>46</v>
      </c>
      <c r="AC219" s="139">
        <v>14.4</v>
      </c>
      <c r="AD219" s="139">
        <v>27.1</v>
      </c>
      <c r="AE219" s="139" t="s">
        <v>46</v>
      </c>
      <c r="AF219" s="139" t="s">
        <v>46</v>
      </c>
      <c r="AG219" s="139" t="s">
        <v>46</v>
      </c>
      <c r="AH219" s="139" t="s">
        <v>46</v>
      </c>
      <c r="AI219" s="139" t="s">
        <v>46</v>
      </c>
      <c r="AJ219" s="139">
        <v>0</v>
      </c>
      <c r="AK219" s="139">
        <v>0</v>
      </c>
      <c r="AL219" s="139">
        <f>0.1*$AL216</f>
        <v>6.9800000000000015E-2</v>
      </c>
      <c r="AM219" s="139">
        <f>AM212</f>
        <v>2.7E-2</v>
      </c>
      <c r="AN219" s="139">
        <f>ROUNDUP(AN212/3,0)</f>
        <v>1</v>
      </c>
      <c r="AQ219" s="142">
        <f>AM219*I219*0.1+AL219</f>
        <v>7.2633380000000011E-2</v>
      </c>
      <c r="AR219" s="142">
        <f t="shared" si="210"/>
        <v>7.2633380000000011E-3</v>
      </c>
      <c r="AS219" s="143">
        <f t="shared" si="211"/>
        <v>0</v>
      </c>
      <c r="AT219" s="143">
        <f t="shared" si="212"/>
        <v>1.9974179500000001E-2</v>
      </c>
      <c r="AU219" s="142">
        <f>1333*J217*POWER(10,-6)</f>
        <v>3.4971254999999993E-4</v>
      </c>
      <c r="AV219" s="143">
        <f t="shared" si="207"/>
        <v>0.10022061005000002</v>
      </c>
      <c r="AW219" s="144">
        <f t="shared" si="213"/>
        <v>0</v>
      </c>
      <c r="AX219" s="144">
        <f t="shared" si="214"/>
        <v>0</v>
      </c>
      <c r="AY219" s="144">
        <f t="shared" si="208"/>
        <v>1.2186826182080005E-6</v>
      </c>
      <c r="AZ219" s="289">
        <f>AW219/DB!$B$23</f>
        <v>0</v>
      </c>
      <c r="BA219" s="289">
        <f>AX219/DB!$B$23</f>
        <v>0</v>
      </c>
    </row>
    <row r="220" spans="1:53" s="139" customFormat="1" x14ac:dyDescent="0.3">
      <c r="A220" s="193" t="s">
        <v>187</v>
      </c>
      <c r="B220" s="193" t="str">
        <f>B212</f>
        <v>Емкость СУГ+токси</v>
      </c>
      <c r="C220" s="193" t="s">
        <v>248</v>
      </c>
      <c r="D220" s="193" t="s">
        <v>249</v>
      </c>
      <c r="E220" s="194">
        <v>2.5000000000000001E-5</v>
      </c>
      <c r="F220" s="146">
        <f>F213</f>
        <v>2</v>
      </c>
      <c r="G220" s="193">
        <v>1</v>
      </c>
      <c r="H220" s="195">
        <f t="shared" si="209"/>
        <v>5.0000000000000002E-5</v>
      </c>
      <c r="I220" s="196">
        <f>I212</f>
        <v>46.64</v>
      </c>
      <c r="J220" s="196">
        <f>I220*0.07</f>
        <v>3.2648000000000001</v>
      </c>
      <c r="K220" s="193"/>
      <c r="L220" s="193"/>
      <c r="M220" s="197" t="str">
        <f t="shared" si="204"/>
        <v>С9</v>
      </c>
      <c r="N220" s="197"/>
      <c r="O220" s="197"/>
      <c r="P220" s="197">
        <v>30.2</v>
      </c>
      <c r="Q220" s="197">
        <v>41.6</v>
      </c>
      <c r="R220" s="197">
        <v>59.6</v>
      </c>
      <c r="S220" s="197">
        <v>110.1</v>
      </c>
      <c r="T220" s="197"/>
      <c r="U220" s="197"/>
      <c r="V220" s="197"/>
      <c r="W220" s="197"/>
      <c r="X220" s="197"/>
      <c r="Y220" s="197"/>
      <c r="Z220" s="197"/>
      <c r="AA220" s="197"/>
      <c r="AB220" s="197"/>
      <c r="AC220" s="197"/>
      <c r="AD220" s="197"/>
      <c r="AE220" s="197">
        <v>43</v>
      </c>
      <c r="AF220" s="197">
        <v>75</v>
      </c>
      <c r="AG220" s="197">
        <v>93.5</v>
      </c>
      <c r="AH220" s="197">
        <v>125</v>
      </c>
      <c r="AI220" s="197"/>
      <c r="AJ220" s="197">
        <v>1</v>
      </c>
      <c r="AK220" s="197">
        <v>2</v>
      </c>
      <c r="AL220" s="197">
        <f>AL212</f>
        <v>6.98</v>
      </c>
      <c r="AM220" s="197">
        <f>AM212</f>
        <v>2.7E-2</v>
      </c>
      <c r="AN220" s="197">
        <v>5</v>
      </c>
      <c r="AO220" s="197"/>
      <c r="AP220" s="197"/>
      <c r="AQ220" s="198">
        <f>AM220*I220+AL220</f>
        <v>8.2392800000000008</v>
      </c>
      <c r="AR220" s="198">
        <f>0.1*AQ220</f>
        <v>0.8239280000000001</v>
      </c>
      <c r="AS220" s="199">
        <f>AJ220*3+0.25*AK220</f>
        <v>3.5</v>
      </c>
      <c r="AT220" s="199">
        <f>SUM(AQ220:AS220)/4</f>
        <v>3.1408020000000003</v>
      </c>
      <c r="AU220" s="198">
        <f>10068.2*J220*POWER(10,-6)</f>
        <v>3.2870659360000005E-2</v>
      </c>
      <c r="AV220" s="199">
        <f t="shared" si="207"/>
        <v>15.736880659360001</v>
      </c>
      <c r="AW220" s="200">
        <f>AJ220*H220</f>
        <v>5.0000000000000002E-5</v>
      </c>
      <c r="AX220" s="200">
        <f>H220*AK220</f>
        <v>1E-4</v>
      </c>
      <c r="AY220" s="200">
        <f t="shared" si="208"/>
        <v>7.8684403296800005E-4</v>
      </c>
      <c r="AZ220" s="289">
        <f>AW220/DB!$B$23</f>
        <v>6.0240963855421685E-8</v>
      </c>
      <c r="BA220" s="289">
        <f>AX220/DB!$B$23</f>
        <v>1.2048192771084337E-7</v>
      </c>
    </row>
    <row r="221" spans="1:53" ht="15" thickBot="1" x14ac:dyDescent="0.35"/>
    <row r="222" spans="1:53" ht="15" thickBot="1" x14ac:dyDescent="0.35">
      <c r="A222" s="8" t="s">
        <v>18</v>
      </c>
      <c r="B222" s="62" t="s">
        <v>250</v>
      </c>
      <c r="C222" s="78" t="s">
        <v>251</v>
      </c>
      <c r="D222" s="9" t="s">
        <v>253</v>
      </c>
      <c r="E222" s="65">
        <v>1.0000000000000001E-5</v>
      </c>
      <c r="F222" s="62">
        <v>1</v>
      </c>
      <c r="G222" s="8">
        <v>0.2</v>
      </c>
      <c r="H222" s="10">
        <f t="shared" ref="H222:H227" si="215">E222*F222*G222</f>
        <v>2.0000000000000003E-6</v>
      </c>
      <c r="I222" s="63">
        <v>8.75</v>
      </c>
      <c r="J222" s="61">
        <f>I222</f>
        <v>8.75</v>
      </c>
      <c r="K222" s="71" t="s">
        <v>122</v>
      </c>
      <c r="L222" s="76">
        <v>300</v>
      </c>
      <c r="M222" s="31" t="str">
        <f t="shared" ref="M222:M227" si="216">A222</f>
        <v>С1</v>
      </c>
      <c r="N222" s="31" t="str">
        <f t="shared" ref="N222:N227" si="217">B222</f>
        <v>Трубопровод Сера</v>
      </c>
      <c r="O222" s="31" t="str">
        <f t="shared" ref="O222:O227" si="218">D222</f>
        <v>Полное-пожар+токси</v>
      </c>
      <c r="P222" s="31">
        <v>17.100000000000001</v>
      </c>
      <c r="Q222" s="31">
        <v>23.5</v>
      </c>
      <c r="R222" s="31">
        <v>33.1</v>
      </c>
      <c r="S222" s="31">
        <v>61.2</v>
      </c>
      <c r="T222" s="31" t="s">
        <v>46</v>
      </c>
      <c r="U222" s="31" t="s">
        <v>46</v>
      </c>
      <c r="V222" s="31" t="s">
        <v>46</v>
      </c>
      <c r="W222" s="31" t="s">
        <v>46</v>
      </c>
      <c r="X222" s="31" t="s">
        <v>46</v>
      </c>
      <c r="Y222" s="31" t="s">
        <v>46</v>
      </c>
      <c r="Z222" s="31" t="s">
        <v>46</v>
      </c>
      <c r="AA222" s="31" t="s">
        <v>46</v>
      </c>
      <c r="AB222" s="31" t="s">
        <v>46</v>
      </c>
      <c r="AC222" s="31">
        <v>31.9</v>
      </c>
      <c r="AD222" s="31">
        <v>60.3</v>
      </c>
      <c r="AE222" s="31" t="s">
        <v>46</v>
      </c>
      <c r="AF222" s="31" t="s">
        <v>46</v>
      </c>
      <c r="AG222" s="31" t="s">
        <v>46</v>
      </c>
      <c r="AH222" s="31" t="s">
        <v>46</v>
      </c>
      <c r="AI222" s="31" t="s">
        <v>46</v>
      </c>
      <c r="AJ222" s="12">
        <v>1</v>
      </c>
      <c r="AK222" s="12">
        <v>2</v>
      </c>
      <c r="AL222" s="64">
        <v>0.75</v>
      </c>
      <c r="AM222" s="64">
        <v>2.7E-2</v>
      </c>
      <c r="AN222" s="64">
        <v>3</v>
      </c>
      <c r="AO222" s="31"/>
      <c r="AP222" s="31"/>
      <c r="AQ222" s="32">
        <f>AM222*I222+AL222</f>
        <v>0.98624999999999996</v>
      </c>
      <c r="AR222" s="32">
        <f t="shared" ref="AR222:AR227" si="219">0.1*AQ222</f>
        <v>9.8625000000000004E-2</v>
      </c>
      <c r="AS222" s="33">
        <f t="shared" ref="AS222:AS227" si="220">AJ222*3+0.25*AK222</f>
        <v>3.5</v>
      </c>
      <c r="AT222" s="33">
        <f t="shared" ref="AT222:AT227" si="221">SUM(AQ222:AS222)/4</f>
        <v>1.1462187500000001</v>
      </c>
      <c r="AU222" s="32">
        <f>10068.2*J222*POWER(10,-6)</f>
        <v>8.8096750000000001E-2</v>
      </c>
      <c r="AV222" s="33">
        <f t="shared" ref="AV222:AV227" si="222">AU222+AT222+AS222+AR222+AQ222</f>
        <v>5.8191905000000004</v>
      </c>
      <c r="AW222" s="34">
        <f t="shared" ref="AW222:AW227" si="223">AJ222*H222</f>
        <v>2.0000000000000003E-6</v>
      </c>
      <c r="AX222" s="34">
        <f t="shared" ref="AX222:AX227" si="224">H222*AK222</f>
        <v>4.0000000000000007E-6</v>
      </c>
      <c r="AY222" s="34">
        <f t="shared" ref="AY222:AY227" si="225">H222*AV222</f>
        <v>1.1638381000000003E-5</v>
      </c>
      <c r="AZ222" s="289">
        <f>AW222/DB!$B$23</f>
        <v>2.4096385542168678E-9</v>
      </c>
      <c r="BA222" s="289">
        <f>AX222/DB!$B$23</f>
        <v>4.8192771084337357E-9</v>
      </c>
    </row>
    <row r="223" spans="1:53" ht="15" thickBot="1" x14ac:dyDescent="0.35">
      <c r="A223" s="8" t="s">
        <v>19</v>
      </c>
      <c r="B223" s="8" t="str">
        <f>B222</f>
        <v>Трубопровод Сера</v>
      </c>
      <c r="C223" s="78" t="s">
        <v>252</v>
      </c>
      <c r="D223" s="9" t="s">
        <v>253</v>
      </c>
      <c r="E223" s="66">
        <f>E222</f>
        <v>1.0000000000000001E-5</v>
      </c>
      <c r="F223" s="67">
        <f>F222</f>
        <v>1</v>
      </c>
      <c r="G223" s="8">
        <v>0.04</v>
      </c>
      <c r="H223" s="10">
        <f t="shared" si="215"/>
        <v>4.0000000000000003E-7</v>
      </c>
      <c r="I223" s="61">
        <f>I222</f>
        <v>8.75</v>
      </c>
      <c r="J223" s="61">
        <f>I222</f>
        <v>8.75</v>
      </c>
      <c r="K223" s="71" t="s">
        <v>123</v>
      </c>
      <c r="L223" s="76">
        <v>0</v>
      </c>
      <c r="M223" s="31" t="str">
        <f t="shared" si="216"/>
        <v>С2</v>
      </c>
      <c r="N223" s="31" t="str">
        <f t="shared" si="217"/>
        <v>Трубопровод Сера</v>
      </c>
      <c r="O223" s="31" t="str">
        <f t="shared" si="218"/>
        <v>Полное-пожар+токси</v>
      </c>
      <c r="P223" s="31">
        <v>17.100000000000001</v>
      </c>
      <c r="Q223" s="31">
        <v>23.5</v>
      </c>
      <c r="R223" s="31">
        <v>33.1</v>
      </c>
      <c r="S223" s="31">
        <v>61.2</v>
      </c>
      <c r="T223" s="31" t="s">
        <v>46</v>
      </c>
      <c r="U223" s="31" t="s">
        <v>46</v>
      </c>
      <c r="V223" s="31" t="s">
        <v>46</v>
      </c>
      <c r="W223" s="31" t="s">
        <v>46</v>
      </c>
      <c r="X223" s="31" t="s">
        <v>46</v>
      </c>
      <c r="Y223" s="31" t="s">
        <v>46</v>
      </c>
      <c r="Z223" s="31" t="s">
        <v>46</v>
      </c>
      <c r="AA223" s="31" t="s">
        <v>46</v>
      </c>
      <c r="AB223" s="31" t="s">
        <v>46</v>
      </c>
      <c r="AC223" s="31">
        <v>31.9</v>
      </c>
      <c r="AD223" s="31">
        <v>60.3</v>
      </c>
      <c r="AE223" s="31" t="s">
        <v>46</v>
      </c>
      <c r="AF223" s="31" t="s">
        <v>46</v>
      </c>
      <c r="AG223" s="31" t="s">
        <v>46</v>
      </c>
      <c r="AH223" s="31" t="s">
        <v>46</v>
      </c>
      <c r="AI223" s="31" t="s">
        <v>46</v>
      </c>
      <c r="AJ223" s="12">
        <v>2</v>
      </c>
      <c r="AK223" s="12">
        <v>2</v>
      </c>
      <c r="AL223" s="31">
        <f>AL222</f>
        <v>0.75</v>
      </c>
      <c r="AM223" s="31">
        <f>AM222</f>
        <v>2.7E-2</v>
      </c>
      <c r="AN223" s="31">
        <f>AN222</f>
        <v>3</v>
      </c>
      <c r="AO223" s="31"/>
      <c r="AP223" s="31"/>
      <c r="AQ223" s="32">
        <f>AM223*I223+AL223</f>
        <v>0.98624999999999996</v>
      </c>
      <c r="AR223" s="32">
        <f t="shared" si="219"/>
        <v>9.8625000000000004E-2</v>
      </c>
      <c r="AS223" s="33">
        <f t="shared" si="220"/>
        <v>6.5</v>
      </c>
      <c r="AT223" s="33">
        <f t="shared" si="221"/>
        <v>1.8962187500000001</v>
      </c>
      <c r="AU223" s="32">
        <f>10068.2*J223*POWER(10,-6)*10</f>
        <v>0.88096750000000001</v>
      </c>
      <c r="AV223" s="33">
        <f t="shared" si="222"/>
        <v>10.36206125</v>
      </c>
      <c r="AW223" s="34">
        <f t="shared" si="223"/>
        <v>8.0000000000000007E-7</v>
      </c>
      <c r="AX223" s="34">
        <f t="shared" si="224"/>
        <v>8.0000000000000007E-7</v>
      </c>
      <c r="AY223" s="34">
        <f t="shared" si="225"/>
        <v>4.1448245E-6</v>
      </c>
      <c r="AZ223" s="289">
        <f>AW223/DB!$B$23</f>
        <v>9.6385542168674709E-10</v>
      </c>
      <c r="BA223" s="289">
        <f>AX223/DB!$B$23</f>
        <v>9.6385542168674709E-10</v>
      </c>
    </row>
    <row r="224" spans="1:53" x14ac:dyDescent="0.3">
      <c r="A224" s="8" t="s">
        <v>20</v>
      </c>
      <c r="B224" s="8" t="str">
        <f>B222</f>
        <v>Трубопровод Сера</v>
      </c>
      <c r="C224" s="78" t="s">
        <v>108</v>
      </c>
      <c r="D224" s="9" t="s">
        <v>26</v>
      </c>
      <c r="E224" s="66">
        <f>E222</f>
        <v>1.0000000000000001E-5</v>
      </c>
      <c r="F224" s="67">
        <f>F222</f>
        <v>1</v>
      </c>
      <c r="G224" s="8">
        <v>0.76</v>
      </c>
      <c r="H224" s="10">
        <f t="shared" si="215"/>
        <v>7.6000000000000009E-6</v>
      </c>
      <c r="I224" s="61">
        <f>I222</f>
        <v>8.75</v>
      </c>
      <c r="J224" s="8">
        <v>0</v>
      </c>
      <c r="K224" s="71" t="s">
        <v>124</v>
      </c>
      <c r="L224" s="76">
        <v>0</v>
      </c>
      <c r="M224" s="31" t="str">
        <f t="shared" si="216"/>
        <v>С3</v>
      </c>
      <c r="N224" s="31" t="str">
        <f t="shared" si="217"/>
        <v>Трубопровод Сера</v>
      </c>
      <c r="O224" s="31" t="str">
        <f t="shared" si="218"/>
        <v>Полное-ликвидация</v>
      </c>
      <c r="P224" s="31" t="s">
        <v>46</v>
      </c>
      <c r="Q224" s="31" t="s">
        <v>46</v>
      </c>
      <c r="R224" s="31" t="s">
        <v>46</v>
      </c>
      <c r="S224" s="31" t="s">
        <v>46</v>
      </c>
      <c r="T224" s="31" t="s">
        <v>46</v>
      </c>
      <c r="U224" s="31" t="s">
        <v>46</v>
      </c>
      <c r="V224" s="31" t="s">
        <v>46</v>
      </c>
      <c r="W224" s="31" t="s">
        <v>46</v>
      </c>
      <c r="X224" s="31" t="s">
        <v>46</v>
      </c>
      <c r="Y224" s="31" t="s">
        <v>46</v>
      </c>
      <c r="Z224" s="31" t="s">
        <v>46</v>
      </c>
      <c r="AA224" s="31" t="s">
        <v>46</v>
      </c>
      <c r="AB224" s="31" t="s">
        <v>46</v>
      </c>
      <c r="AC224" s="31" t="s">
        <v>46</v>
      </c>
      <c r="AD224" s="31" t="s">
        <v>46</v>
      </c>
      <c r="AE224" s="31" t="s">
        <v>46</v>
      </c>
      <c r="AF224" s="31" t="s">
        <v>46</v>
      </c>
      <c r="AG224" s="31" t="s">
        <v>46</v>
      </c>
      <c r="AH224" s="31" t="s">
        <v>46</v>
      </c>
      <c r="AI224" s="31" t="s">
        <v>46</v>
      </c>
      <c r="AJ224" s="31">
        <v>0</v>
      </c>
      <c r="AK224" s="31">
        <v>0</v>
      </c>
      <c r="AL224" s="31">
        <f>AL222</f>
        <v>0.75</v>
      </c>
      <c r="AM224" s="31">
        <f>AM222</f>
        <v>2.7E-2</v>
      </c>
      <c r="AN224" s="31">
        <f>AN222</f>
        <v>3</v>
      </c>
      <c r="AO224" s="31"/>
      <c r="AP224" s="31"/>
      <c r="AQ224" s="32">
        <f>AM224*I224*0.1+AL224</f>
        <v>0.77362500000000001</v>
      </c>
      <c r="AR224" s="32">
        <f t="shared" si="219"/>
        <v>7.7362500000000001E-2</v>
      </c>
      <c r="AS224" s="33">
        <f t="shared" si="220"/>
        <v>0</v>
      </c>
      <c r="AT224" s="33">
        <f t="shared" si="221"/>
        <v>0.212746875</v>
      </c>
      <c r="AU224" s="32">
        <f>1333*J223*POWER(10,-6)</f>
        <v>1.1663749999999999E-2</v>
      </c>
      <c r="AV224" s="33">
        <f t="shared" si="222"/>
        <v>1.075398125</v>
      </c>
      <c r="AW224" s="34">
        <f t="shared" si="223"/>
        <v>0</v>
      </c>
      <c r="AX224" s="34">
        <f t="shared" si="224"/>
        <v>0</v>
      </c>
      <c r="AY224" s="34">
        <f t="shared" si="225"/>
        <v>8.1730257500000016E-6</v>
      </c>
      <c r="AZ224" s="289">
        <f>AW224/DB!$B$23</f>
        <v>0</v>
      </c>
      <c r="BA224" s="289">
        <f>AX224/DB!$B$23</f>
        <v>0</v>
      </c>
    </row>
    <row r="225" spans="1:53" x14ac:dyDescent="0.3">
      <c r="A225" s="8" t="s">
        <v>21</v>
      </c>
      <c r="B225" s="8" t="str">
        <f>B222</f>
        <v>Трубопровод Сера</v>
      </c>
      <c r="C225" s="78" t="s">
        <v>254</v>
      </c>
      <c r="D225" s="9" t="s">
        <v>253</v>
      </c>
      <c r="E225" s="65">
        <v>1E-4</v>
      </c>
      <c r="F225" s="67">
        <f>F222</f>
        <v>1</v>
      </c>
      <c r="G225" s="8">
        <v>0.2</v>
      </c>
      <c r="H225" s="10">
        <f t="shared" si="215"/>
        <v>2.0000000000000002E-5</v>
      </c>
      <c r="I225" s="61">
        <f>0.15*I222</f>
        <v>1.3125</v>
      </c>
      <c r="J225" s="61">
        <f>I225</f>
        <v>1.3125</v>
      </c>
      <c r="K225" s="73" t="s">
        <v>126</v>
      </c>
      <c r="L225" s="77">
        <v>0</v>
      </c>
      <c r="M225" s="31" t="str">
        <f t="shared" si="216"/>
        <v>С4</v>
      </c>
      <c r="N225" s="31" t="str">
        <f t="shared" si="217"/>
        <v>Трубопровод Сера</v>
      </c>
      <c r="O225" s="31" t="str">
        <f t="shared" si="218"/>
        <v>Полное-пожар+токси</v>
      </c>
      <c r="P225" s="31">
        <v>12.8</v>
      </c>
      <c r="Q225" s="31">
        <v>16.399999999999999</v>
      </c>
      <c r="R225" s="31">
        <v>21.7</v>
      </c>
      <c r="S225" s="31">
        <v>37.299999999999997</v>
      </c>
      <c r="T225" s="31" t="s">
        <v>46</v>
      </c>
      <c r="U225" s="31" t="s">
        <v>46</v>
      </c>
      <c r="V225" s="31" t="s">
        <v>46</v>
      </c>
      <c r="W225" s="31" t="s">
        <v>46</v>
      </c>
      <c r="X225" s="31" t="s">
        <v>46</v>
      </c>
      <c r="Y225" s="31" t="s">
        <v>46</v>
      </c>
      <c r="Z225" s="31" t="s">
        <v>46</v>
      </c>
      <c r="AA225" s="31" t="s">
        <v>46</v>
      </c>
      <c r="AB225" s="31" t="s">
        <v>46</v>
      </c>
      <c r="AC225" s="31">
        <v>4.8</v>
      </c>
      <c r="AD225" s="31">
        <v>9</v>
      </c>
      <c r="AE225" s="31" t="s">
        <v>46</v>
      </c>
      <c r="AF225" s="31" t="s">
        <v>46</v>
      </c>
      <c r="AG225" s="31" t="s">
        <v>46</v>
      </c>
      <c r="AH225" s="31" t="s">
        <v>46</v>
      </c>
      <c r="AI225" s="31" t="s">
        <v>46</v>
      </c>
      <c r="AJ225" s="31">
        <v>0</v>
      </c>
      <c r="AK225" s="31">
        <v>2</v>
      </c>
      <c r="AL225" s="31">
        <f>0.1*$AL$2</f>
        <v>7.5000000000000011E-2</v>
      </c>
      <c r="AM225" s="31">
        <f>AM222</f>
        <v>2.7E-2</v>
      </c>
      <c r="AN225" s="31">
        <f>ROUNDUP(AN222/3,0)</f>
        <v>1</v>
      </c>
      <c r="AO225" s="31"/>
      <c r="AP225" s="31"/>
      <c r="AQ225" s="32">
        <f>AM225*I225+AL225</f>
        <v>0.11043750000000001</v>
      </c>
      <c r="AR225" s="32">
        <f t="shared" si="219"/>
        <v>1.1043750000000001E-2</v>
      </c>
      <c r="AS225" s="33">
        <f t="shared" si="220"/>
        <v>0.5</v>
      </c>
      <c r="AT225" s="33">
        <f t="shared" si="221"/>
        <v>0.1553703125</v>
      </c>
      <c r="AU225" s="32">
        <f>10068.2*J225*POWER(10,-6)</f>
        <v>1.3214512500000001E-2</v>
      </c>
      <c r="AV225" s="33">
        <f t="shared" si="222"/>
        <v>0.79006607499999992</v>
      </c>
      <c r="AW225" s="34">
        <f t="shared" si="223"/>
        <v>0</v>
      </c>
      <c r="AX225" s="34">
        <f t="shared" si="224"/>
        <v>4.0000000000000003E-5</v>
      </c>
      <c r="AY225" s="34">
        <f t="shared" si="225"/>
        <v>1.5801321499999999E-5</v>
      </c>
      <c r="AZ225" s="289">
        <f>AW225/DB!$B$23</f>
        <v>0</v>
      </c>
      <c r="BA225" s="289">
        <f>AX225/DB!$B$23</f>
        <v>4.8192771084337353E-8</v>
      </c>
    </row>
    <row r="226" spans="1:53" x14ac:dyDescent="0.3">
      <c r="A226" s="8" t="s">
        <v>22</v>
      </c>
      <c r="B226" s="8" t="str">
        <f>B222</f>
        <v>Трубопровод Сера</v>
      </c>
      <c r="C226" s="78" t="s">
        <v>255</v>
      </c>
      <c r="D226" s="9" t="s">
        <v>253</v>
      </c>
      <c r="E226" s="66">
        <f>E225</f>
        <v>1E-4</v>
      </c>
      <c r="F226" s="67">
        <f>F222</f>
        <v>1</v>
      </c>
      <c r="G226" s="8">
        <v>0.04</v>
      </c>
      <c r="H226" s="10">
        <f t="shared" si="215"/>
        <v>4.0000000000000007E-6</v>
      </c>
      <c r="I226" s="61">
        <f>0.15*I222</f>
        <v>1.3125</v>
      </c>
      <c r="J226" s="61">
        <f>I225</f>
        <v>1.3125</v>
      </c>
      <c r="K226" s="73" t="s">
        <v>127</v>
      </c>
      <c r="L226" s="77">
        <v>0</v>
      </c>
      <c r="M226" s="31" t="str">
        <f t="shared" si="216"/>
        <v>С5</v>
      </c>
      <c r="N226" s="31" t="str">
        <f t="shared" si="217"/>
        <v>Трубопровод Сера</v>
      </c>
      <c r="O226" s="31" t="str">
        <f t="shared" si="218"/>
        <v>Полное-пожар+токси</v>
      </c>
      <c r="P226" s="31">
        <v>12.8</v>
      </c>
      <c r="Q226" s="31">
        <v>16.399999999999999</v>
      </c>
      <c r="R226" s="31">
        <v>21.7</v>
      </c>
      <c r="S226" s="31">
        <v>37.299999999999997</v>
      </c>
      <c r="T226" s="31" t="s">
        <v>46</v>
      </c>
      <c r="U226" s="31" t="s">
        <v>46</v>
      </c>
      <c r="V226" s="31" t="s">
        <v>46</v>
      </c>
      <c r="W226" s="31" t="s">
        <v>46</v>
      </c>
      <c r="X226" s="31" t="s">
        <v>46</v>
      </c>
      <c r="Y226" s="31" t="s">
        <v>46</v>
      </c>
      <c r="Z226" s="31" t="s">
        <v>46</v>
      </c>
      <c r="AA226" s="31" t="s">
        <v>46</v>
      </c>
      <c r="AB226" s="31" t="s">
        <v>46</v>
      </c>
      <c r="AC226" s="31">
        <v>4.8</v>
      </c>
      <c r="AD226" s="31">
        <v>9</v>
      </c>
      <c r="AE226" s="31" t="s">
        <v>46</v>
      </c>
      <c r="AF226" s="31" t="s">
        <v>46</v>
      </c>
      <c r="AG226" s="31" t="s">
        <v>46</v>
      </c>
      <c r="AH226" s="31" t="s">
        <v>46</v>
      </c>
      <c r="AI226" s="31" t="s">
        <v>46</v>
      </c>
      <c r="AJ226" s="31">
        <v>0</v>
      </c>
      <c r="AK226" s="31">
        <v>1</v>
      </c>
      <c r="AL226" s="31">
        <f>0.1*$AL$2</f>
        <v>7.5000000000000011E-2</v>
      </c>
      <c r="AM226" s="31">
        <f>AM222</f>
        <v>2.7E-2</v>
      </c>
      <c r="AN226" s="31">
        <f>ROUNDUP(AN222/3,0)</f>
        <v>1</v>
      </c>
      <c r="AO226" s="31"/>
      <c r="AP226" s="31"/>
      <c r="AQ226" s="32">
        <f>AM226*I226+AL226</f>
        <v>0.11043750000000001</v>
      </c>
      <c r="AR226" s="32">
        <f t="shared" si="219"/>
        <v>1.1043750000000001E-2</v>
      </c>
      <c r="AS226" s="33">
        <f t="shared" si="220"/>
        <v>0.25</v>
      </c>
      <c r="AT226" s="33">
        <f t="shared" si="221"/>
        <v>9.2870312499999996E-2</v>
      </c>
      <c r="AU226" s="32">
        <f>10068.2*J226*POWER(10,-6)*10</f>
        <v>0.132145125</v>
      </c>
      <c r="AV226" s="33">
        <f t="shared" si="222"/>
        <v>0.59649668749999996</v>
      </c>
      <c r="AW226" s="34">
        <f t="shared" si="223"/>
        <v>0</v>
      </c>
      <c r="AX226" s="34">
        <f t="shared" si="224"/>
        <v>4.0000000000000007E-6</v>
      </c>
      <c r="AY226" s="34">
        <f t="shared" si="225"/>
        <v>2.3859867500000001E-6</v>
      </c>
      <c r="AZ226" s="289">
        <f>AW226/DB!$B$23</f>
        <v>0</v>
      </c>
      <c r="BA226" s="289">
        <f>AX226/DB!$B$23</f>
        <v>4.8192771084337357E-9</v>
      </c>
    </row>
    <row r="227" spans="1:53" ht="15" thickBot="1" x14ac:dyDescent="0.35">
      <c r="A227" s="8" t="s">
        <v>23</v>
      </c>
      <c r="B227" s="8" t="str">
        <f>B222</f>
        <v>Трубопровод Сера</v>
      </c>
      <c r="C227" s="78" t="s">
        <v>111</v>
      </c>
      <c r="D227" s="9" t="s">
        <v>27</v>
      </c>
      <c r="E227" s="66">
        <f>E225</f>
        <v>1E-4</v>
      </c>
      <c r="F227" s="67">
        <f>F222</f>
        <v>1</v>
      </c>
      <c r="G227" s="8">
        <v>0.76</v>
      </c>
      <c r="H227" s="10">
        <f t="shared" si="215"/>
        <v>7.6000000000000004E-5</v>
      </c>
      <c r="I227" s="61">
        <f>0.15*I222</f>
        <v>1.3125</v>
      </c>
      <c r="J227" s="8">
        <v>0</v>
      </c>
      <c r="K227" s="74" t="s">
        <v>138</v>
      </c>
      <c r="L227" s="80">
        <v>23</v>
      </c>
      <c r="M227" s="31" t="str">
        <f t="shared" si="216"/>
        <v>С6</v>
      </c>
      <c r="N227" s="31" t="str">
        <f t="shared" si="217"/>
        <v>Трубопровод Сера</v>
      </c>
      <c r="O227" s="31" t="str">
        <f t="shared" si="218"/>
        <v>Частичное-ликвидация</v>
      </c>
      <c r="P227" s="31" t="s">
        <v>46</v>
      </c>
      <c r="Q227" s="31" t="s">
        <v>46</v>
      </c>
      <c r="R227" s="31" t="s">
        <v>46</v>
      </c>
      <c r="S227" s="31" t="s">
        <v>46</v>
      </c>
      <c r="T227" s="31" t="s">
        <v>46</v>
      </c>
      <c r="U227" s="31" t="s">
        <v>46</v>
      </c>
      <c r="V227" s="31" t="s">
        <v>46</v>
      </c>
      <c r="W227" s="31" t="s">
        <v>46</v>
      </c>
      <c r="X227" s="31" t="s">
        <v>46</v>
      </c>
      <c r="Y227" s="31" t="s">
        <v>46</v>
      </c>
      <c r="Z227" s="31" t="s">
        <v>46</v>
      </c>
      <c r="AA227" s="31" t="s">
        <v>46</v>
      </c>
      <c r="AB227" s="31" t="s">
        <v>46</v>
      </c>
      <c r="AC227" s="31" t="s">
        <v>46</v>
      </c>
      <c r="AD227" s="31" t="s">
        <v>46</v>
      </c>
      <c r="AE227" s="31" t="s">
        <v>46</v>
      </c>
      <c r="AF227" s="31" t="s">
        <v>46</v>
      </c>
      <c r="AG227" s="31" t="s">
        <v>46</v>
      </c>
      <c r="AH227" s="31" t="s">
        <v>46</v>
      </c>
      <c r="AI227" s="31" t="s">
        <v>46</v>
      </c>
      <c r="AJ227" s="31">
        <v>0</v>
      </c>
      <c r="AK227" s="31">
        <v>0</v>
      </c>
      <c r="AL227" s="31">
        <f>0.1*$AL$2</f>
        <v>7.5000000000000011E-2</v>
      </c>
      <c r="AM227" s="31">
        <f>AM222</f>
        <v>2.7E-2</v>
      </c>
      <c r="AN227" s="31">
        <f>ROUNDUP(AN222/3,0)</f>
        <v>1</v>
      </c>
      <c r="AO227" s="31"/>
      <c r="AP227" s="31"/>
      <c r="AQ227" s="32">
        <f>AM227*I227*0.1+AL227</f>
        <v>7.8543750000000009E-2</v>
      </c>
      <c r="AR227" s="32">
        <f t="shared" si="219"/>
        <v>7.854375000000002E-3</v>
      </c>
      <c r="AS227" s="33">
        <f t="shared" si="220"/>
        <v>0</v>
      </c>
      <c r="AT227" s="33">
        <f t="shared" si="221"/>
        <v>2.1599531250000002E-2</v>
      </c>
      <c r="AU227" s="32">
        <f>1333*J226*POWER(10,-6)</f>
        <v>1.7495624999999998E-3</v>
      </c>
      <c r="AV227" s="33">
        <f t="shared" si="222"/>
        <v>0.10974721875000001</v>
      </c>
      <c r="AW227" s="34">
        <f t="shared" si="223"/>
        <v>0</v>
      </c>
      <c r="AX227" s="34">
        <f t="shared" si="224"/>
        <v>0</v>
      </c>
      <c r="AY227" s="34">
        <f t="shared" si="225"/>
        <v>8.3407886250000012E-6</v>
      </c>
      <c r="AZ227" s="289">
        <f>AW227/DB!$B$23</f>
        <v>0</v>
      </c>
      <c r="BA227" s="289">
        <f>AX227/DB!$B$23</f>
        <v>0</v>
      </c>
    </row>
    <row r="228" spans="1:53" x14ac:dyDescent="0.3">
      <c r="A228" s="8"/>
      <c r="B228" s="8"/>
      <c r="C228" s="78"/>
      <c r="D228" s="9"/>
      <c r="E228" s="66"/>
      <c r="F228" s="67"/>
      <c r="G228" s="8"/>
      <c r="H228" s="10"/>
      <c r="I228" s="61"/>
      <c r="J228" s="8"/>
      <c r="K228" s="190"/>
      <c r="L228" s="19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2"/>
      <c r="AR228" s="32"/>
      <c r="AS228" s="33"/>
      <c r="AT228" s="33"/>
      <c r="AU228" s="32"/>
      <c r="AV228" s="33"/>
      <c r="AW228" s="34"/>
      <c r="AX228" s="34"/>
      <c r="AY228" s="34"/>
    </row>
    <row r="229" spans="1:53" s="179" customFormat="1" x14ac:dyDescent="0.3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</row>
    <row r="230" spans="1:53" s="179" customFormat="1" x14ac:dyDescent="0.3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</row>
    <row r="231" spans="1:53" ht="15" thickBot="1" x14ac:dyDescent="0.35"/>
    <row r="232" spans="1:53" s="139" customFormat="1" ht="18" customHeight="1" x14ac:dyDescent="0.3">
      <c r="A232" s="130" t="s">
        <v>18</v>
      </c>
      <c r="B232" s="131" t="s">
        <v>256</v>
      </c>
      <c r="C232" s="13" t="s">
        <v>257</v>
      </c>
      <c r="D232" s="132" t="s">
        <v>25</v>
      </c>
      <c r="E232" s="133">
        <v>1.0000000000000001E-5</v>
      </c>
      <c r="F232" s="131">
        <v>1</v>
      </c>
      <c r="G232" s="130">
        <v>0.2</v>
      </c>
      <c r="H232" s="134">
        <f>E232*F232*G232</f>
        <v>2.0000000000000003E-6</v>
      </c>
      <c r="I232" s="135">
        <v>12</v>
      </c>
      <c r="J232" s="192">
        <f>I232</f>
        <v>12</v>
      </c>
      <c r="K232" s="137" t="s">
        <v>122</v>
      </c>
      <c r="L232" s="138">
        <v>200</v>
      </c>
      <c r="M232" s="139" t="str">
        <f>A232</f>
        <v>С1</v>
      </c>
      <c r="N232" s="139" t="str">
        <f>B232</f>
        <v>Трубопровод ТОКСИ</v>
      </c>
      <c r="O232" s="139" t="str">
        <f>D232</f>
        <v>Полное-пожар</v>
      </c>
      <c r="P232" s="139" t="s">
        <v>46</v>
      </c>
      <c r="Q232" s="139" t="s">
        <v>46</v>
      </c>
      <c r="R232" s="139" t="s">
        <v>46</v>
      </c>
      <c r="S232" s="139" t="s">
        <v>46</v>
      </c>
      <c r="T232" s="139" t="s">
        <v>46</v>
      </c>
      <c r="U232" s="139" t="s">
        <v>46</v>
      </c>
      <c r="V232" s="139" t="s">
        <v>46</v>
      </c>
      <c r="W232" s="139" t="s">
        <v>46</v>
      </c>
      <c r="X232" s="139" t="s">
        <v>46</v>
      </c>
      <c r="Y232" s="139" t="s">
        <v>46</v>
      </c>
      <c r="Z232" s="139" t="s">
        <v>46</v>
      </c>
      <c r="AA232" s="139" t="s">
        <v>46</v>
      </c>
      <c r="AB232" s="139" t="s">
        <v>46</v>
      </c>
      <c r="AC232" s="139" t="s">
        <v>46</v>
      </c>
      <c r="AD232" s="139" t="s">
        <v>46</v>
      </c>
      <c r="AE232" s="139" t="s">
        <v>46</v>
      </c>
      <c r="AF232" s="139" t="s">
        <v>46</v>
      </c>
      <c r="AG232" s="139" t="s">
        <v>46</v>
      </c>
      <c r="AH232" s="139" t="s">
        <v>46</v>
      </c>
      <c r="AI232" s="139">
        <v>240</v>
      </c>
      <c r="AJ232" s="140">
        <v>1</v>
      </c>
      <c r="AK232" s="140">
        <v>2</v>
      </c>
      <c r="AL232" s="141">
        <v>0.75</v>
      </c>
      <c r="AM232" s="141">
        <v>2.7E-2</v>
      </c>
      <c r="AN232" s="141">
        <v>3</v>
      </c>
      <c r="AQ232" s="142">
        <f>AM232*I232+AL232</f>
        <v>1.0740000000000001</v>
      </c>
      <c r="AR232" s="142">
        <f>0.1*AQ232</f>
        <v>0.10740000000000001</v>
      </c>
      <c r="AS232" s="143">
        <f>AJ232*3+0.25*AK232</f>
        <v>3.5</v>
      </c>
      <c r="AT232" s="143">
        <f>SUM(AQ232:AS232)/4</f>
        <v>1.17035</v>
      </c>
      <c r="AU232" s="142">
        <f>10068.2*J232*POWER(10,-6)</f>
        <v>0.12081840000000001</v>
      </c>
      <c r="AV232" s="143">
        <f>AU232+AT232+AS232+AR232+AQ232</f>
        <v>5.9725684000000001</v>
      </c>
      <c r="AW232" s="144">
        <f>AJ232*H232</f>
        <v>2.0000000000000003E-6</v>
      </c>
      <c r="AX232" s="144">
        <f>H232*AK232</f>
        <v>4.0000000000000007E-6</v>
      </c>
      <c r="AY232" s="144">
        <f>H232*AV232</f>
        <v>1.1945136800000002E-5</v>
      </c>
      <c r="AZ232" s="289">
        <f>AW232/DB!$B$23</f>
        <v>2.4096385542168678E-9</v>
      </c>
      <c r="BA232" s="289">
        <f>AX232/DB!$B$23</f>
        <v>4.8192771084337357E-9</v>
      </c>
    </row>
    <row r="233" spans="1:53" s="139" customFormat="1" x14ac:dyDescent="0.3">
      <c r="A233" s="130" t="s">
        <v>19</v>
      </c>
      <c r="B233" s="130" t="str">
        <f>B232</f>
        <v>Трубопровод ТОКСИ</v>
      </c>
      <c r="C233" s="13" t="s">
        <v>258</v>
      </c>
      <c r="D233" s="132" t="s">
        <v>28</v>
      </c>
      <c r="E233" s="145">
        <f>E232</f>
        <v>1.0000000000000001E-5</v>
      </c>
      <c r="F233" s="146">
        <f>F232</f>
        <v>1</v>
      </c>
      <c r="G233" s="130">
        <v>0.8</v>
      </c>
      <c r="H233" s="134">
        <f>E233*F233*G233</f>
        <v>8.0000000000000013E-6</v>
      </c>
      <c r="I233" s="147">
        <f>I232</f>
        <v>12</v>
      </c>
      <c r="J233" s="192">
        <f>I232</f>
        <v>12</v>
      </c>
      <c r="K233" s="148" t="s">
        <v>123</v>
      </c>
      <c r="L233" s="149">
        <v>0</v>
      </c>
      <c r="M233" s="139" t="str">
        <f>A233</f>
        <v>С2</v>
      </c>
      <c r="N233" s="139" t="str">
        <f>B233</f>
        <v>Трубопровод ТОКСИ</v>
      </c>
      <c r="O233" s="139" t="str">
        <f>D233</f>
        <v>Полное-взрыв</v>
      </c>
      <c r="P233" s="139" t="s">
        <v>46</v>
      </c>
      <c r="Q233" s="139" t="s">
        <v>46</v>
      </c>
      <c r="R233" s="139" t="s">
        <v>46</v>
      </c>
      <c r="S233" s="139" t="s">
        <v>46</v>
      </c>
      <c r="T233" s="139" t="s">
        <v>46</v>
      </c>
      <c r="U233" s="139" t="s">
        <v>46</v>
      </c>
      <c r="V233" s="139" t="s">
        <v>46</v>
      </c>
      <c r="W233" s="139" t="s">
        <v>46</v>
      </c>
      <c r="X233" s="139" t="s">
        <v>46</v>
      </c>
      <c r="Y233" s="139" t="s">
        <v>46</v>
      </c>
      <c r="Z233" s="139" t="s">
        <v>46</v>
      </c>
      <c r="AA233" s="139" t="s">
        <v>46</v>
      </c>
      <c r="AB233" s="139" t="s">
        <v>46</v>
      </c>
      <c r="AC233" s="139" t="s">
        <v>46</v>
      </c>
      <c r="AD233" s="139" t="s">
        <v>46</v>
      </c>
      <c r="AE233" s="139" t="s">
        <v>46</v>
      </c>
      <c r="AF233" s="139" t="s">
        <v>46</v>
      </c>
      <c r="AG233" s="139" t="s">
        <v>46</v>
      </c>
      <c r="AH233" s="139" t="s">
        <v>46</v>
      </c>
      <c r="AI233" s="139">
        <v>33.333333333333336</v>
      </c>
      <c r="AJ233" s="140">
        <v>2</v>
      </c>
      <c r="AK233" s="140">
        <v>2</v>
      </c>
      <c r="AL233" s="139">
        <f>AL232</f>
        <v>0.75</v>
      </c>
      <c r="AM233" s="139">
        <f>AM232</f>
        <v>2.7E-2</v>
      </c>
      <c r="AN233" s="139">
        <f>AN232</f>
        <v>3</v>
      </c>
      <c r="AQ233" s="142">
        <f>AM233*I233+AL233</f>
        <v>1.0740000000000001</v>
      </c>
      <c r="AR233" s="142">
        <f>0.1*AQ233</f>
        <v>0.10740000000000001</v>
      </c>
      <c r="AS233" s="143">
        <f>AJ233*3+0.25*AK233</f>
        <v>6.5</v>
      </c>
      <c r="AT233" s="143">
        <f>SUM(AQ233:AS233)/4</f>
        <v>1.92035</v>
      </c>
      <c r="AU233" s="142">
        <f>10068.2*J233*POWER(10,-6)*10</f>
        <v>1.2081840000000001</v>
      </c>
      <c r="AV233" s="143">
        <f>AU233+AT233+AS233+AR233+AQ233</f>
        <v>10.809934</v>
      </c>
      <c r="AW233" s="144">
        <f>AJ233*H233</f>
        <v>1.6000000000000003E-5</v>
      </c>
      <c r="AX233" s="144">
        <f>H233*AK233</f>
        <v>1.6000000000000003E-5</v>
      </c>
      <c r="AY233" s="144">
        <f>H233*AV233</f>
        <v>8.6479472000000021E-5</v>
      </c>
      <c r="AZ233" s="289">
        <f>AW233/DB!$B$23</f>
        <v>1.9277108433734943E-8</v>
      </c>
      <c r="BA233" s="289">
        <f>AX233/DB!$B$23</f>
        <v>1.9277108433734943E-8</v>
      </c>
    </row>
    <row r="234" spans="1:53" s="139" customFormat="1" x14ac:dyDescent="0.3">
      <c r="A234" s="130"/>
      <c r="B234" s="130"/>
      <c r="C234" s="13"/>
      <c r="D234" s="132"/>
      <c r="E234" s="145"/>
      <c r="F234" s="146"/>
      <c r="G234" s="130"/>
      <c r="H234" s="134"/>
      <c r="I234" s="147"/>
      <c r="J234" s="150"/>
      <c r="K234" s="148" t="s">
        <v>124</v>
      </c>
      <c r="L234" s="149">
        <v>0</v>
      </c>
      <c r="N234" s="139">
        <f>B234</f>
        <v>0</v>
      </c>
      <c r="O234" s="139">
        <f>D234</f>
        <v>0</v>
      </c>
      <c r="P234" s="139" t="s">
        <v>46</v>
      </c>
      <c r="Q234" s="139" t="s">
        <v>46</v>
      </c>
      <c r="R234" s="139" t="s">
        <v>46</v>
      </c>
      <c r="S234" s="139" t="s">
        <v>46</v>
      </c>
      <c r="T234" s="139" t="s">
        <v>46</v>
      </c>
      <c r="U234" s="139" t="s">
        <v>46</v>
      </c>
      <c r="V234" s="139" t="s">
        <v>46</v>
      </c>
      <c r="W234" s="139" t="s">
        <v>46</v>
      </c>
      <c r="X234" s="139" t="s">
        <v>46</v>
      </c>
      <c r="Y234" s="139" t="s">
        <v>46</v>
      </c>
      <c r="Z234" s="139" t="s">
        <v>46</v>
      </c>
      <c r="AA234" s="139" t="s">
        <v>46</v>
      </c>
      <c r="AB234" s="139" t="s">
        <v>46</v>
      </c>
      <c r="AC234" s="139" t="s">
        <v>46</v>
      </c>
      <c r="AD234" s="139" t="s">
        <v>46</v>
      </c>
      <c r="AQ234" s="142"/>
      <c r="AR234" s="142"/>
      <c r="AS234" s="143"/>
      <c r="AT234" s="143"/>
      <c r="AU234" s="142"/>
      <c r="AV234" s="143"/>
      <c r="AW234" s="144"/>
      <c r="AX234" s="144"/>
      <c r="AY234" s="144"/>
    </row>
    <row r="235" spans="1:53" s="139" customFormat="1" x14ac:dyDescent="0.3">
      <c r="A235" s="130"/>
      <c r="B235" s="130"/>
      <c r="C235" s="13"/>
      <c r="D235" s="132"/>
      <c r="E235" s="133"/>
      <c r="F235" s="146"/>
      <c r="G235" s="130"/>
      <c r="H235" s="134"/>
      <c r="I235" s="147"/>
      <c r="J235" s="136"/>
      <c r="K235" s="148" t="s">
        <v>126</v>
      </c>
      <c r="L235" s="149">
        <v>0</v>
      </c>
      <c r="AQ235" s="142"/>
      <c r="AR235" s="142"/>
      <c r="AS235" s="143"/>
      <c r="AT235" s="143"/>
      <c r="AU235" s="142"/>
      <c r="AV235" s="143"/>
      <c r="AW235" s="144"/>
      <c r="AX235" s="144"/>
      <c r="AY235" s="144"/>
    </row>
    <row r="236" spans="1:53" s="139" customFormat="1" x14ac:dyDescent="0.3">
      <c r="A236" s="130"/>
      <c r="B236" s="130"/>
      <c r="C236" s="13"/>
      <c r="D236" s="132"/>
      <c r="E236" s="145"/>
      <c r="F236" s="146"/>
      <c r="G236" s="130"/>
      <c r="H236" s="134"/>
      <c r="I236" s="147"/>
      <c r="J236" s="136"/>
      <c r="K236" s="148" t="s">
        <v>127</v>
      </c>
      <c r="L236" s="149">
        <v>0</v>
      </c>
      <c r="AQ236" s="142"/>
      <c r="AR236" s="142"/>
      <c r="AS236" s="143"/>
      <c r="AT236" s="143"/>
      <c r="AU236" s="142"/>
      <c r="AV236" s="143"/>
      <c r="AW236" s="144"/>
      <c r="AX236" s="144"/>
      <c r="AY236" s="144"/>
    </row>
    <row r="237" spans="1:53" s="139" customFormat="1" ht="15" thickBot="1" x14ac:dyDescent="0.35">
      <c r="A237" s="130"/>
      <c r="B237" s="130"/>
      <c r="C237" s="13"/>
      <c r="D237" s="132"/>
      <c r="E237" s="145"/>
      <c r="F237" s="146"/>
      <c r="G237" s="130"/>
      <c r="H237" s="134"/>
      <c r="I237" s="147"/>
      <c r="J237" s="136"/>
      <c r="K237" s="153" t="s">
        <v>138</v>
      </c>
      <c r="L237" s="165">
        <v>24</v>
      </c>
      <c r="AQ237" s="142"/>
      <c r="AR237" s="142"/>
      <c r="AS237" s="143"/>
      <c r="AT237" s="143"/>
      <c r="AU237" s="142"/>
      <c r="AV237" s="143"/>
      <c r="AW237" s="144"/>
      <c r="AX237" s="144"/>
      <c r="AY237" s="144"/>
    </row>
    <row r="238" spans="1:53" s="139" customFormat="1" x14ac:dyDescent="0.3">
      <c r="A238" s="140"/>
      <c r="B238" s="140"/>
      <c r="D238" s="186"/>
      <c r="E238" s="187"/>
      <c r="F238" s="188"/>
      <c r="G238" s="140"/>
      <c r="H238" s="144"/>
      <c r="I238" s="143"/>
      <c r="J238" s="143"/>
      <c r="K238" s="140"/>
      <c r="L238" s="188"/>
      <c r="AQ238" s="142"/>
      <c r="AR238" s="142"/>
      <c r="AS238" s="143"/>
      <c r="AT238" s="143"/>
      <c r="AU238" s="142"/>
      <c r="AV238" s="143"/>
      <c r="AW238" s="144"/>
      <c r="AX238" s="144"/>
      <c r="AY238" s="144"/>
    </row>
    <row r="239" spans="1:53" s="139" customFormat="1" x14ac:dyDescent="0.3">
      <c r="A239" s="140"/>
      <c r="B239" s="140"/>
      <c r="D239" s="186"/>
      <c r="E239" s="187"/>
      <c r="F239" s="188"/>
      <c r="G239" s="140"/>
      <c r="H239" s="144"/>
      <c r="I239" s="143"/>
      <c r="J239" s="143"/>
      <c r="K239" s="140"/>
      <c r="L239" s="188"/>
      <c r="AQ239" s="142"/>
      <c r="AR239" s="142"/>
      <c r="AS239" s="143"/>
      <c r="AT239" s="143"/>
      <c r="AU239" s="142"/>
      <c r="AV239" s="143"/>
      <c r="AW239" s="144"/>
      <c r="AX239" s="144"/>
      <c r="AY239" s="144"/>
    </row>
    <row r="240" spans="1:53" s="139" customFormat="1" x14ac:dyDescent="0.3">
      <c r="A240" s="140"/>
      <c r="B240" s="140"/>
      <c r="D240" s="186"/>
      <c r="E240" s="187"/>
      <c r="F240" s="188"/>
      <c r="G240" s="140"/>
      <c r="H240" s="144"/>
      <c r="I240" s="143"/>
      <c r="J240" s="143"/>
      <c r="K240" s="140"/>
      <c r="L240" s="188"/>
      <c r="AQ240" s="142"/>
      <c r="AR240" s="142"/>
      <c r="AS240" s="143"/>
      <c r="AT240" s="143"/>
      <c r="AU240" s="142"/>
      <c r="AV240" s="143"/>
      <c r="AW240" s="144"/>
      <c r="AX240" s="144"/>
      <c r="AY240" s="144"/>
    </row>
    <row r="241" spans="1:53" ht="15" thickBot="1" x14ac:dyDescent="0.35"/>
    <row r="242" spans="1:53" ht="18" customHeight="1" x14ac:dyDescent="0.3">
      <c r="A242" s="8" t="s">
        <v>18</v>
      </c>
      <c r="B242" s="62" t="s">
        <v>497</v>
      </c>
      <c r="C242" s="78" t="s">
        <v>498</v>
      </c>
      <c r="D242" s="9" t="s">
        <v>130</v>
      </c>
      <c r="E242" s="65">
        <v>1E-4</v>
      </c>
      <c r="F242" s="62">
        <v>4</v>
      </c>
      <c r="G242" s="8">
        <v>0.2</v>
      </c>
      <c r="H242" s="10">
        <f>E242*F242*G242</f>
        <v>8.0000000000000007E-5</v>
      </c>
      <c r="I242" s="63">
        <v>1.2</v>
      </c>
      <c r="J242" s="68">
        <f>I242</f>
        <v>1.2</v>
      </c>
      <c r="K242" s="71" t="s">
        <v>122</v>
      </c>
      <c r="L242" s="76">
        <v>0</v>
      </c>
      <c r="M242" s="31" t="str">
        <f t="shared" ref="M242:N249" si="226">A242</f>
        <v>С1</v>
      </c>
      <c r="N242" s="31" t="str">
        <f t="shared" si="226"/>
        <v>Компрессор ГК№1-4, попутный нефтяной газ</v>
      </c>
      <c r="O242" s="31" t="str">
        <f t="shared" ref="O242:O249" si="227">D242</f>
        <v>Полное-факел</v>
      </c>
      <c r="P242" s="31" t="s">
        <v>46</v>
      </c>
      <c r="Q242" s="31" t="s">
        <v>46</v>
      </c>
      <c r="R242" s="31" t="s">
        <v>46</v>
      </c>
      <c r="S242" s="31" t="s">
        <v>46</v>
      </c>
      <c r="T242" s="31" t="s">
        <v>46</v>
      </c>
      <c r="U242" s="31" t="s">
        <v>46</v>
      </c>
      <c r="V242" s="31" t="s">
        <v>46</v>
      </c>
      <c r="W242" s="31" t="s">
        <v>46</v>
      </c>
      <c r="X242" s="31" t="s">
        <v>46</v>
      </c>
      <c r="Y242" s="31">
        <v>17</v>
      </c>
      <c r="Z242" s="31">
        <v>3</v>
      </c>
      <c r="AA242" s="31" t="s">
        <v>46</v>
      </c>
      <c r="AB242" s="31" t="s">
        <v>46</v>
      </c>
      <c r="AC242" s="31" t="s">
        <v>46</v>
      </c>
      <c r="AD242" s="31" t="s">
        <v>46</v>
      </c>
      <c r="AE242" s="31" t="s">
        <v>46</v>
      </c>
      <c r="AF242" s="31" t="s">
        <v>46</v>
      </c>
      <c r="AG242" s="31" t="s">
        <v>46</v>
      </c>
      <c r="AH242" s="31" t="s">
        <v>46</v>
      </c>
      <c r="AI242" s="31" t="s">
        <v>46</v>
      </c>
      <c r="AJ242" s="12">
        <v>1</v>
      </c>
      <c r="AK242" s="12">
        <v>2</v>
      </c>
      <c r="AL242" s="64">
        <v>0.75</v>
      </c>
      <c r="AM242" s="64">
        <v>2.7E-2</v>
      </c>
      <c r="AN242" s="64">
        <v>3</v>
      </c>
      <c r="AO242" s="31"/>
      <c r="AP242" s="31"/>
      <c r="AQ242" s="32">
        <f>AM242*I242+AL242</f>
        <v>0.78239999999999998</v>
      </c>
      <c r="AR242" s="32">
        <f>0.1*AQ242</f>
        <v>7.8240000000000004E-2</v>
      </c>
      <c r="AS242" s="33">
        <f>AJ242*3+0.25*AK242</f>
        <v>3.5</v>
      </c>
      <c r="AT242" s="33">
        <f>SUM(AQ242:AS242)/4</f>
        <v>1.09016</v>
      </c>
      <c r="AU242" s="32">
        <f>10068.2*J242*POWER(10,-6)</f>
        <v>1.208184E-2</v>
      </c>
      <c r="AV242" s="33">
        <f t="shared" ref="AV242:AV249" si="228">AU242+AT242+AS242+AR242+AQ242</f>
        <v>5.4628818399999997</v>
      </c>
      <c r="AW242" s="34">
        <f>AJ242*H242</f>
        <v>8.0000000000000007E-5</v>
      </c>
      <c r="AX242" s="34">
        <f>H242*AK242</f>
        <v>1.6000000000000001E-4</v>
      </c>
      <c r="AY242" s="34">
        <f>H242*AV242</f>
        <v>4.3703054720000003E-4</v>
      </c>
      <c r="AZ242" s="289">
        <f>AW242/DB!$B$23</f>
        <v>9.6385542168674707E-8</v>
      </c>
      <c r="BA242" s="289">
        <f>AX242/DB!$B$23</f>
        <v>1.9277108433734941E-7</v>
      </c>
    </row>
    <row r="243" spans="1:53" x14ac:dyDescent="0.3">
      <c r="A243" s="8" t="s">
        <v>19</v>
      </c>
      <c r="B243" s="8" t="str">
        <f>B242</f>
        <v>Компрессор ГК№1-4, попутный нефтяной газ</v>
      </c>
      <c r="C243" s="78" t="s">
        <v>499</v>
      </c>
      <c r="D243" s="9" t="s">
        <v>28</v>
      </c>
      <c r="E243" s="66">
        <f>E242</f>
        <v>1E-4</v>
      </c>
      <c r="F243" s="67">
        <f>F242</f>
        <v>4</v>
      </c>
      <c r="G243" s="8">
        <v>0.1152</v>
      </c>
      <c r="H243" s="10">
        <f t="shared" ref="H243:H249" si="229">E243*F243*G243</f>
        <v>4.6079999999999999E-5</v>
      </c>
      <c r="I243" s="61">
        <f>I242</f>
        <v>1.2</v>
      </c>
      <c r="J243" s="79">
        <f>0.1*I242</f>
        <v>0.12</v>
      </c>
      <c r="K243" s="73" t="s">
        <v>123</v>
      </c>
      <c r="L243" s="77">
        <v>2</v>
      </c>
      <c r="M243" s="31" t="str">
        <f t="shared" si="226"/>
        <v>С2</v>
      </c>
      <c r="N243" s="31" t="str">
        <f t="shared" si="226"/>
        <v>Компрессор ГК№1-4, попутный нефтяной газ</v>
      </c>
      <c r="O243" s="31" t="str">
        <f t="shared" si="227"/>
        <v>Полное-взрыв</v>
      </c>
      <c r="P243" s="31" t="s">
        <v>46</v>
      </c>
      <c r="Q243" s="31" t="s">
        <v>46</v>
      </c>
      <c r="R243" s="31" t="s">
        <v>46</v>
      </c>
      <c r="S243" s="31" t="s">
        <v>46</v>
      </c>
      <c r="T243" s="31">
        <v>0</v>
      </c>
      <c r="U243" s="31">
        <v>0</v>
      </c>
      <c r="V243" s="31">
        <v>37.6</v>
      </c>
      <c r="W243" s="31">
        <v>124.6</v>
      </c>
      <c r="X243" s="31">
        <v>324.60000000000002</v>
      </c>
      <c r="Y243" s="31" t="s">
        <v>46</v>
      </c>
      <c r="Z243" s="31" t="s">
        <v>46</v>
      </c>
      <c r="AA243" s="31" t="s">
        <v>46</v>
      </c>
      <c r="AB243" s="31" t="s">
        <v>46</v>
      </c>
      <c r="AC243" s="31" t="s">
        <v>46</v>
      </c>
      <c r="AD243" s="31" t="s">
        <v>46</v>
      </c>
      <c r="AE243" s="31" t="s">
        <v>46</v>
      </c>
      <c r="AF243" s="31" t="s">
        <v>46</v>
      </c>
      <c r="AG243" s="31" t="s">
        <v>46</v>
      </c>
      <c r="AH243" s="31" t="s">
        <v>46</v>
      </c>
      <c r="AI243" s="31" t="s">
        <v>46</v>
      </c>
      <c r="AJ243" s="12">
        <v>2</v>
      </c>
      <c r="AK243" s="12">
        <v>2</v>
      </c>
      <c r="AL243" s="31">
        <f>AL242</f>
        <v>0.75</v>
      </c>
      <c r="AM243" s="31">
        <f>AM242</f>
        <v>2.7E-2</v>
      </c>
      <c r="AN243" s="31">
        <f>AN242</f>
        <v>3</v>
      </c>
      <c r="AO243" s="31"/>
      <c r="AP243" s="31"/>
      <c r="AQ243" s="32">
        <f>AM243*I243+AL243</f>
        <v>0.78239999999999998</v>
      </c>
      <c r="AR243" s="32">
        <f t="shared" ref="AR243:AR249" si="230">0.1*AQ243</f>
        <v>7.8240000000000004E-2</v>
      </c>
      <c r="AS243" s="33">
        <f t="shared" ref="AS243:AS249" si="231">AJ243*3+0.25*AK243</f>
        <v>6.5</v>
      </c>
      <c r="AT243" s="33">
        <f t="shared" ref="AT243:AT249" si="232">SUM(AQ243:AS243)/4</f>
        <v>1.84016</v>
      </c>
      <c r="AU243" s="32">
        <f>10068.2*J243*POWER(10,-6)*10</f>
        <v>1.208184E-2</v>
      </c>
      <c r="AV243" s="33">
        <f t="shared" si="228"/>
        <v>9.2128818399999979</v>
      </c>
      <c r="AW243" s="34">
        <f t="shared" ref="AW243:AW249" si="233">AJ243*H243</f>
        <v>9.2159999999999999E-5</v>
      </c>
      <c r="AX243" s="34">
        <f t="shared" ref="AX243:AX249" si="234">H243*AK243</f>
        <v>9.2159999999999999E-5</v>
      </c>
      <c r="AY243" s="34">
        <f t="shared" ref="AY243:AY249" si="235">H243*AV243</f>
        <v>4.2452959518719991E-4</v>
      </c>
      <c r="AZ243" s="289">
        <f>AW243/DB!$B$23</f>
        <v>1.1103614457831325E-7</v>
      </c>
      <c r="BA243" s="289">
        <f>AX243/DB!$B$23</f>
        <v>1.1103614457831325E-7</v>
      </c>
    </row>
    <row r="244" spans="1:53" x14ac:dyDescent="0.3">
      <c r="A244" s="8" t="s">
        <v>20</v>
      </c>
      <c r="B244" s="8" t="str">
        <f>B242</f>
        <v>Компрессор ГК№1-4, попутный нефтяной газ</v>
      </c>
      <c r="C244" s="78" t="s">
        <v>500</v>
      </c>
      <c r="D244" s="9" t="s">
        <v>132</v>
      </c>
      <c r="E244" s="66">
        <f>E242</f>
        <v>1E-4</v>
      </c>
      <c r="F244" s="67">
        <f>F242</f>
        <v>4</v>
      </c>
      <c r="G244" s="8">
        <v>7.6799999999999993E-2</v>
      </c>
      <c r="H244" s="10">
        <f>E244*F244*G244</f>
        <v>3.0719999999999997E-5</v>
      </c>
      <c r="I244" s="61">
        <f>I242</f>
        <v>1.2</v>
      </c>
      <c r="J244" s="68">
        <f>I242</f>
        <v>1.2</v>
      </c>
      <c r="K244" s="73" t="s">
        <v>124</v>
      </c>
      <c r="L244" s="77">
        <v>0</v>
      </c>
      <c r="M244" s="31" t="str">
        <f>A244</f>
        <v>С3</v>
      </c>
      <c r="N244" s="31" t="str">
        <f>B244</f>
        <v>Компрессор ГК№1-4, попутный нефтяной газ</v>
      </c>
      <c r="O244" s="31" t="str">
        <f>D244</f>
        <v>Полное-вспышка</v>
      </c>
      <c r="P244" s="31" t="s">
        <v>46</v>
      </c>
      <c r="Q244" s="31" t="s">
        <v>46</v>
      </c>
      <c r="R244" s="31" t="s">
        <v>46</v>
      </c>
      <c r="S244" s="31" t="s">
        <v>46</v>
      </c>
      <c r="T244" s="31" t="s">
        <v>46</v>
      </c>
      <c r="U244" s="31" t="s">
        <v>46</v>
      </c>
      <c r="V244" s="31" t="s">
        <v>46</v>
      </c>
      <c r="W244" s="31" t="s">
        <v>46</v>
      </c>
      <c r="X244" s="31" t="s">
        <v>46</v>
      </c>
      <c r="Y244" s="31" t="s">
        <v>46</v>
      </c>
      <c r="Z244" s="31" t="s">
        <v>46</v>
      </c>
      <c r="AA244" s="31">
        <v>35.6</v>
      </c>
      <c r="AB244" s="31">
        <v>42.72</v>
      </c>
      <c r="AC244" s="31" t="s">
        <v>46</v>
      </c>
      <c r="AD244" s="31" t="s">
        <v>46</v>
      </c>
      <c r="AE244" s="31" t="s">
        <v>46</v>
      </c>
      <c r="AF244" s="31" t="s">
        <v>46</v>
      </c>
      <c r="AG244" s="31" t="s">
        <v>46</v>
      </c>
      <c r="AH244" s="31" t="s">
        <v>46</v>
      </c>
      <c r="AI244" s="31" t="s">
        <v>46</v>
      </c>
      <c r="AJ244" s="31">
        <v>0</v>
      </c>
      <c r="AK244" s="31">
        <v>0</v>
      </c>
      <c r="AL244" s="31">
        <f>AL242</f>
        <v>0.75</v>
      </c>
      <c r="AM244" s="31">
        <f>AM242</f>
        <v>2.7E-2</v>
      </c>
      <c r="AN244" s="31">
        <f>AN242</f>
        <v>3</v>
      </c>
      <c r="AO244" s="31"/>
      <c r="AP244" s="31"/>
      <c r="AQ244" s="32">
        <f>AM244*I244*0.1+AL244</f>
        <v>0.75324000000000002</v>
      </c>
      <c r="AR244" s="32">
        <f>0.1*AQ244</f>
        <v>7.5324000000000002E-2</v>
      </c>
      <c r="AS244" s="33">
        <f>AJ244*3+0.25*AK244</f>
        <v>0</v>
      </c>
      <c r="AT244" s="33">
        <f>SUM(AQ244:AS244)/4</f>
        <v>0.20714100000000002</v>
      </c>
      <c r="AU244" s="32">
        <f>1333*J242*POWER(10,-6)</f>
        <v>1.5995999999999999E-3</v>
      </c>
      <c r="AV244" s="33">
        <f>AU244+AT244+AS244+AR244+AQ244</f>
        <v>1.0373046000000001</v>
      </c>
      <c r="AW244" s="34">
        <f t="shared" si="233"/>
        <v>0</v>
      </c>
      <c r="AX244" s="34">
        <f t="shared" si="234"/>
        <v>0</v>
      </c>
      <c r="AY244" s="34">
        <f t="shared" si="235"/>
        <v>3.1865997312E-5</v>
      </c>
      <c r="AZ244" s="289">
        <f>AW244/DB!$B$23</f>
        <v>0</v>
      </c>
      <c r="BA244" s="289">
        <f>AX244/DB!$B$23</f>
        <v>0</v>
      </c>
    </row>
    <row r="245" spans="1:53" x14ac:dyDescent="0.3">
      <c r="A245" s="8" t="s">
        <v>21</v>
      </c>
      <c r="B245" s="8" t="str">
        <f>B242</f>
        <v>Компрессор ГК№1-4, попутный нефтяной газ</v>
      </c>
      <c r="C245" s="78" t="s">
        <v>501</v>
      </c>
      <c r="D245" s="9" t="s">
        <v>26</v>
      </c>
      <c r="E245" s="66">
        <f>E242</f>
        <v>1E-4</v>
      </c>
      <c r="F245" s="67">
        <f>F242</f>
        <v>4</v>
      </c>
      <c r="G245" s="8">
        <v>0.60799999999999998</v>
      </c>
      <c r="H245" s="10">
        <f t="shared" si="229"/>
        <v>2.432E-4</v>
      </c>
      <c r="I245" s="61">
        <f>I242</f>
        <v>1.2</v>
      </c>
      <c r="J245" s="70">
        <v>0</v>
      </c>
      <c r="K245" s="73" t="s">
        <v>126</v>
      </c>
      <c r="L245" s="77">
        <v>45390</v>
      </c>
      <c r="M245" s="31" t="str">
        <f t="shared" si="226"/>
        <v>С4</v>
      </c>
      <c r="N245" s="31" t="str">
        <f t="shared" si="226"/>
        <v>Компрессор ГК№1-4, попутный нефтяной газ</v>
      </c>
      <c r="O245" s="31" t="str">
        <f t="shared" si="227"/>
        <v>Полное-ликвидация</v>
      </c>
      <c r="P245" s="31" t="s">
        <v>46</v>
      </c>
      <c r="Q245" s="31" t="s">
        <v>46</v>
      </c>
      <c r="R245" s="31" t="s">
        <v>46</v>
      </c>
      <c r="S245" s="31" t="s">
        <v>46</v>
      </c>
      <c r="T245" s="31" t="s">
        <v>46</v>
      </c>
      <c r="U245" s="31" t="s">
        <v>46</v>
      </c>
      <c r="V245" s="31" t="s">
        <v>46</v>
      </c>
      <c r="W245" s="31" t="s">
        <v>46</v>
      </c>
      <c r="X245" s="31" t="s">
        <v>46</v>
      </c>
      <c r="Y245" s="31" t="s">
        <v>46</v>
      </c>
      <c r="Z245" s="31" t="s">
        <v>46</v>
      </c>
      <c r="AA245" s="31" t="s">
        <v>46</v>
      </c>
      <c r="AB245" s="31" t="s">
        <v>46</v>
      </c>
      <c r="AC245" s="31" t="s">
        <v>46</v>
      </c>
      <c r="AD245" s="31" t="s">
        <v>46</v>
      </c>
      <c r="AE245" s="31" t="s">
        <v>46</v>
      </c>
      <c r="AF245" s="31" t="s">
        <v>46</v>
      </c>
      <c r="AG245" s="31" t="s">
        <v>46</v>
      </c>
      <c r="AH245" s="31" t="s">
        <v>46</v>
      </c>
      <c r="AI245" s="31" t="s">
        <v>46</v>
      </c>
      <c r="AJ245" s="31">
        <v>0</v>
      </c>
      <c r="AK245" s="31">
        <v>0</v>
      </c>
      <c r="AL245" s="31">
        <f>AL242</f>
        <v>0.75</v>
      </c>
      <c r="AM245" s="31">
        <f>AM242</f>
        <v>2.7E-2</v>
      </c>
      <c r="AN245" s="31">
        <f>AN242</f>
        <v>3</v>
      </c>
      <c r="AO245" s="31"/>
      <c r="AP245" s="31"/>
      <c r="AQ245" s="32">
        <f>AM245*I245*0.1+AL245</f>
        <v>0.75324000000000002</v>
      </c>
      <c r="AR245" s="32">
        <f t="shared" si="230"/>
        <v>7.5324000000000002E-2</v>
      </c>
      <c r="AS245" s="33">
        <f t="shared" si="231"/>
        <v>0</v>
      </c>
      <c r="AT245" s="33">
        <f t="shared" si="232"/>
        <v>0.20714100000000002</v>
      </c>
      <c r="AU245" s="32">
        <f>1333*J243*POWER(10,-6)</f>
        <v>1.5996000000000001E-4</v>
      </c>
      <c r="AV245" s="33">
        <f t="shared" si="228"/>
        <v>1.0358649600000001</v>
      </c>
      <c r="AW245" s="34">
        <f t="shared" si="233"/>
        <v>0</v>
      </c>
      <c r="AX245" s="34">
        <f t="shared" si="234"/>
        <v>0</v>
      </c>
      <c r="AY245" s="34">
        <f t="shared" si="235"/>
        <v>2.5192235827200003E-4</v>
      </c>
      <c r="AZ245" s="289">
        <f>AW245/DB!$B$23</f>
        <v>0</v>
      </c>
      <c r="BA245" s="289">
        <f>AX245/DB!$B$23</f>
        <v>0</v>
      </c>
    </row>
    <row r="246" spans="1:53" x14ac:dyDescent="0.3">
      <c r="A246" s="8" t="s">
        <v>22</v>
      </c>
      <c r="B246" s="8" t="str">
        <f>B242</f>
        <v>Компрессор ГК№1-4, попутный нефтяной газ</v>
      </c>
      <c r="C246" s="78" t="s">
        <v>502</v>
      </c>
      <c r="D246" s="9" t="s">
        <v>134</v>
      </c>
      <c r="E246" s="65">
        <v>4.4000000000000003E-3</v>
      </c>
      <c r="F246" s="67">
        <f t="shared" ref="F246:F248" si="236">F243</f>
        <v>4</v>
      </c>
      <c r="G246" s="8">
        <v>3.5000000000000003E-2</v>
      </c>
      <c r="H246" s="10">
        <f t="shared" si="229"/>
        <v>6.1600000000000012E-4</v>
      </c>
      <c r="I246" s="61">
        <f>0.15*I242</f>
        <v>0.18</v>
      </c>
      <c r="J246" s="68">
        <f>I246</f>
        <v>0.18</v>
      </c>
      <c r="K246" s="73" t="s">
        <v>127</v>
      </c>
      <c r="L246" s="77">
        <v>3</v>
      </c>
      <c r="M246" s="31" t="str">
        <f t="shared" si="226"/>
        <v>С5</v>
      </c>
      <c r="N246" s="31" t="str">
        <f t="shared" si="226"/>
        <v>Компрессор ГК№1-4, попутный нефтяной газ</v>
      </c>
      <c r="O246" s="31" t="str">
        <f t="shared" si="227"/>
        <v>Частичное-факел</v>
      </c>
      <c r="P246" s="31" t="s">
        <v>46</v>
      </c>
      <c r="Q246" s="31" t="s">
        <v>46</v>
      </c>
      <c r="R246" s="31" t="s">
        <v>46</v>
      </c>
      <c r="S246" s="31" t="s">
        <v>46</v>
      </c>
      <c r="T246" s="31" t="s">
        <v>46</v>
      </c>
      <c r="U246" s="31" t="s">
        <v>46</v>
      </c>
      <c r="V246" s="31" t="s">
        <v>46</v>
      </c>
      <c r="W246" s="31" t="s">
        <v>46</v>
      </c>
      <c r="X246" s="31" t="s">
        <v>46</v>
      </c>
      <c r="Y246" s="31">
        <v>11</v>
      </c>
      <c r="Z246" s="31">
        <v>2</v>
      </c>
      <c r="AA246" s="31" t="s">
        <v>46</v>
      </c>
      <c r="AB246" s="31" t="s">
        <v>46</v>
      </c>
      <c r="AC246" s="31" t="s">
        <v>46</v>
      </c>
      <c r="AD246" s="31" t="s">
        <v>46</v>
      </c>
      <c r="AE246" s="31" t="s">
        <v>46</v>
      </c>
      <c r="AF246" s="31" t="s">
        <v>46</v>
      </c>
      <c r="AG246" s="31" t="s">
        <v>46</v>
      </c>
      <c r="AH246" s="31" t="s">
        <v>46</v>
      </c>
      <c r="AI246" s="31" t="s">
        <v>46</v>
      </c>
      <c r="AJ246" s="31">
        <v>0</v>
      </c>
      <c r="AK246" s="31">
        <v>2</v>
      </c>
      <c r="AL246" s="31">
        <f>0.1*$AL$2</f>
        <v>7.5000000000000011E-2</v>
      </c>
      <c r="AM246" s="31">
        <f>AM242</f>
        <v>2.7E-2</v>
      </c>
      <c r="AN246" s="31">
        <f>ROUNDUP(AN242/3,0)</f>
        <v>1</v>
      </c>
      <c r="AO246" s="31"/>
      <c r="AP246" s="31"/>
      <c r="AQ246" s="32">
        <f>AM246*I246+AL246</f>
        <v>7.9860000000000014E-2</v>
      </c>
      <c r="AR246" s="32">
        <f t="shared" si="230"/>
        <v>7.9860000000000018E-3</v>
      </c>
      <c r="AS246" s="33">
        <f t="shared" si="231"/>
        <v>0.5</v>
      </c>
      <c r="AT246" s="33">
        <f t="shared" si="232"/>
        <v>0.14696149999999999</v>
      </c>
      <c r="AU246" s="32">
        <f>10068.2*J246*POWER(10,-6)</f>
        <v>1.812276E-3</v>
      </c>
      <c r="AV246" s="33">
        <f t="shared" si="228"/>
        <v>0.73661977600000006</v>
      </c>
      <c r="AW246" s="34">
        <f t="shared" si="233"/>
        <v>0</v>
      </c>
      <c r="AX246" s="34">
        <f t="shared" si="234"/>
        <v>1.2320000000000002E-3</v>
      </c>
      <c r="AY246" s="34">
        <f t="shared" si="235"/>
        <v>4.5375778201600013E-4</v>
      </c>
      <c r="AZ246" s="289">
        <f>AW246/DB!$B$23</f>
        <v>0</v>
      </c>
      <c r="BA246" s="289">
        <f>AX246/DB!$B$23</f>
        <v>1.4843373493975907E-6</v>
      </c>
    </row>
    <row r="247" spans="1:53" x14ac:dyDescent="0.3">
      <c r="A247" s="8" t="s">
        <v>23</v>
      </c>
      <c r="B247" s="8" t="str">
        <f>B242</f>
        <v>Компрессор ГК№1-4, попутный нефтяной газ</v>
      </c>
      <c r="C247" s="78" t="s">
        <v>503</v>
      </c>
      <c r="D247" s="9" t="s">
        <v>136</v>
      </c>
      <c r="E247" s="66">
        <f>E246</f>
        <v>4.4000000000000003E-3</v>
      </c>
      <c r="F247" s="67">
        <f t="shared" si="236"/>
        <v>4</v>
      </c>
      <c r="G247" s="8">
        <v>8.3000000000000001E-3</v>
      </c>
      <c r="H247" s="10">
        <f>E247*F247*G247</f>
        <v>1.4608000000000001E-4</v>
      </c>
      <c r="I247" s="61">
        <f>I246</f>
        <v>0.18</v>
      </c>
      <c r="J247" s="68">
        <f>J243*0.15</f>
        <v>1.7999999999999999E-2</v>
      </c>
      <c r="K247" s="72" t="s">
        <v>138</v>
      </c>
      <c r="L247" s="129">
        <v>4</v>
      </c>
      <c r="M247" s="31" t="str">
        <f>A247</f>
        <v>С6</v>
      </c>
      <c r="N247" s="31" t="str">
        <f>B247</f>
        <v>Компрессор ГК№1-4, попутный нефтяной газ</v>
      </c>
      <c r="O247" s="31" t="str">
        <f>D247</f>
        <v>Частичное-взрыв</v>
      </c>
      <c r="P247" s="31" t="s">
        <v>46</v>
      </c>
      <c r="Q247" s="31" t="s">
        <v>46</v>
      </c>
      <c r="R247" s="31" t="s">
        <v>46</v>
      </c>
      <c r="S247" s="31" t="s">
        <v>46</v>
      </c>
      <c r="T247" s="31">
        <v>0</v>
      </c>
      <c r="U247" s="31">
        <v>0</v>
      </c>
      <c r="V247" s="31">
        <v>20.100000000000001</v>
      </c>
      <c r="W247" s="31">
        <v>66.099999999999994</v>
      </c>
      <c r="X247" s="31">
        <v>172.6</v>
      </c>
      <c r="Y247" s="31" t="s">
        <v>46</v>
      </c>
      <c r="Z247" s="31" t="s">
        <v>46</v>
      </c>
      <c r="AA247" s="31" t="s">
        <v>46</v>
      </c>
      <c r="AB247" s="31" t="s">
        <v>46</v>
      </c>
      <c r="AC247" s="31" t="s">
        <v>46</v>
      </c>
      <c r="AD247" s="31" t="s">
        <v>46</v>
      </c>
      <c r="AE247" s="31" t="s">
        <v>46</v>
      </c>
      <c r="AF247" s="31" t="s">
        <v>46</v>
      </c>
      <c r="AG247" s="31" t="s">
        <v>46</v>
      </c>
      <c r="AH247" s="31" t="s">
        <v>46</v>
      </c>
      <c r="AI247" s="31" t="s">
        <v>46</v>
      </c>
      <c r="AJ247" s="31">
        <v>0</v>
      </c>
      <c r="AK247" s="31">
        <v>1</v>
      </c>
      <c r="AL247" s="31">
        <f>0.1*$AL$2</f>
        <v>7.5000000000000011E-2</v>
      </c>
      <c r="AM247" s="31">
        <f>AM242</f>
        <v>2.7E-2</v>
      </c>
      <c r="AN247" s="31">
        <f>AN246</f>
        <v>1</v>
      </c>
      <c r="AO247" s="31"/>
      <c r="AP247" s="31"/>
      <c r="AQ247" s="32">
        <f>AM247*I247+AL247</f>
        <v>7.9860000000000014E-2</v>
      </c>
      <c r="AR247" s="32">
        <f>0.1*AQ247</f>
        <v>7.9860000000000018E-3</v>
      </c>
      <c r="AS247" s="33">
        <f>AJ247*3+0.25*AK247</f>
        <v>0.25</v>
      </c>
      <c r="AT247" s="33">
        <f>SUM(AQ247:AS247)/4</f>
        <v>8.4461500000000009E-2</v>
      </c>
      <c r="AU247" s="32">
        <f>10068.2*J247*POWER(10,-6)*10</f>
        <v>1.8122759999999998E-3</v>
      </c>
      <c r="AV247" s="33">
        <f>AU247+AT247+AS247+AR247+AQ247</f>
        <v>0.42411977600000006</v>
      </c>
      <c r="AW247" s="34">
        <f t="shared" si="233"/>
        <v>0</v>
      </c>
      <c r="AX247" s="34">
        <f t="shared" si="234"/>
        <v>1.4608000000000001E-4</v>
      </c>
      <c r="AY247" s="34">
        <f t="shared" si="235"/>
        <v>6.1955416878080015E-5</v>
      </c>
      <c r="AZ247" s="289">
        <f>AW247/DB!$B$23</f>
        <v>0</v>
      </c>
      <c r="BA247" s="289">
        <f>AX247/DB!$B$23</f>
        <v>1.7600000000000001E-7</v>
      </c>
    </row>
    <row r="248" spans="1:53" x14ac:dyDescent="0.3">
      <c r="A248" s="8" t="s">
        <v>157</v>
      </c>
      <c r="B248" s="8" t="str">
        <f>B242</f>
        <v>Компрессор ГК№1-4, попутный нефтяной газ</v>
      </c>
      <c r="C248" s="78" t="s">
        <v>504</v>
      </c>
      <c r="D248" s="9" t="s">
        <v>112</v>
      </c>
      <c r="E248" s="66">
        <f>E246</f>
        <v>4.4000000000000003E-3</v>
      </c>
      <c r="F248" s="67">
        <f t="shared" si="236"/>
        <v>4</v>
      </c>
      <c r="G248" s="8">
        <v>2.64E-2</v>
      </c>
      <c r="H248" s="10">
        <f t="shared" si="229"/>
        <v>4.6464000000000005E-4</v>
      </c>
      <c r="I248" s="61">
        <f>0.15*I242</f>
        <v>0.18</v>
      </c>
      <c r="J248" s="68">
        <f>J244*0.15</f>
        <v>0.18</v>
      </c>
      <c r="K248" s="73"/>
      <c r="L248" s="77"/>
      <c r="M248" s="31" t="str">
        <f t="shared" si="226"/>
        <v>С7</v>
      </c>
      <c r="N248" s="31" t="str">
        <f t="shared" si="226"/>
        <v>Компрессор ГК№1-4, попутный нефтяной газ</v>
      </c>
      <c r="O248" s="31" t="str">
        <f t="shared" si="227"/>
        <v>Частичное-пожар-вспышка</v>
      </c>
      <c r="P248" s="31" t="s">
        <v>46</v>
      </c>
      <c r="Q248" s="31" t="s">
        <v>46</v>
      </c>
      <c r="R248" s="31" t="s">
        <v>46</v>
      </c>
      <c r="S248" s="31" t="s">
        <v>46</v>
      </c>
      <c r="T248" s="31" t="s">
        <v>46</v>
      </c>
      <c r="U248" s="31" t="s">
        <v>46</v>
      </c>
      <c r="V248" s="31" t="s">
        <v>46</v>
      </c>
      <c r="W248" s="31" t="s">
        <v>46</v>
      </c>
      <c r="X248" s="31" t="s">
        <v>46</v>
      </c>
      <c r="Y248" s="31" t="s">
        <v>46</v>
      </c>
      <c r="Z248" s="31" t="s">
        <v>46</v>
      </c>
      <c r="AA248" s="31">
        <v>19.03</v>
      </c>
      <c r="AB248" s="31">
        <v>22.84</v>
      </c>
      <c r="AC248" s="31" t="s">
        <v>46</v>
      </c>
      <c r="AD248" s="31" t="s">
        <v>46</v>
      </c>
      <c r="AE248" s="31" t="s">
        <v>46</v>
      </c>
      <c r="AF248" s="31" t="s">
        <v>46</v>
      </c>
      <c r="AG248" s="31" t="s">
        <v>46</v>
      </c>
      <c r="AH248" s="31" t="s">
        <v>46</v>
      </c>
      <c r="AI248" s="31" t="s">
        <v>46</v>
      </c>
      <c r="AJ248" s="31">
        <v>0</v>
      </c>
      <c r="AK248" s="31">
        <v>1</v>
      </c>
      <c r="AL248" s="31">
        <f>0.1*$AL$2</f>
        <v>7.5000000000000011E-2</v>
      </c>
      <c r="AM248" s="31">
        <f>AM242</f>
        <v>2.7E-2</v>
      </c>
      <c r="AN248" s="31">
        <f>ROUNDUP(AN242/3,0)</f>
        <v>1</v>
      </c>
      <c r="AO248" s="31"/>
      <c r="AP248" s="31"/>
      <c r="AQ248" s="32">
        <f>AM248*I248+AL248</f>
        <v>7.9860000000000014E-2</v>
      </c>
      <c r="AR248" s="32">
        <f t="shared" si="230"/>
        <v>7.9860000000000018E-3</v>
      </c>
      <c r="AS248" s="33">
        <f t="shared" si="231"/>
        <v>0.25</v>
      </c>
      <c r="AT248" s="33">
        <f t="shared" si="232"/>
        <v>8.4461500000000009E-2</v>
      </c>
      <c r="AU248" s="32">
        <f>10068.2*J248*POWER(10,-6)*10</f>
        <v>1.8122760000000002E-2</v>
      </c>
      <c r="AV248" s="33">
        <f t="shared" si="228"/>
        <v>0.44043025999999996</v>
      </c>
      <c r="AW248" s="34">
        <f t="shared" si="233"/>
        <v>0</v>
      </c>
      <c r="AX248" s="34">
        <f t="shared" si="234"/>
        <v>4.6464000000000005E-4</v>
      </c>
      <c r="AY248" s="34">
        <f t="shared" si="235"/>
        <v>2.046415160064E-4</v>
      </c>
      <c r="AZ248" s="289">
        <f>AW248/DB!$B$23</f>
        <v>0</v>
      </c>
      <c r="BA248" s="289">
        <f>AX248/DB!$B$23</f>
        <v>5.5980722891566272E-7</v>
      </c>
    </row>
    <row r="249" spans="1:53" ht="15" thickBot="1" x14ac:dyDescent="0.35">
      <c r="A249" s="8" t="s">
        <v>158</v>
      </c>
      <c r="B249" s="8" t="str">
        <f>B242</f>
        <v>Компрессор ГК№1-4, попутный нефтяной газ</v>
      </c>
      <c r="C249" s="78" t="s">
        <v>505</v>
      </c>
      <c r="D249" s="9" t="s">
        <v>27</v>
      </c>
      <c r="E249" s="66">
        <f>E246</f>
        <v>4.4000000000000003E-3</v>
      </c>
      <c r="F249" s="67">
        <f>F242</f>
        <v>4</v>
      </c>
      <c r="G249" s="8">
        <v>0.93030000000000002</v>
      </c>
      <c r="H249" s="10">
        <f t="shared" si="229"/>
        <v>1.637328E-2</v>
      </c>
      <c r="I249" s="61">
        <f>0.15*I242</f>
        <v>0.18</v>
      </c>
      <c r="J249" s="70">
        <v>0</v>
      </c>
      <c r="K249" s="74"/>
      <c r="L249" s="75"/>
      <c r="M249" s="31" t="str">
        <f t="shared" si="226"/>
        <v>С8</v>
      </c>
      <c r="N249" s="31" t="str">
        <f t="shared" si="226"/>
        <v>Компрессор ГК№1-4, попутный нефтяной газ</v>
      </c>
      <c r="O249" s="31" t="str">
        <f t="shared" si="227"/>
        <v>Частичное-ликвидация</v>
      </c>
      <c r="P249" s="31" t="s">
        <v>46</v>
      </c>
      <c r="Q249" s="31" t="s">
        <v>46</v>
      </c>
      <c r="R249" s="31" t="s">
        <v>46</v>
      </c>
      <c r="S249" s="31" t="s">
        <v>46</v>
      </c>
      <c r="T249" s="31" t="s">
        <v>46</v>
      </c>
      <c r="U249" s="31" t="s">
        <v>46</v>
      </c>
      <c r="V249" s="31" t="s">
        <v>46</v>
      </c>
      <c r="W249" s="31" t="s">
        <v>46</v>
      </c>
      <c r="X249" s="31" t="s">
        <v>46</v>
      </c>
      <c r="Y249" s="31" t="s">
        <v>46</v>
      </c>
      <c r="Z249" s="31" t="s">
        <v>46</v>
      </c>
      <c r="AA249" s="31" t="s">
        <v>46</v>
      </c>
      <c r="AB249" s="31" t="s">
        <v>46</v>
      </c>
      <c r="AC249" s="31" t="s">
        <v>46</v>
      </c>
      <c r="AD249" s="31" t="s">
        <v>46</v>
      </c>
      <c r="AE249" s="31" t="s">
        <v>46</v>
      </c>
      <c r="AF249" s="31" t="s">
        <v>46</v>
      </c>
      <c r="AG249" s="31" t="s">
        <v>46</v>
      </c>
      <c r="AH249" s="31" t="s">
        <v>46</v>
      </c>
      <c r="AI249" s="31" t="s">
        <v>46</v>
      </c>
      <c r="AJ249" s="31">
        <v>0</v>
      </c>
      <c r="AK249" s="31">
        <v>0</v>
      </c>
      <c r="AL249" s="31">
        <f>0.1*$AL$2</f>
        <v>7.5000000000000011E-2</v>
      </c>
      <c r="AM249" s="31">
        <f>AM242</f>
        <v>2.7E-2</v>
      </c>
      <c r="AN249" s="31">
        <f>ROUNDUP(AN242/3,0)</f>
        <v>1</v>
      </c>
      <c r="AO249" s="31"/>
      <c r="AP249" s="31"/>
      <c r="AQ249" s="32">
        <f>AM249*I249*0.1+AL249</f>
        <v>7.5486000000000011E-2</v>
      </c>
      <c r="AR249" s="32">
        <f t="shared" si="230"/>
        <v>7.5486000000000017E-3</v>
      </c>
      <c r="AS249" s="33">
        <f t="shared" si="231"/>
        <v>0</v>
      </c>
      <c r="AT249" s="33">
        <f t="shared" si="232"/>
        <v>2.0758650000000003E-2</v>
      </c>
      <c r="AU249" s="32">
        <f>1333*J248*POWER(10,-6)</f>
        <v>2.3993999999999998E-4</v>
      </c>
      <c r="AV249" s="33">
        <f t="shared" si="228"/>
        <v>0.10403319000000003</v>
      </c>
      <c r="AW249" s="34">
        <f t="shared" si="233"/>
        <v>0</v>
      </c>
      <c r="AX249" s="34">
        <f t="shared" si="234"/>
        <v>0</v>
      </c>
      <c r="AY249" s="34">
        <f t="shared" si="235"/>
        <v>1.7033645491632006E-3</v>
      </c>
      <c r="AZ249" s="289">
        <f>AW249/DB!$B$23</f>
        <v>0</v>
      </c>
      <c r="BA249" s="289">
        <f>AX249/DB!$B$23</f>
        <v>0</v>
      </c>
    </row>
    <row r="250" spans="1:53" x14ac:dyDescent="0.3">
      <c r="A250" s="12"/>
      <c r="B250" s="12"/>
      <c r="C250" s="31"/>
      <c r="D250" s="166"/>
      <c r="E250" s="167"/>
      <c r="F250" s="168"/>
      <c r="G250" s="12"/>
      <c r="H250" s="34"/>
      <c r="I250" s="33"/>
      <c r="J250" s="12"/>
      <c r="K250" s="12"/>
      <c r="L250" s="12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2"/>
      <c r="AR250" s="32"/>
      <c r="AS250" s="33"/>
      <c r="AT250" s="33"/>
      <c r="AU250" s="32"/>
      <c r="AV250" s="33"/>
      <c r="AW250" s="34"/>
      <c r="AX250" s="34"/>
      <c r="AY250" s="34"/>
    </row>
    <row r="251" spans="1:53" ht="15" thickBot="1" x14ac:dyDescent="0.35"/>
    <row r="252" spans="1:53" s="356" customFormat="1" ht="15" thickBot="1" x14ac:dyDescent="0.35">
      <c r="A252" s="346" t="s">
        <v>18</v>
      </c>
      <c r="B252" s="347" t="s">
        <v>105</v>
      </c>
      <c r="C252" s="348" t="s">
        <v>106</v>
      </c>
      <c r="D252" s="349" t="s">
        <v>25</v>
      </c>
      <c r="E252" s="350">
        <v>1.0000000000000001E-5</v>
      </c>
      <c r="F252" s="347">
        <v>1</v>
      </c>
      <c r="G252" s="346">
        <v>0.2</v>
      </c>
      <c r="H252" s="351">
        <f t="shared" ref="H252:H257" si="237">E252*F252*G252</f>
        <v>2.0000000000000003E-6</v>
      </c>
      <c r="I252" s="352">
        <v>8.75</v>
      </c>
      <c r="J252" s="353">
        <f>I252</f>
        <v>8.75</v>
      </c>
      <c r="K252" s="354" t="s">
        <v>122</v>
      </c>
      <c r="L252" s="355">
        <v>300</v>
      </c>
      <c r="M252" s="356" t="str">
        <f t="shared" ref="M252:M257" si="238">A252</f>
        <v>С1</v>
      </c>
      <c r="N252" s="356" t="str">
        <f t="shared" ref="N252:N257" si="239">B252</f>
        <v>Трубопровод ЛВЖ</v>
      </c>
      <c r="O252" s="356" t="str">
        <f t="shared" ref="O252:O257" si="240">D252</f>
        <v>Полное-пожар</v>
      </c>
      <c r="P252" s="356">
        <v>17.100000000000001</v>
      </c>
      <c r="Q252" s="356">
        <v>23.5</v>
      </c>
      <c r="R252" s="356">
        <v>33.1</v>
      </c>
      <c r="S252" s="356">
        <v>61.2</v>
      </c>
      <c r="T252" s="356" t="s">
        <v>46</v>
      </c>
      <c r="U252" s="356" t="s">
        <v>46</v>
      </c>
      <c r="V252" s="356" t="s">
        <v>46</v>
      </c>
      <c r="W252" s="356" t="s">
        <v>46</v>
      </c>
      <c r="X252" s="356" t="s">
        <v>46</v>
      </c>
      <c r="Y252" s="356" t="s">
        <v>46</v>
      </c>
      <c r="Z252" s="356" t="s">
        <v>46</v>
      </c>
      <c r="AA252" s="356" t="s">
        <v>46</v>
      </c>
      <c r="AB252" s="356" t="s">
        <v>46</v>
      </c>
      <c r="AC252" s="356" t="s">
        <v>46</v>
      </c>
      <c r="AD252" s="356" t="s">
        <v>46</v>
      </c>
      <c r="AE252" s="356" t="s">
        <v>46</v>
      </c>
      <c r="AF252" s="356" t="s">
        <v>46</v>
      </c>
      <c r="AG252" s="356" t="s">
        <v>46</v>
      </c>
      <c r="AH252" s="356" t="s">
        <v>46</v>
      </c>
      <c r="AI252" s="356" t="s">
        <v>46</v>
      </c>
      <c r="AJ252" s="357">
        <v>1</v>
      </c>
      <c r="AK252" s="357">
        <v>2</v>
      </c>
      <c r="AL252" s="358">
        <v>0.75</v>
      </c>
      <c r="AM252" s="358">
        <v>2.7E-2</v>
      </c>
      <c r="AN252" s="358">
        <v>3</v>
      </c>
      <c r="AQ252" s="359">
        <f>AM252*I252+AL252</f>
        <v>0.98624999999999996</v>
      </c>
      <c r="AR252" s="359">
        <f t="shared" ref="AR252:AR257" si="241">0.1*AQ252</f>
        <v>9.8625000000000004E-2</v>
      </c>
      <c r="AS252" s="360">
        <f t="shared" ref="AS252:AS257" si="242">AJ252*3+0.25*AK252</f>
        <v>3.5</v>
      </c>
      <c r="AT252" s="360">
        <f t="shared" ref="AT252:AT257" si="243">SUM(AQ252:AS252)/4</f>
        <v>1.1462187500000001</v>
      </c>
      <c r="AU252" s="359">
        <f>10068.2*J252*POWER(10,-6)</f>
        <v>8.8096750000000001E-2</v>
      </c>
      <c r="AV252" s="360">
        <f t="shared" ref="AV252:AV257" si="244">AU252+AT252+AS252+AR252+AQ252</f>
        <v>5.8191905000000004</v>
      </c>
      <c r="AW252" s="361">
        <f t="shared" ref="AW252:AW257" si="245">AJ252*H252</f>
        <v>2.0000000000000003E-6</v>
      </c>
      <c r="AX252" s="361">
        <f t="shared" ref="AX252:AX257" si="246">H252*AK252</f>
        <v>4.0000000000000007E-6</v>
      </c>
      <c r="AY252" s="361">
        <f t="shared" ref="AY252:AY257" si="247">H252*AV252</f>
        <v>1.1638381000000003E-5</v>
      </c>
      <c r="AZ252" s="362">
        <f>AW252/DB!$B$23</f>
        <v>2.4096385542168678E-9</v>
      </c>
      <c r="BA252" s="362">
        <f>AX252/DB!$B$23</f>
        <v>4.8192771084337357E-9</v>
      </c>
    </row>
    <row r="253" spans="1:53" s="356" customFormat="1" ht="15" thickBot="1" x14ac:dyDescent="0.35">
      <c r="A253" s="346" t="s">
        <v>19</v>
      </c>
      <c r="B253" s="346" t="str">
        <f>B252</f>
        <v>Трубопровод ЛВЖ</v>
      </c>
      <c r="C253" s="348" t="s">
        <v>862</v>
      </c>
      <c r="D253" s="349" t="s">
        <v>863</v>
      </c>
      <c r="E253" s="363">
        <f>E252</f>
        <v>1.0000000000000001E-5</v>
      </c>
      <c r="F253" s="364">
        <f>F252</f>
        <v>1</v>
      </c>
      <c r="G253" s="346">
        <v>0.04</v>
      </c>
      <c r="H253" s="351">
        <f t="shared" si="237"/>
        <v>4.0000000000000003E-7</v>
      </c>
      <c r="I253" s="365">
        <f>I252</f>
        <v>8.75</v>
      </c>
      <c r="J253" s="366">
        <v>0.625</v>
      </c>
      <c r="K253" s="354" t="s">
        <v>123</v>
      </c>
      <c r="L253" s="355">
        <v>0</v>
      </c>
      <c r="M253" s="356" t="str">
        <f t="shared" si="238"/>
        <v>С2</v>
      </c>
      <c r="N253" s="356" t="str">
        <f t="shared" si="239"/>
        <v>Трубопровод ЛВЖ</v>
      </c>
      <c r="O253" s="356" t="str">
        <f t="shared" si="240"/>
        <v>Полное-пожар-вспышка</v>
      </c>
      <c r="P253" s="356" t="s">
        <v>46</v>
      </c>
      <c r="Q253" s="356" t="s">
        <v>46</v>
      </c>
      <c r="R253" s="356" t="s">
        <v>46</v>
      </c>
      <c r="S253" s="356" t="s">
        <v>46</v>
      </c>
      <c r="T253" s="356">
        <v>0</v>
      </c>
      <c r="U253" s="356">
        <v>0</v>
      </c>
      <c r="V253" s="356">
        <v>64.599999999999994</v>
      </c>
      <c r="W253" s="356">
        <v>216.1</v>
      </c>
      <c r="X253" s="356">
        <v>562.6</v>
      </c>
      <c r="Y253" s="356" t="s">
        <v>46</v>
      </c>
      <c r="Z253" s="356" t="s">
        <v>46</v>
      </c>
      <c r="AA253" s="356" t="s">
        <v>46</v>
      </c>
      <c r="AB253" s="356" t="s">
        <v>46</v>
      </c>
      <c r="AC253" s="356" t="s">
        <v>46</v>
      </c>
      <c r="AD253" s="356" t="s">
        <v>46</v>
      </c>
      <c r="AE253" s="356" t="s">
        <v>46</v>
      </c>
      <c r="AF253" s="356" t="s">
        <v>46</v>
      </c>
      <c r="AG253" s="356" t="s">
        <v>46</v>
      </c>
      <c r="AH253" s="356" t="s">
        <v>46</v>
      </c>
      <c r="AI253" s="356" t="s">
        <v>46</v>
      </c>
      <c r="AJ253" s="357">
        <v>2</v>
      </c>
      <c r="AK253" s="357">
        <v>2</v>
      </c>
      <c r="AL253" s="356">
        <f>AL252</f>
        <v>0.75</v>
      </c>
      <c r="AM253" s="356">
        <f>AM252</f>
        <v>2.7E-2</v>
      </c>
      <c r="AN253" s="356">
        <f>AN252</f>
        <v>3</v>
      </c>
      <c r="AQ253" s="359">
        <f>AM253*I253+AL253</f>
        <v>0.98624999999999996</v>
      </c>
      <c r="AR253" s="359">
        <f t="shared" si="241"/>
        <v>9.8625000000000004E-2</v>
      </c>
      <c r="AS253" s="360">
        <f t="shared" si="242"/>
        <v>6.5</v>
      </c>
      <c r="AT253" s="360">
        <f t="shared" si="243"/>
        <v>1.8962187500000001</v>
      </c>
      <c r="AU253" s="359">
        <f>10068.2*J253*POWER(10,-6)*10</f>
        <v>6.2926249999999989E-2</v>
      </c>
      <c r="AV253" s="360">
        <f t="shared" si="244"/>
        <v>9.5440199999999997</v>
      </c>
      <c r="AW253" s="361">
        <f t="shared" si="245"/>
        <v>8.0000000000000007E-7</v>
      </c>
      <c r="AX253" s="361">
        <f t="shared" si="246"/>
        <v>8.0000000000000007E-7</v>
      </c>
      <c r="AY253" s="361">
        <f t="shared" si="247"/>
        <v>3.8176079999999999E-6</v>
      </c>
      <c r="AZ253" s="362">
        <f>AW253/DB!$B$23</f>
        <v>9.6385542168674709E-10</v>
      </c>
      <c r="BA253" s="362">
        <f>AX253/DB!$B$23</f>
        <v>9.6385542168674709E-10</v>
      </c>
    </row>
    <row r="254" spans="1:53" s="356" customFormat="1" x14ac:dyDescent="0.3">
      <c r="A254" s="346" t="s">
        <v>20</v>
      </c>
      <c r="B254" s="346" t="str">
        <f>B252</f>
        <v>Трубопровод ЛВЖ</v>
      </c>
      <c r="C254" s="348" t="s">
        <v>108</v>
      </c>
      <c r="D254" s="349" t="s">
        <v>26</v>
      </c>
      <c r="E254" s="363">
        <f>E252</f>
        <v>1.0000000000000001E-5</v>
      </c>
      <c r="F254" s="364">
        <f>F252</f>
        <v>1</v>
      </c>
      <c r="G254" s="346">
        <v>0.76</v>
      </c>
      <c r="H254" s="351">
        <f t="shared" si="237"/>
        <v>7.6000000000000009E-6</v>
      </c>
      <c r="I254" s="365">
        <f>I252</f>
        <v>8.75</v>
      </c>
      <c r="J254" s="367">
        <v>0</v>
      </c>
      <c r="K254" s="354" t="s">
        <v>124</v>
      </c>
      <c r="L254" s="355">
        <v>0</v>
      </c>
      <c r="M254" s="356" t="str">
        <f t="shared" si="238"/>
        <v>С3</v>
      </c>
      <c r="N254" s="356" t="str">
        <f t="shared" si="239"/>
        <v>Трубопровод ЛВЖ</v>
      </c>
      <c r="O254" s="356" t="str">
        <f t="shared" si="240"/>
        <v>Полное-ликвидация</v>
      </c>
      <c r="P254" s="356" t="s">
        <v>46</v>
      </c>
      <c r="Q254" s="356" t="s">
        <v>46</v>
      </c>
      <c r="R254" s="356" t="s">
        <v>46</v>
      </c>
      <c r="S254" s="356" t="s">
        <v>46</v>
      </c>
      <c r="T254" s="356" t="s">
        <v>46</v>
      </c>
      <c r="U254" s="356" t="s">
        <v>46</v>
      </c>
      <c r="V254" s="356" t="s">
        <v>46</v>
      </c>
      <c r="W254" s="356" t="s">
        <v>46</v>
      </c>
      <c r="X254" s="356" t="s">
        <v>46</v>
      </c>
      <c r="Y254" s="356" t="s">
        <v>46</v>
      </c>
      <c r="Z254" s="356" t="s">
        <v>46</v>
      </c>
      <c r="AA254" s="356" t="s">
        <v>46</v>
      </c>
      <c r="AB254" s="356" t="s">
        <v>46</v>
      </c>
      <c r="AC254" s="356" t="s">
        <v>46</v>
      </c>
      <c r="AD254" s="356" t="s">
        <v>46</v>
      </c>
      <c r="AE254" s="356" t="s">
        <v>46</v>
      </c>
      <c r="AF254" s="356" t="s">
        <v>46</v>
      </c>
      <c r="AG254" s="356" t="s">
        <v>46</v>
      </c>
      <c r="AH254" s="356" t="s">
        <v>46</v>
      </c>
      <c r="AI254" s="356" t="s">
        <v>46</v>
      </c>
      <c r="AJ254" s="356">
        <v>0</v>
      </c>
      <c r="AK254" s="356">
        <v>0</v>
      </c>
      <c r="AL254" s="356">
        <f>AL252</f>
        <v>0.75</v>
      </c>
      <c r="AM254" s="356">
        <f>AM252</f>
        <v>2.7E-2</v>
      </c>
      <c r="AN254" s="356">
        <f>AN252</f>
        <v>3</v>
      </c>
      <c r="AQ254" s="359">
        <f>AM254*I254*0.1+AL254</f>
        <v>0.77362500000000001</v>
      </c>
      <c r="AR254" s="359">
        <f t="shared" si="241"/>
        <v>7.7362500000000001E-2</v>
      </c>
      <c r="AS254" s="360">
        <f t="shared" si="242"/>
        <v>0</v>
      </c>
      <c r="AT254" s="360">
        <f t="shared" si="243"/>
        <v>0.212746875</v>
      </c>
      <c r="AU254" s="359">
        <f>1333*J253*POWER(10,-6)</f>
        <v>8.3312499999999999E-4</v>
      </c>
      <c r="AV254" s="360">
        <f t="shared" si="244"/>
        <v>1.0645674999999999</v>
      </c>
      <c r="AW254" s="361">
        <f t="shared" si="245"/>
        <v>0</v>
      </c>
      <c r="AX254" s="361">
        <f t="shared" si="246"/>
        <v>0</v>
      </c>
      <c r="AY254" s="361">
        <f t="shared" si="247"/>
        <v>8.0907130000000009E-6</v>
      </c>
      <c r="AZ254" s="362">
        <f>AW254/DB!$B$23</f>
        <v>0</v>
      </c>
      <c r="BA254" s="362">
        <f>AX254/DB!$B$23</f>
        <v>0</v>
      </c>
    </row>
    <row r="255" spans="1:53" s="356" customFormat="1" x14ac:dyDescent="0.3">
      <c r="A255" s="346" t="s">
        <v>21</v>
      </c>
      <c r="B255" s="346" t="str">
        <f>B252</f>
        <v>Трубопровод ЛВЖ</v>
      </c>
      <c r="C255" s="348" t="s">
        <v>109</v>
      </c>
      <c r="D255" s="349" t="s">
        <v>47</v>
      </c>
      <c r="E255" s="350">
        <v>1E-4</v>
      </c>
      <c r="F255" s="364">
        <f>F252</f>
        <v>1</v>
      </c>
      <c r="G255" s="346">
        <v>0.2</v>
      </c>
      <c r="H255" s="351">
        <f t="shared" si="237"/>
        <v>2.0000000000000002E-5</v>
      </c>
      <c r="I255" s="365">
        <f>0.15*I252</f>
        <v>1.3125</v>
      </c>
      <c r="J255" s="353">
        <f>I255</f>
        <v>1.3125</v>
      </c>
      <c r="K255" s="368" t="s">
        <v>126</v>
      </c>
      <c r="L255" s="369">
        <v>45390</v>
      </c>
      <c r="M255" s="356" t="str">
        <f t="shared" si="238"/>
        <v>С4</v>
      </c>
      <c r="N255" s="356" t="str">
        <f t="shared" si="239"/>
        <v>Трубопровод ЛВЖ</v>
      </c>
      <c r="O255" s="356" t="str">
        <f t="shared" si="240"/>
        <v>Частичное-пожар</v>
      </c>
      <c r="P255" s="356">
        <v>12.8</v>
      </c>
      <c r="Q255" s="356">
        <v>16.399999999999999</v>
      </c>
      <c r="R255" s="356">
        <v>21.7</v>
      </c>
      <c r="S255" s="356">
        <v>37.299999999999997</v>
      </c>
      <c r="T255" s="356" t="s">
        <v>46</v>
      </c>
      <c r="U255" s="356" t="s">
        <v>46</v>
      </c>
      <c r="V255" s="356" t="s">
        <v>46</v>
      </c>
      <c r="W255" s="356" t="s">
        <v>46</v>
      </c>
      <c r="X255" s="356" t="s">
        <v>46</v>
      </c>
      <c r="Y255" s="356" t="s">
        <v>46</v>
      </c>
      <c r="Z255" s="356" t="s">
        <v>46</v>
      </c>
      <c r="AA255" s="356" t="s">
        <v>46</v>
      </c>
      <c r="AB255" s="356" t="s">
        <v>46</v>
      </c>
      <c r="AC255" s="356" t="s">
        <v>46</v>
      </c>
      <c r="AD255" s="356" t="s">
        <v>46</v>
      </c>
      <c r="AE255" s="356" t="s">
        <v>46</v>
      </c>
      <c r="AF255" s="356" t="s">
        <v>46</v>
      </c>
      <c r="AG255" s="356" t="s">
        <v>46</v>
      </c>
      <c r="AH255" s="356" t="s">
        <v>46</v>
      </c>
      <c r="AI255" s="356" t="s">
        <v>46</v>
      </c>
      <c r="AJ255" s="356">
        <v>0</v>
      </c>
      <c r="AK255" s="356">
        <v>2</v>
      </c>
      <c r="AL255" s="356">
        <f>0.1*$AL$2</f>
        <v>7.5000000000000011E-2</v>
      </c>
      <c r="AM255" s="356">
        <f>AM252</f>
        <v>2.7E-2</v>
      </c>
      <c r="AN255" s="356">
        <f>ROUNDUP(AN252/3,0)</f>
        <v>1</v>
      </c>
      <c r="AQ255" s="359">
        <f>AM255*I255+AL255</f>
        <v>0.11043750000000001</v>
      </c>
      <c r="AR255" s="359">
        <f t="shared" si="241"/>
        <v>1.1043750000000001E-2</v>
      </c>
      <c r="AS255" s="360">
        <f t="shared" si="242"/>
        <v>0.5</v>
      </c>
      <c r="AT255" s="360">
        <f t="shared" si="243"/>
        <v>0.1553703125</v>
      </c>
      <c r="AU255" s="359">
        <f>10068.2*J255*POWER(10,-6)</f>
        <v>1.3214512500000001E-2</v>
      </c>
      <c r="AV255" s="360">
        <f t="shared" si="244"/>
        <v>0.79006607499999992</v>
      </c>
      <c r="AW255" s="361">
        <f t="shared" si="245"/>
        <v>0</v>
      </c>
      <c r="AX255" s="361">
        <f t="shared" si="246"/>
        <v>4.0000000000000003E-5</v>
      </c>
      <c r="AY255" s="361">
        <f t="shared" si="247"/>
        <v>1.5801321499999999E-5</v>
      </c>
      <c r="AZ255" s="362">
        <f>AW255/DB!$B$23</f>
        <v>0</v>
      </c>
      <c r="BA255" s="362">
        <f>AX255/DB!$B$23</f>
        <v>4.8192771084337353E-8</v>
      </c>
    </row>
    <row r="256" spans="1:53" s="356" customFormat="1" x14ac:dyDescent="0.3">
      <c r="A256" s="346" t="s">
        <v>22</v>
      </c>
      <c r="B256" s="346" t="str">
        <f>B252</f>
        <v>Трубопровод ЛВЖ</v>
      </c>
      <c r="C256" s="348" t="s">
        <v>110</v>
      </c>
      <c r="D256" s="349" t="s">
        <v>112</v>
      </c>
      <c r="E256" s="363">
        <f>E255</f>
        <v>1E-4</v>
      </c>
      <c r="F256" s="364">
        <f>F252</f>
        <v>1</v>
      </c>
      <c r="G256" s="346">
        <v>0.04</v>
      </c>
      <c r="H256" s="351">
        <f t="shared" si="237"/>
        <v>4.0000000000000007E-6</v>
      </c>
      <c r="I256" s="365">
        <f>0.15*I252</f>
        <v>1.3125</v>
      </c>
      <c r="J256" s="353">
        <f>0.15*J253</f>
        <v>9.375E-2</v>
      </c>
      <c r="K256" s="368" t="s">
        <v>127</v>
      </c>
      <c r="L256" s="369">
        <v>3</v>
      </c>
      <c r="M256" s="356" t="str">
        <f t="shared" si="238"/>
        <v>С5</v>
      </c>
      <c r="N256" s="356" t="str">
        <f t="shared" si="239"/>
        <v>Трубопровод ЛВЖ</v>
      </c>
      <c r="O256" s="356" t="str">
        <f t="shared" si="240"/>
        <v>Частичное-пожар-вспышка</v>
      </c>
      <c r="P256" s="356" t="s">
        <v>46</v>
      </c>
      <c r="Q256" s="356" t="s">
        <v>46</v>
      </c>
      <c r="R256" s="356" t="s">
        <v>46</v>
      </c>
      <c r="S256" s="356" t="s">
        <v>46</v>
      </c>
      <c r="T256" s="356" t="s">
        <v>46</v>
      </c>
      <c r="U256" s="356" t="s">
        <v>46</v>
      </c>
      <c r="V256" s="356" t="s">
        <v>46</v>
      </c>
      <c r="W256" s="356" t="s">
        <v>46</v>
      </c>
      <c r="X256" s="356" t="s">
        <v>46</v>
      </c>
      <c r="Y256" s="356" t="s">
        <v>46</v>
      </c>
      <c r="Z256" s="356" t="s">
        <v>46</v>
      </c>
      <c r="AA256" s="356">
        <v>15.35</v>
      </c>
      <c r="AB256" s="356">
        <v>18.420000000000002</v>
      </c>
      <c r="AC256" s="356" t="s">
        <v>46</v>
      </c>
      <c r="AD256" s="356" t="s">
        <v>46</v>
      </c>
      <c r="AE256" s="356" t="s">
        <v>46</v>
      </c>
      <c r="AF256" s="356" t="s">
        <v>46</v>
      </c>
      <c r="AG256" s="356" t="s">
        <v>46</v>
      </c>
      <c r="AH256" s="356" t="s">
        <v>46</v>
      </c>
      <c r="AI256" s="356" t="s">
        <v>46</v>
      </c>
      <c r="AJ256" s="356">
        <v>0</v>
      </c>
      <c r="AK256" s="356">
        <v>1</v>
      </c>
      <c r="AL256" s="356">
        <f>0.1*$AL$2</f>
        <v>7.5000000000000011E-2</v>
      </c>
      <c r="AM256" s="356">
        <f>AM252</f>
        <v>2.7E-2</v>
      </c>
      <c r="AN256" s="356">
        <f>ROUNDUP(AN252/3,0)</f>
        <v>1</v>
      </c>
      <c r="AQ256" s="359">
        <f>AM256*I256+AL256</f>
        <v>0.11043750000000001</v>
      </c>
      <c r="AR256" s="359">
        <f t="shared" si="241"/>
        <v>1.1043750000000001E-2</v>
      </c>
      <c r="AS256" s="360">
        <f t="shared" si="242"/>
        <v>0.25</v>
      </c>
      <c r="AT256" s="360">
        <f t="shared" si="243"/>
        <v>9.2870312499999996E-2</v>
      </c>
      <c r="AU256" s="359">
        <f>10068.2*J256*POWER(10,-6)*10</f>
        <v>9.4389375000000011E-3</v>
      </c>
      <c r="AV256" s="360">
        <f t="shared" si="244"/>
        <v>0.47379050000000006</v>
      </c>
      <c r="AW256" s="361">
        <f t="shared" si="245"/>
        <v>0</v>
      </c>
      <c r="AX256" s="361">
        <f t="shared" si="246"/>
        <v>4.0000000000000007E-6</v>
      </c>
      <c r="AY256" s="361">
        <f t="shared" si="247"/>
        <v>1.8951620000000005E-6</v>
      </c>
      <c r="AZ256" s="362">
        <f>AW256/DB!$B$23</f>
        <v>0</v>
      </c>
      <c r="BA256" s="362">
        <f>AX256/DB!$B$23</f>
        <v>4.8192771084337357E-9</v>
      </c>
    </row>
    <row r="257" spans="1:53" s="356" customFormat="1" x14ac:dyDescent="0.3">
      <c r="A257" s="370" t="s">
        <v>23</v>
      </c>
      <c r="B257" s="370" t="str">
        <f>B252</f>
        <v>Трубопровод ЛВЖ</v>
      </c>
      <c r="C257" s="371" t="s">
        <v>111</v>
      </c>
      <c r="D257" s="372" t="s">
        <v>27</v>
      </c>
      <c r="E257" s="373">
        <f>E255</f>
        <v>1E-4</v>
      </c>
      <c r="F257" s="374">
        <f>F252</f>
        <v>1</v>
      </c>
      <c r="G257" s="370">
        <v>0.76</v>
      </c>
      <c r="H257" s="375">
        <f t="shared" si="237"/>
        <v>7.6000000000000004E-5</v>
      </c>
      <c r="I257" s="376">
        <f>0.15*I252</f>
        <v>1.3125</v>
      </c>
      <c r="J257" s="377">
        <v>0</v>
      </c>
      <c r="K257" s="378" t="s">
        <v>138</v>
      </c>
      <c r="L257" s="379">
        <v>25</v>
      </c>
      <c r="M257" s="356" t="str">
        <f t="shared" si="238"/>
        <v>С6</v>
      </c>
      <c r="N257" s="356" t="str">
        <f t="shared" si="239"/>
        <v>Трубопровод ЛВЖ</v>
      </c>
      <c r="O257" s="356" t="str">
        <f t="shared" si="240"/>
        <v>Частичное-ликвидация</v>
      </c>
      <c r="P257" s="356" t="s">
        <v>46</v>
      </c>
      <c r="Q257" s="356" t="s">
        <v>46</v>
      </c>
      <c r="R257" s="356" t="s">
        <v>46</v>
      </c>
      <c r="S257" s="356" t="s">
        <v>46</v>
      </c>
      <c r="T257" s="356" t="s">
        <v>46</v>
      </c>
      <c r="U257" s="356" t="s">
        <v>46</v>
      </c>
      <c r="V257" s="356" t="s">
        <v>46</v>
      </c>
      <c r="W257" s="356" t="s">
        <v>46</v>
      </c>
      <c r="X257" s="356" t="s">
        <v>46</v>
      </c>
      <c r="Y257" s="356" t="s">
        <v>46</v>
      </c>
      <c r="Z257" s="356" t="s">
        <v>46</v>
      </c>
      <c r="AA257" s="356" t="s">
        <v>46</v>
      </c>
      <c r="AB257" s="356" t="s">
        <v>46</v>
      </c>
      <c r="AC257" s="356" t="s">
        <v>46</v>
      </c>
      <c r="AD257" s="356" t="s">
        <v>46</v>
      </c>
      <c r="AE257" s="356" t="s">
        <v>46</v>
      </c>
      <c r="AF257" s="356" t="s">
        <v>46</v>
      </c>
      <c r="AG257" s="356" t="s">
        <v>46</v>
      </c>
      <c r="AH257" s="356" t="s">
        <v>46</v>
      </c>
      <c r="AI257" s="356" t="s">
        <v>46</v>
      </c>
      <c r="AJ257" s="356">
        <v>0</v>
      </c>
      <c r="AK257" s="356">
        <v>0</v>
      </c>
      <c r="AL257" s="356">
        <f>0.1*$AL$2</f>
        <v>7.5000000000000011E-2</v>
      </c>
      <c r="AM257" s="356">
        <f>AM252</f>
        <v>2.7E-2</v>
      </c>
      <c r="AN257" s="356">
        <f>ROUNDUP(AN252/3,0)</f>
        <v>1</v>
      </c>
      <c r="AQ257" s="359">
        <f>AM257*I257*0.1+AL257</f>
        <v>7.8543750000000009E-2</v>
      </c>
      <c r="AR257" s="359">
        <f t="shared" si="241"/>
        <v>7.854375000000002E-3</v>
      </c>
      <c r="AS257" s="360">
        <f t="shared" si="242"/>
        <v>0</v>
      </c>
      <c r="AT257" s="360">
        <f t="shared" si="243"/>
        <v>2.1599531250000002E-2</v>
      </c>
      <c r="AU257" s="359">
        <f>1333*J256*POWER(10,-6)</f>
        <v>1.2496875E-4</v>
      </c>
      <c r="AV257" s="360">
        <f t="shared" si="244"/>
        <v>0.10812262500000001</v>
      </c>
      <c r="AW257" s="361">
        <f t="shared" si="245"/>
        <v>0</v>
      </c>
      <c r="AX257" s="361">
        <f t="shared" si="246"/>
        <v>0</v>
      </c>
      <c r="AY257" s="361">
        <f t="shared" si="247"/>
        <v>8.2173195000000018E-6</v>
      </c>
      <c r="AZ257" s="362">
        <f>AW257/DB!$B$23</f>
        <v>0</v>
      </c>
      <c r="BA257" s="362">
        <f>AX257/DB!$B$23</f>
        <v>0</v>
      </c>
    </row>
    <row r="258" spans="1:53" s="348" customFormat="1" x14ac:dyDescent="0.3">
      <c r="A258" s="346"/>
      <c r="B258" s="346"/>
      <c r="C258" s="346"/>
      <c r="D258" s="346"/>
      <c r="E258" s="346"/>
      <c r="F258" s="346"/>
      <c r="G258" s="346"/>
      <c r="H258" s="346"/>
      <c r="I258" s="346"/>
      <c r="J258" s="346"/>
      <c r="K258" s="346"/>
      <c r="L258" s="346"/>
      <c r="M258" s="346"/>
      <c r="N258" s="346"/>
      <c r="O258" s="346"/>
      <c r="P258" s="346"/>
      <c r="Q258" s="346"/>
      <c r="R258" s="346"/>
      <c r="S258" s="346"/>
      <c r="T258" s="346"/>
      <c r="U258" s="346"/>
      <c r="V258" s="346"/>
      <c r="W258" s="346"/>
      <c r="X258" s="346"/>
      <c r="Y258" s="346"/>
      <c r="Z258" s="346"/>
      <c r="AA258" s="346"/>
      <c r="AB258" s="346"/>
      <c r="AC258" s="346"/>
      <c r="AD258" s="346"/>
      <c r="AE258" s="346"/>
      <c r="AF258" s="346"/>
      <c r="AG258" s="346"/>
      <c r="AH258" s="346"/>
      <c r="AI258" s="346"/>
      <c r="AJ258" s="346"/>
      <c r="AK258" s="346"/>
      <c r="AL258" s="346"/>
      <c r="AM258" s="346"/>
      <c r="AN258" s="346"/>
      <c r="AO258" s="346"/>
      <c r="AP258" s="346"/>
      <c r="AQ258" s="346"/>
      <c r="AR258" s="346"/>
      <c r="AS258" s="346"/>
      <c r="AT258" s="346"/>
      <c r="AU258" s="346"/>
      <c r="AV258" s="346"/>
      <c r="AW258" s="346"/>
      <c r="AX258" s="346"/>
      <c r="AY258" s="346"/>
    </row>
    <row r="259" spans="1:53" s="348" customFormat="1" x14ac:dyDescent="0.3">
      <c r="A259" s="346"/>
      <c r="B259" s="346"/>
      <c r="C259" s="346"/>
      <c r="D259" s="346"/>
      <c r="E259" s="346"/>
      <c r="F259" s="346"/>
      <c r="G259" s="346"/>
      <c r="H259" s="346"/>
      <c r="I259" s="346"/>
      <c r="J259" s="346"/>
      <c r="K259" s="346"/>
      <c r="L259" s="346"/>
      <c r="M259" s="346"/>
      <c r="N259" s="346"/>
      <c r="O259" s="346"/>
      <c r="P259" s="346"/>
      <c r="Q259" s="346"/>
      <c r="R259" s="346"/>
      <c r="S259" s="346"/>
      <c r="T259" s="346"/>
      <c r="U259" s="346"/>
      <c r="V259" s="346"/>
      <c r="W259" s="346"/>
      <c r="X259" s="346"/>
      <c r="Y259" s="346"/>
      <c r="Z259" s="346"/>
      <c r="AA259" s="346"/>
      <c r="AB259" s="346"/>
      <c r="AC259" s="346"/>
      <c r="AD259" s="346"/>
      <c r="AE259" s="346"/>
      <c r="AF259" s="346"/>
      <c r="AG259" s="346"/>
      <c r="AH259" s="346"/>
      <c r="AI259" s="346"/>
      <c r="AJ259" s="346"/>
      <c r="AK259" s="346"/>
      <c r="AL259" s="346"/>
      <c r="AM259" s="346"/>
      <c r="AN259" s="346"/>
      <c r="AO259" s="346"/>
      <c r="AP259" s="346"/>
      <c r="AQ259" s="346"/>
      <c r="AR259" s="346"/>
      <c r="AS259" s="346"/>
      <c r="AT259" s="346"/>
      <c r="AU259" s="346"/>
      <c r="AV259" s="346"/>
      <c r="AW259" s="346"/>
      <c r="AX259" s="346"/>
      <c r="AY259" s="346"/>
    </row>
    <row r="260" spans="1:53" s="348" customFormat="1" x14ac:dyDescent="0.3">
      <c r="A260" s="346"/>
      <c r="B260" s="346"/>
      <c r="C260" s="346"/>
      <c r="D260" s="346"/>
      <c r="E260" s="346"/>
      <c r="F260" s="346"/>
      <c r="G260" s="346"/>
      <c r="H260" s="346"/>
      <c r="I260" s="346"/>
      <c r="J260" s="346"/>
      <c r="K260" s="346"/>
      <c r="L260" s="346"/>
      <c r="M260" s="346"/>
      <c r="N260" s="346"/>
      <c r="O260" s="346"/>
      <c r="P260" s="346"/>
      <c r="Q260" s="346"/>
      <c r="R260" s="346"/>
      <c r="S260" s="346"/>
      <c r="T260" s="346"/>
      <c r="U260" s="346"/>
      <c r="V260" s="346"/>
      <c r="W260" s="346"/>
      <c r="X260" s="346"/>
      <c r="Y260" s="346"/>
      <c r="Z260" s="346"/>
      <c r="AA260" s="346"/>
      <c r="AB260" s="346"/>
      <c r="AC260" s="346"/>
      <c r="AD260" s="346"/>
      <c r="AE260" s="346"/>
      <c r="AF260" s="346"/>
      <c r="AG260" s="346"/>
      <c r="AH260" s="346"/>
      <c r="AI260" s="346"/>
      <c r="AJ260" s="346"/>
      <c r="AK260" s="346"/>
      <c r="AL260" s="346"/>
      <c r="AM260" s="346"/>
      <c r="AN260" s="346"/>
      <c r="AO260" s="346"/>
      <c r="AP260" s="346"/>
      <c r="AQ260" s="346"/>
      <c r="AR260" s="346"/>
      <c r="AS260" s="346"/>
      <c r="AT260" s="346"/>
      <c r="AU260" s="346"/>
      <c r="AV260" s="346"/>
      <c r="AW260" s="346"/>
      <c r="AX260" s="346"/>
      <c r="AY260" s="346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BF5D-EED3-4090-8FB4-CABCFAE197D2}">
  <dimension ref="A1"/>
  <sheetViews>
    <sheetView workbookViewId="0">
      <selection activeCell="AE3" sqref="AE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4"/>
  <dimension ref="A1:R39"/>
  <sheetViews>
    <sheetView workbookViewId="0">
      <selection activeCell="L29" sqref="L29"/>
    </sheetView>
  </sheetViews>
  <sheetFormatPr defaultRowHeight="14.4" x14ac:dyDescent="0.3"/>
  <cols>
    <col min="2" max="2" width="36.6640625" customWidth="1"/>
    <col min="3" max="3" width="15.5546875" customWidth="1"/>
    <col min="6" max="6" width="12.109375" customWidth="1"/>
    <col min="12" max="12" width="20.33203125" customWidth="1"/>
    <col min="13" max="13" width="10.6640625" customWidth="1"/>
    <col min="14" max="14" width="11.5546875" customWidth="1"/>
    <col min="15" max="15" width="79.33203125" customWidth="1"/>
  </cols>
  <sheetData>
    <row r="1" spans="1:15" ht="15" thickBot="1" x14ac:dyDescent="0.35">
      <c r="A1" s="395" t="s">
        <v>59</v>
      </c>
      <c r="B1" s="396"/>
      <c r="G1" s="19"/>
    </row>
    <row r="2" spans="1:15" ht="78.599999999999994" thickBot="1" x14ac:dyDescent="0.35">
      <c r="A2" s="20" t="s">
        <v>60</v>
      </c>
      <c r="B2" s="21" t="s">
        <v>61</v>
      </c>
      <c r="C2" s="22" t="s">
        <v>73</v>
      </c>
      <c r="D2" s="22" t="s">
        <v>74</v>
      </c>
      <c r="E2" s="22" t="s">
        <v>75</v>
      </c>
      <c r="F2" s="22" t="s">
        <v>62</v>
      </c>
      <c r="G2" s="22" t="s">
        <v>63</v>
      </c>
    </row>
    <row r="3" spans="1:15" ht="16.2" thickBot="1" x14ac:dyDescent="0.35">
      <c r="A3" s="23">
        <v>1</v>
      </c>
      <c r="B3" s="24" t="s">
        <v>64</v>
      </c>
      <c r="C3" s="25">
        <v>5000</v>
      </c>
      <c r="D3" s="25">
        <v>1.08</v>
      </c>
      <c r="E3" s="25">
        <v>0.10042</v>
      </c>
      <c r="F3" s="25">
        <v>0.79800000000000004</v>
      </c>
      <c r="G3" s="26">
        <f>C3*F3*E3*D3</f>
        <v>432.72986400000002</v>
      </c>
    </row>
    <row r="4" spans="1:15" ht="18.600000000000001" thickBot="1" x14ac:dyDescent="0.35">
      <c r="A4" s="23">
        <v>2</v>
      </c>
      <c r="B4" s="24" t="s">
        <v>65</v>
      </c>
      <c r="C4" s="25">
        <v>64289</v>
      </c>
      <c r="D4" s="25">
        <v>1.08</v>
      </c>
      <c r="E4" s="25">
        <v>0.10042</v>
      </c>
      <c r="F4" s="25">
        <v>6.6000000000000003E-2</v>
      </c>
      <c r="G4" s="26">
        <f t="shared" ref="G4:G10" si="0">C4*F4*E4*D4</f>
        <v>460.17665036640005</v>
      </c>
    </row>
    <row r="5" spans="1:15" ht="18.600000000000001" thickBot="1" x14ac:dyDescent="0.35">
      <c r="A5" s="23">
        <v>3</v>
      </c>
      <c r="B5" s="24" t="s">
        <v>66</v>
      </c>
      <c r="C5" s="25">
        <v>10723</v>
      </c>
      <c r="D5" s="25">
        <v>1.08</v>
      </c>
      <c r="E5" s="25">
        <v>0.10042</v>
      </c>
      <c r="F5" s="25">
        <v>0.26</v>
      </c>
      <c r="G5" s="26">
        <f t="shared" si="0"/>
        <v>302.36646772799998</v>
      </c>
    </row>
    <row r="6" spans="1:15" ht="18.600000000000001" thickBot="1" x14ac:dyDescent="0.35">
      <c r="A6" s="23">
        <v>4</v>
      </c>
      <c r="B6" s="24" t="s">
        <v>67</v>
      </c>
      <c r="C6" s="25">
        <v>50000</v>
      </c>
      <c r="D6" s="25">
        <v>1.08</v>
      </c>
      <c r="E6" s="25">
        <v>0.10042</v>
      </c>
      <c r="F6" s="25">
        <v>1E-3</v>
      </c>
      <c r="G6" s="26">
        <f t="shared" si="0"/>
        <v>5.4226800000000006</v>
      </c>
    </row>
    <row r="7" spans="1:15" ht="16.2" thickBot="1" x14ac:dyDescent="0.35">
      <c r="A7" s="23">
        <v>5</v>
      </c>
      <c r="B7" s="24" t="s">
        <v>68</v>
      </c>
      <c r="C7" s="25">
        <v>50000</v>
      </c>
      <c r="D7" s="25">
        <v>1.08</v>
      </c>
      <c r="E7" s="25">
        <v>0.10042</v>
      </c>
      <c r="F7" s="25">
        <v>1.615</v>
      </c>
      <c r="G7" s="26">
        <f t="shared" si="0"/>
        <v>8757.628200000001</v>
      </c>
    </row>
    <row r="8" spans="1:15" ht="16.2" thickBot="1" x14ac:dyDescent="0.35">
      <c r="A8" s="23">
        <v>6</v>
      </c>
      <c r="B8" s="24" t="s">
        <v>69</v>
      </c>
      <c r="C8" s="25">
        <v>50000</v>
      </c>
      <c r="D8" s="25">
        <v>1.08</v>
      </c>
      <c r="E8" s="25">
        <v>0.10042</v>
      </c>
      <c r="F8" s="25">
        <v>0.01</v>
      </c>
      <c r="G8" s="26">
        <f t="shared" si="0"/>
        <v>54.226800000000004</v>
      </c>
    </row>
    <row r="9" spans="1:15" ht="16.2" thickBot="1" x14ac:dyDescent="0.35">
      <c r="A9" s="23">
        <v>8</v>
      </c>
      <c r="B9" s="24" t="s">
        <v>70</v>
      </c>
      <c r="C9" s="25">
        <v>50000</v>
      </c>
      <c r="D9" s="25">
        <v>1.08</v>
      </c>
      <c r="E9" s="25">
        <v>0.10042</v>
      </c>
      <c r="F9" s="25">
        <v>0.01</v>
      </c>
      <c r="G9" s="26">
        <f t="shared" si="0"/>
        <v>54.226800000000004</v>
      </c>
    </row>
    <row r="10" spans="1:15" ht="18.600000000000001" thickBot="1" x14ac:dyDescent="0.35">
      <c r="A10" s="23">
        <v>9</v>
      </c>
      <c r="B10" s="24" t="s">
        <v>71</v>
      </c>
      <c r="C10" s="25">
        <v>93.5</v>
      </c>
      <c r="D10" s="25">
        <v>1.08</v>
      </c>
      <c r="E10" s="25">
        <v>0.10042</v>
      </c>
      <c r="F10" s="25">
        <v>0.14000000000000001</v>
      </c>
      <c r="G10" s="26">
        <f t="shared" si="0"/>
        <v>1.4196576240000001</v>
      </c>
    </row>
    <row r="11" spans="1:15" ht="16.2" thickBot="1" x14ac:dyDescent="0.35">
      <c r="A11" s="27"/>
      <c r="B11" s="28"/>
      <c r="C11" s="28"/>
      <c r="D11" s="28"/>
      <c r="E11" s="397" t="s">
        <v>72</v>
      </c>
      <c r="F11" s="398"/>
      <c r="G11" s="29">
        <f>SUM(G3:G10)</f>
        <v>10068.197119718401</v>
      </c>
    </row>
    <row r="13" spans="1:15" ht="15" thickBot="1" x14ac:dyDescent="0.35"/>
    <row r="14" spans="1:15" ht="113.4" thickBot="1" x14ac:dyDescent="0.4">
      <c r="A14" s="20" t="s">
        <v>60</v>
      </c>
      <c r="B14" s="21" t="s">
        <v>61</v>
      </c>
      <c r="C14" s="22" t="s">
        <v>73</v>
      </c>
      <c r="D14" s="22" t="s">
        <v>74</v>
      </c>
      <c r="E14" s="22" t="s">
        <v>75</v>
      </c>
      <c r="F14" s="22" t="s">
        <v>62</v>
      </c>
      <c r="G14" s="22" t="s">
        <v>63</v>
      </c>
      <c r="O14" s="30" t="s">
        <v>77</v>
      </c>
    </row>
    <row r="15" spans="1:15" ht="16.2" thickBot="1" x14ac:dyDescent="0.35">
      <c r="A15" s="23">
        <v>1</v>
      </c>
      <c r="B15" s="24" t="s">
        <v>76</v>
      </c>
      <c r="C15" s="25">
        <v>12292</v>
      </c>
      <c r="D15" s="25">
        <v>1.08</v>
      </c>
      <c r="E15" s="25">
        <v>0.10042</v>
      </c>
      <c r="F15" s="25">
        <v>1</v>
      </c>
      <c r="G15" s="26">
        <f>C15*F15*E15*D15</f>
        <v>1333.1116512000001</v>
      </c>
    </row>
    <row r="19" spans="12:15" ht="15" thickBot="1" x14ac:dyDescent="0.35"/>
    <row r="20" spans="12:15" ht="16.2" thickBot="1" x14ac:dyDescent="0.35">
      <c r="N20" s="38"/>
      <c r="O20" s="37"/>
    </row>
    <row r="21" spans="12:15" ht="16.2" thickBot="1" x14ac:dyDescent="0.35">
      <c r="N21" s="39"/>
      <c r="O21" s="37"/>
    </row>
    <row r="26" spans="12:15" ht="6" customHeight="1" thickBot="1" x14ac:dyDescent="0.35"/>
    <row r="27" spans="12:15" ht="51" customHeight="1" thickBot="1" x14ac:dyDescent="0.35">
      <c r="L27" s="44" t="s">
        <v>166</v>
      </c>
      <c r="M27" s="158" t="s">
        <v>167</v>
      </c>
      <c r="N27" s="157" t="s">
        <v>168</v>
      </c>
    </row>
    <row r="28" spans="12:15" ht="15" thickBot="1" x14ac:dyDescent="0.35">
      <c r="L28" s="159">
        <f>195*POWER(10,-4)</f>
        <v>1.95E-2</v>
      </c>
      <c r="M28" s="160">
        <f>10*LOG10(N28/195)</f>
        <v>20</v>
      </c>
      <c r="N28" s="161">
        <f>L28*POWER(10,6)</f>
        <v>19500</v>
      </c>
    </row>
    <row r="39" spans="16:18" x14ac:dyDescent="0.3">
      <c r="P39" s="37"/>
      <c r="R39" s="37"/>
    </row>
  </sheetData>
  <mergeCells count="2">
    <mergeCell ref="A1:B1"/>
    <mergeCell ref="E11:F11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DDF7-3AA5-4F07-9FB7-B1AC1430FFCE}">
  <dimension ref="A1:H369"/>
  <sheetViews>
    <sheetView topLeftCell="A358" workbookViewId="0">
      <selection activeCell="F118" sqref="F118:F121"/>
    </sheetView>
  </sheetViews>
  <sheetFormatPr defaultRowHeight="14.4" x14ac:dyDescent="0.3"/>
  <cols>
    <col min="1" max="1" width="18.6640625" style="218" customWidth="1"/>
    <col min="2" max="2" width="15.33203125" style="218" customWidth="1"/>
    <col min="3" max="3" width="15.6640625" style="218" customWidth="1"/>
    <col min="4" max="4" width="13.33203125" style="218" customWidth="1"/>
    <col min="5" max="5" width="14.5546875" style="218" customWidth="1"/>
    <col min="6" max="6" width="12.33203125" style="218" customWidth="1"/>
    <col min="7" max="7" width="8.88671875" style="218"/>
    <col min="8" max="8" width="14.6640625" style="218" customWidth="1"/>
  </cols>
  <sheetData>
    <row r="1" spans="1:8" ht="15" thickTop="1" x14ac:dyDescent="0.3">
      <c r="A1" s="399" t="s">
        <v>318</v>
      </c>
      <c r="B1" s="213" t="s">
        <v>319</v>
      </c>
      <c r="C1" s="213" t="s">
        <v>321</v>
      </c>
      <c r="D1" s="213" t="s">
        <v>322</v>
      </c>
      <c r="E1" s="213" t="s">
        <v>323</v>
      </c>
      <c r="F1" s="213" t="s">
        <v>325</v>
      </c>
      <c r="G1" s="401" t="s">
        <v>327</v>
      </c>
      <c r="H1" s="214" t="s">
        <v>328</v>
      </c>
    </row>
    <row r="2" spans="1:8" ht="15" thickBot="1" x14ac:dyDescent="0.35">
      <c r="A2" s="400"/>
      <c r="B2" s="219" t="s">
        <v>320</v>
      </c>
      <c r="C2" s="219" t="s">
        <v>320</v>
      </c>
      <c r="D2" s="219" t="s">
        <v>320</v>
      </c>
      <c r="E2" s="219" t="s">
        <v>324</v>
      </c>
      <c r="F2" s="219" t="s">
        <v>326</v>
      </c>
      <c r="G2" s="402"/>
      <c r="H2" s="220" t="s">
        <v>320</v>
      </c>
    </row>
    <row r="3" spans="1:8" ht="15.6" thickTop="1" thickBot="1" x14ac:dyDescent="0.35">
      <c r="A3" s="216" t="s">
        <v>329</v>
      </c>
      <c r="B3" s="215">
        <v>-8.8000000000000007</v>
      </c>
      <c r="C3" s="215">
        <v>-13</v>
      </c>
      <c r="D3" s="215">
        <v>-10.8</v>
      </c>
      <c r="E3" s="215"/>
      <c r="F3" s="224">
        <v>2</v>
      </c>
      <c r="G3" s="224">
        <v>0</v>
      </c>
      <c r="H3" s="221">
        <v>-14.8</v>
      </c>
    </row>
    <row r="4" spans="1:8" ht="15" thickBot="1" x14ac:dyDescent="0.35">
      <c r="A4" s="216" t="s">
        <v>329</v>
      </c>
      <c r="B4" s="215">
        <v>-7.9</v>
      </c>
      <c r="C4" s="215">
        <v>-20</v>
      </c>
      <c r="D4" s="215">
        <v>-12.5</v>
      </c>
      <c r="E4" s="215"/>
      <c r="F4" s="224">
        <v>2</v>
      </c>
      <c r="G4" s="224">
        <v>0</v>
      </c>
      <c r="H4" s="221">
        <v>-16.600000000000001</v>
      </c>
    </row>
    <row r="5" spans="1:8" ht="15" thickBot="1" x14ac:dyDescent="0.35">
      <c r="A5" s="216" t="s">
        <v>329</v>
      </c>
      <c r="B5" s="215">
        <v>-13.3</v>
      </c>
      <c r="C5" s="215">
        <v>-23</v>
      </c>
      <c r="D5" s="215">
        <v>-19.8</v>
      </c>
      <c r="E5" s="215"/>
      <c r="F5" s="224">
        <v>0</v>
      </c>
      <c r="G5" s="224">
        <v>0</v>
      </c>
      <c r="H5" s="221">
        <v>-23.1</v>
      </c>
    </row>
    <row r="6" spans="1:8" ht="15" thickBot="1" x14ac:dyDescent="0.35">
      <c r="A6" s="216" t="s">
        <v>329</v>
      </c>
      <c r="B6" s="215">
        <v>-13.1</v>
      </c>
      <c r="C6" s="215">
        <v>-23</v>
      </c>
      <c r="D6" s="215">
        <v>-18.100000000000001</v>
      </c>
      <c r="E6" s="215"/>
      <c r="F6" s="224">
        <v>3</v>
      </c>
      <c r="G6" s="224">
        <v>0</v>
      </c>
      <c r="H6" s="221">
        <v>-23.2</v>
      </c>
    </row>
    <row r="7" spans="1:8" ht="15" thickBot="1" x14ac:dyDescent="0.35">
      <c r="A7" s="216" t="s">
        <v>329</v>
      </c>
      <c r="B7" s="215">
        <v>-12.5</v>
      </c>
      <c r="C7" s="215">
        <v>-19</v>
      </c>
      <c r="D7" s="215">
        <v>-16.7</v>
      </c>
      <c r="E7" s="215"/>
      <c r="F7" s="224">
        <v>3</v>
      </c>
      <c r="G7" s="224">
        <v>0</v>
      </c>
      <c r="H7" s="221">
        <v>-21.8</v>
      </c>
    </row>
    <row r="8" spans="1:8" ht="15" thickBot="1" x14ac:dyDescent="0.35">
      <c r="A8" s="216" t="s">
        <v>329</v>
      </c>
      <c r="B8" s="215">
        <v>-13.2</v>
      </c>
      <c r="C8" s="215">
        <v>-21</v>
      </c>
      <c r="D8" s="215">
        <v>-16.2</v>
      </c>
      <c r="E8" s="215"/>
      <c r="F8" s="224">
        <v>2</v>
      </c>
      <c r="G8" s="224">
        <v>0</v>
      </c>
      <c r="H8" s="221">
        <v>-20.6</v>
      </c>
    </row>
    <row r="9" spans="1:8" ht="15" thickBot="1" x14ac:dyDescent="0.35">
      <c r="A9" s="216" t="s">
        <v>329</v>
      </c>
      <c r="B9" s="215">
        <v>-10.7</v>
      </c>
      <c r="C9" s="215">
        <v>-17</v>
      </c>
      <c r="D9" s="215">
        <v>-14.5</v>
      </c>
      <c r="E9" s="215"/>
      <c r="F9" s="224">
        <v>3</v>
      </c>
      <c r="G9" s="224">
        <v>0</v>
      </c>
      <c r="H9" s="221">
        <v>-19.399999999999999</v>
      </c>
    </row>
    <row r="10" spans="1:8" ht="15" thickBot="1" x14ac:dyDescent="0.35">
      <c r="A10" s="216" t="s">
        <v>329</v>
      </c>
      <c r="B10" s="215">
        <v>-13</v>
      </c>
      <c r="C10" s="215">
        <v>-19</v>
      </c>
      <c r="D10" s="215">
        <v>-16.399999999999999</v>
      </c>
      <c r="E10" s="215"/>
      <c r="F10" s="224">
        <v>4</v>
      </c>
      <c r="G10" s="224">
        <v>0</v>
      </c>
      <c r="H10" s="221">
        <v>-22.1</v>
      </c>
    </row>
    <row r="11" spans="1:8" ht="15" thickBot="1" x14ac:dyDescent="0.35">
      <c r="A11" s="216" t="s">
        <v>329</v>
      </c>
      <c r="B11" s="215">
        <v>-7.7</v>
      </c>
      <c r="C11" s="215">
        <v>-15.2</v>
      </c>
      <c r="D11" s="215">
        <v>-9.6</v>
      </c>
      <c r="E11" s="215"/>
      <c r="F11" s="224">
        <v>7</v>
      </c>
      <c r="G11" s="224">
        <v>2</v>
      </c>
      <c r="H11" s="221">
        <v>-16.8</v>
      </c>
    </row>
    <row r="12" spans="1:8" ht="15" thickBot="1" x14ac:dyDescent="0.35">
      <c r="A12" s="216" t="s">
        <v>329</v>
      </c>
      <c r="B12" s="215">
        <v>-6</v>
      </c>
      <c r="C12" s="215">
        <v>-9</v>
      </c>
      <c r="D12" s="215">
        <v>-7.3</v>
      </c>
      <c r="E12" s="215"/>
      <c r="F12" s="224">
        <v>8</v>
      </c>
      <c r="G12" s="224">
        <v>10</v>
      </c>
      <c r="H12" s="221">
        <v>-14.9</v>
      </c>
    </row>
    <row r="13" spans="1:8" ht="15" thickBot="1" x14ac:dyDescent="0.35">
      <c r="A13" s="216" t="s">
        <v>329</v>
      </c>
      <c r="B13" s="215">
        <v>-2.4</v>
      </c>
      <c r="C13" s="215">
        <v>-7.1</v>
      </c>
      <c r="D13" s="215">
        <v>-3.8</v>
      </c>
      <c r="E13" s="215"/>
      <c r="F13" s="224">
        <v>7</v>
      </c>
      <c r="G13" s="224">
        <v>14</v>
      </c>
      <c r="H13" s="221">
        <v>-10.4</v>
      </c>
    </row>
    <row r="14" spans="1:8" ht="15" thickBot="1" x14ac:dyDescent="0.35">
      <c r="A14" s="216" t="s">
        <v>329</v>
      </c>
      <c r="B14" s="215">
        <v>-3</v>
      </c>
      <c r="C14" s="215">
        <v>-11</v>
      </c>
      <c r="D14" s="215">
        <v>-6.8</v>
      </c>
      <c r="E14" s="215"/>
      <c r="F14" s="224">
        <v>6</v>
      </c>
      <c r="G14" s="224">
        <v>3</v>
      </c>
      <c r="H14" s="221">
        <v>-13.1</v>
      </c>
    </row>
    <row r="15" spans="1:8" ht="15" thickBot="1" x14ac:dyDescent="0.35">
      <c r="A15" s="216" t="s">
        <v>329</v>
      </c>
      <c r="B15" s="215">
        <v>-7.2</v>
      </c>
      <c r="C15" s="215">
        <v>-12</v>
      </c>
      <c r="D15" s="215">
        <v>-9.6</v>
      </c>
      <c r="E15" s="215"/>
      <c r="F15" s="224">
        <v>6</v>
      </c>
      <c r="G15" s="224">
        <v>0</v>
      </c>
      <c r="H15" s="221">
        <v>-16.2</v>
      </c>
    </row>
    <row r="16" spans="1:8" ht="15" thickBot="1" x14ac:dyDescent="0.35">
      <c r="A16" s="216" t="s">
        <v>329</v>
      </c>
      <c r="B16" s="215">
        <v>-4.5</v>
      </c>
      <c r="C16" s="215">
        <v>-11</v>
      </c>
      <c r="D16" s="215">
        <v>-6.7</v>
      </c>
      <c r="E16" s="215"/>
      <c r="F16" s="224">
        <v>7</v>
      </c>
      <c r="G16" s="224">
        <v>0</v>
      </c>
      <c r="H16" s="221">
        <v>-13.7</v>
      </c>
    </row>
    <row r="17" spans="1:8" ht="15" thickBot="1" x14ac:dyDescent="0.35">
      <c r="A17" s="216" t="s">
        <v>329</v>
      </c>
      <c r="B17" s="215">
        <v>-3.9</v>
      </c>
      <c r="C17" s="215">
        <v>-13</v>
      </c>
      <c r="D17" s="215">
        <v>-8.9</v>
      </c>
      <c r="E17" s="215"/>
      <c r="F17" s="224">
        <v>3</v>
      </c>
      <c r="G17" s="224">
        <v>5</v>
      </c>
      <c r="H17" s="221">
        <v>-13.4</v>
      </c>
    </row>
    <row r="18" spans="1:8" ht="15" thickBot="1" x14ac:dyDescent="0.35">
      <c r="A18" s="216" t="s">
        <v>329</v>
      </c>
      <c r="B18" s="215">
        <v>-3.6</v>
      </c>
      <c r="C18" s="215">
        <v>-10.9</v>
      </c>
      <c r="D18" s="215">
        <v>-6.6</v>
      </c>
      <c r="E18" s="215"/>
      <c r="F18" s="224">
        <v>4</v>
      </c>
      <c r="G18" s="224">
        <v>1</v>
      </c>
      <c r="H18" s="221">
        <v>-11.5</v>
      </c>
    </row>
    <row r="19" spans="1:8" ht="15" thickBot="1" x14ac:dyDescent="0.35">
      <c r="A19" s="216" t="s">
        <v>329</v>
      </c>
      <c r="B19" s="215">
        <v>-3</v>
      </c>
      <c r="C19" s="215">
        <v>-6</v>
      </c>
      <c r="D19" s="215">
        <v>-4.3</v>
      </c>
      <c r="E19" s="215"/>
      <c r="F19" s="224">
        <v>4</v>
      </c>
      <c r="G19" s="215">
        <v>1</v>
      </c>
      <c r="H19" s="221">
        <v>-9</v>
      </c>
    </row>
    <row r="20" spans="1:8" ht="15" thickBot="1" x14ac:dyDescent="0.35">
      <c r="A20" s="216" t="s">
        <v>329</v>
      </c>
      <c r="B20" s="215">
        <v>2.4</v>
      </c>
      <c r="C20" s="215">
        <v>-4</v>
      </c>
      <c r="D20" s="215">
        <v>0.1</v>
      </c>
      <c r="E20" s="215"/>
      <c r="F20" s="224">
        <v>6</v>
      </c>
      <c r="G20" s="224">
        <v>16</v>
      </c>
      <c r="H20" s="221">
        <v>-5.4</v>
      </c>
    </row>
    <row r="21" spans="1:8" ht="15" thickBot="1" x14ac:dyDescent="0.35">
      <c r="A21" s="216" t="s">
        <v>329</v>
      </c>
      <c r="B21" s="215">
        <v>-3.8</v>
      </c>
      <c r="C21" s="215">
        <v>-14</v>
      </c>
      <c r="D21" s="215">
        <v>-8.6</v>
      </c>
      <c r="E21" s="215"/>
      <c r="F21" s="224">
        <v>7</v>
      </c>
      <c r="G21" s="224">
        <v>0</v>
      </c>
      <c r="H21" s="221">
        <v>-15.7</v>
      </c>
    </row>
    <row r="22" spans="1:8" ht="15" thickBot="1" x14ac:dyDescent="0.35">
      <c r="A22" s="216" t="s">
        <v>329</v>
      </c>
      <c r="B22" s="215">
        <v>-6.6</v>
      </c>
      <c r="C22" s="215">
        <v>-16</v>
      </c>
      <c r="D22" s="215">
        <v>-11.9</v>
      </c>
      <c r="E22" s="215"/>
      <c r="F22" s="224">
        <v>2</v>
      </c>
      <c r="G22" s="224">
        <v>0</v>
      </c>
      <c r="H22" s="221">
        <v>-16</v>
      </c>
    </row>
    <row r="23" spans="1:8" ht="15" thickBot="1" x14ac:dyDescent="0.35">
      <c r="A23" s="216" t="s">
        <v>329</v>
      </c>
      <c r="B23" s="215">
        <v>-5.9</v>
      </c>
      <c r="C23" s="215">
        <v>-12.3</v>
      </c>
      <c r="D23" s="215">
        <v>-9.6</v>
      </c>
      <c r="E23" s="215"/>
      <c r="F23" s="224">
        <v>3</v>
      </c>
      <c r="G23" s="224">
        <v>0</v>
      </c>
      <c r="H23" s="221">
        <v>-14.2</v>
      </c>
    </row>
    <row r="24" spans="1:8" ht="15" thickBot="1" x14ac:dyDescent="0.35">
      <c r="A24" s="216" t="s">
        <v>329</v>
      </c>
      <c r="B24" s="215">
        <v>0.2</v>
      </c>
      <c r="C24" s="215">
        <v>-12.3</v>
      </c>
      <c r="D24" s="215">
        <v>-3.8</v>
      </c>
      <c r="E24" s="215"/>
      <c r="F24" s="224">
        <v>7</v>
      </c>
      <c r="G24" s="224">
        <v>3</v>
      </c>
      <c r="H24" s="221">
        <v>-10.4</v>
      </c>
    </row>
    <row r="25" spans="1:8" ht="15" thickBot="1" x14ac:dyDescent="0.35">
      <c r="A25" s="216" t="s">
        <v>329</v>
      </c>
      <c r="B25" s="215">
        <v>2.2999999999999998</v>
      </c>
      <c r="C25" s="215">
        <v>-2.9</v>
      </c>
      <c r="D25" s="215">
        <v>1.1000000000000001</v>
      </c>
      <c r="E25" s="215"/>
      <c r="F25" s="224">
        <v>5</v>
      </c>
      <c r="G25" s="224">
        <v>2</v>
      </c>
      <c r="H25" s="221">
        <v>-3.7</v>
      </c>
    </row>
    <row r="26" spans="1:8" ht="15" thickBot="1" x14ac:dyDescent="0.35">
      <c r="A26" s="216" t="s">
        <v>329</v>
      </c>
      <c r="B26" s="215">
        <v>2.6</v>
      </c>
      <c r="C26" s="215">
        <v>-1</v>
      </c>
      <c r="D26" s="215">
        <v>0.9</v>
      </c>
      <c r="E26" s="215"/>
      <c r="F26" s="224">
        <v>7</v>
      </c>
      <c r="G26" s="224">
        <v>1</v>
      </c>
      <c r="H26" s="221">
        <v>-5.2</v>
      </c>
    </row>
    <row r="27" spans="1:8" ht="15" thickBot="1" x14ac:dyDescent="0.35">
      <c r="A27" s="216" t="s">
        <v>329</v>
      </c>
      <c r="B27" s="215">
        <v>0.4</v>
      </c>
      <c r="C27" s="215">
        <v>-2</v>
      </c>
      <c r="D27" s="215">
        <v>-1.3</v>
      </c>
      <c r="E27" s="215"/>
      <c r="F27" s="224">
        <v>4</v>
      </c>
      <c r="G27" s="224">
        <v>9</v>
      </c>
      <c r="H27" s="221">
        <v>-5.7</v>
      </c>
    </row>
    <row r="28" spans="1:8" ht="15" thickBot="1" x14ac:dyDescent="0.35">
      <c r="A28" s="216" t="s">
        <v>329</v>
      </c>
      <c r="B28" s="215">
        <v>-0.6</v>
      </c>
      <c r="C28" s="215">
        <v>-7</v>
      </c>
      <c r="D28" s="215">
        <v>-3.9</v>
      </c>
      <c r="E28" s="215"/>
      <c r="F28" s="224">
        <v>3</v>
      </c>
      <c r="G28" s="224">
        <v>0</v>
      </c>
      <c r="H28" s="221">
        <v>-8</v>
      </c>
    </row>
    <row r="29" spans="1:8" ht="15" thickBot="1" x14ac:dyDescent="0.35">
      <c r="A29" s="216" t="s">
        <v>329</v>
      </c>
      <c r="B29" s="215">
        <v>-6.4</v>
      </c>
      <c r="C29" s="215">
        <v>-14</v>
      </c>
      <c r="D29" s="215">
        <v>-10.199999999999999</v>
      </c>
      <c r="E29" s="215"/>
      <c r="F29" s="224">
        <v>3</v>
      </c>
      <c r="G29" s="224">
        <v>0</v>
      </c>
      <c r="H29" s="221">
        <v>-14.8</v>
      </c>
    </row>
    <row r="30" spans="1:8" ht="15" thickBot="1" x14ac:dyDescent="0.35">
      <c r="A30" s="216" t="s">
        <v>329</v>
      </c>
      <c r="B30" s="215">
        <v>-8.6999999999999993</v>
      </c>
      <c r="C30" s="215">
        <v>-16</v>
      </c>
      <c r="D30" s="215">
        <v>-12.6</v>
      </c>
      <c r="E30" s="215"/>
      <c r="F30" s="224">
        <v>5</v>
      </c>
      <c r="G30" s="224">
        <v>0</v>
      </c>
      <c r="H30" s="221">
        <v>-18.7</v>
      </c>
    </row>
    <row r="31" spans="1:8" ht="15" thickBot="1" x14ac:dyDescent="0.35">
      <c r="A31" s="216" t="s">
        <v>329</v>
      </c>
      <c r="B31" s="215">
        <v>-7.3</v>
      </c>
      <c r="C31" s="215">
        <v>-13</v>
      </c>
      <c r="D31" s="215">
        <v>-8.6999999999999993</v>
      </c>
      <c r="E31" s="215"/>
      <c r="F31" s="224">
        <v>4</v>
      </c>
      <c r="G31" s="224">
        <v>6</v>
      </c>
      <c r="H31" s="221">
        <v>-13.8</v>
      </c>
    </row>
    <row r="32" spans="1:8" ht="15" thickBot="1" x14ac:dyDescent="0.35">
      <c r="A32" s="216" t="s">
        <v>329</v>
      </c>
      <c r="B32" s="215">
        <v>-5.7</v>
      </c>
      <c r="C32" s="215">
        <v>-11</v>
      </c>
      <c r="D32" s="215">
        <v>-7.6</v>
      </c>
      <c r="E32" s="215"/>
      <c r="F32" s="224">
        <v>3</v>
      </c>
      <c r="G32" s="224">
        <v>0</v>
      </c>
      <c r="H32" s="221">
        <v>-12</v>
      </c>
    </row>
    <row r="33" spans="1:8" ht="15" thickBot="1" x14ac:dyDescent="0.35">
      <c r="A33" s="216" t="s">
        <v>329</v>
      </c>
      <c r="B33" s="215">
        <v>-4.7</v>
      </c>
      <c r="C33" s="215">
        <v>-9</v>
      </c>
      <c r="D33" s="215">
        <v>-6.6</v>
      </c>
      <c r="E33" s="215"/>
      <c r="F33" s="224">
        <v>5</v>
      </c>
      <c r="G33" s="224">
        <v>4</v>
      </c>
      <c r="H33" s="221">
        <v>-12.2</v>
      </c>
    </row>
    <row r="34" spans="1:8" ht="15" thickBot="1" x14ac:dyDescent="0.35">
      <c r="A34" s="216" t="s">
        <v>330</v>
      </c>
      <c r="B34" s="215">
        <v>1</v>
      </c>
      <c r="C34" s="215">
        <v>-5.3</v>
      </c>
      <c r="D34" s="215">
        <v>-2.7</v>
      </c>
      <c r="E34" s="215"/>
      <c r="F34" s="224">
        <v>5</v>
      </c>
      <c r="G34" s="224">
        <v>1</v>
      </c>
      <c r="H34" s="221">
        <v>-7.9</v>
      </c>
    </row>
    <row r="35" spans="1:8" ht="15" thickBot="1" x14ac:dyDescent="0.35">
      <c r="A35" s="216" t="s">
        <v>330</v>
      </c>
      <c r="B35" s="215">
        <v>1</v>
      </c>
      <c r="C35" s="215">
        <v>-1.3</v>
      </c>
      <c r="D35" s="215">
        <v>-0.2</v>
      </c>
      <c r="E35" s="215"/>
      <c r="F35" s="224">
        <v>7</v>
      </c>
      <c r="G35" s="224">
        <v>11</v>
      </c>
      <c r="H35" s="221">
        <v>-6.5</v>
      </c>
    </row>
    <row r="36" spans="1:8" ht="15" thickBot="1" x14ac:dyDescent="0.35">
      <c r="A36" s="216" t="s">
        <v>330</v>
      </c>
      <c r="B36" s="215">
        <v>-0.8</v>
      </c>
      <c r="C36" s="215">
        <v>-4</v>
      </c>
      <c r="D36" s="215">
        <v>-2.2000000000000002</v>
      </c>
      <c r="E36" s="215"/>
      <c r="F36" s="224">
        <v>5</v>
      </c>
      <c r="G36" s="224">
        <v>0</v>
      </c>
      <c r="H36" s="221">
        <v>-7.4</v>
      </c>
    </row>
    <row r="37" spans="1:8" ht="15" thickBot="1" x14ac:dyDescent="0.35">
      <c r="A37" s="216" t="s">
        <v>330</v>
      </c>
      <c r="B37" s="215">
        <v>-5</v>
      </c>
      <c r="C37" s="215">
        <v>-15</v>
      </c>
      <c r="D37" s="215">
        <v>-9.3000000000000007</v>
      </c>
      <c r="E37" s="215"/>
      <c r="F37" s="224">
        <v>4</v>
      </c>
      <c r="G37" s="224">
        <v>3</v>
      </c>
      <c r="H37" s="221">
        <v>-14.5</v>
      </c>
    </row>
    <row r="38" spans="1:8" ht="15" thickBot="1" x14ac:dyDescent="0.35">
      <c r="A38" s="216" t="s">
        <v>330</v>
      </c>
      <c r="B38" s="215">
        <v>-7</v>
      </c>
      <c r="C38" s="215">
        <v>-15</v>
      </c>
      <c r="D38" s="215">
        <v>-10.1</v>
      </c>
      <c r="E38" s="215"/>
      <c r="F38" s="224">
        <v>3</v>
      </c>
      <c r="G38" s="224">
        <v>1</v>
      </c>
      <c r="H38" s="221">
        <v>-14.7</v>
      </c>
    </row>
    <row r="39" spans="1:8" ht="15" thickBot="1" x14ac:dyDescent="0.35">
      <c r="A39" s="216" t="s">
        <v>330</v>
      </c>
      <c r="B39" s="215">
        <v>-13.7</v>
      </c>
      <c r="C39" s="215">
        <v>-29</v>
      </c>
      <c r="D39" s="215">
        <v>-23.7</v>
      </c>
      <c r="E39" s="215"/>
      <c r="F39" s="224">
        <v>6</v>
      </c>
      <c r="G39" s="224">
        <v>0</v>
      </c>
      <c r="H39" s="221">
        <v>-31.1</v>
      </c>
    </row>
    <row r="40" spans="1:8" ht="15" thickBot="1" x14ac:dyDescent="0.35">
      <c r="A40" s="216" t="s">
        <v>330</v>
      </c>
      <c r="B40" s="215">
        <v>-23</v>
      </c>
      <c r="C40" s="215">
        <v>-30</v>
      </c>
      <c r="D40" s="215">
        <v>-27.3</v>
      </c>
      <c r="E40" s="215"/>
      <c r="F40" s="224">
        <v>7</v>
      </c>
      <c r="G40" s="224">
        <v>1</v>
      </c>
      <c r="H40" s="221">
        <v>-35.6</v>
      </c>
    </row>
    <row r="41" spans="1:8" ht="15" thickBot="1" x14ac:dyDescent="0.35">
      <c r="A41" s="216" t="s">
        <v>330</v>
      </c>
      <c r="B41" s="215">
        <v>-22.3</v>
      </c>
      <c r="C41" s="215">
        <v>-30</v>
      </c>
      <c r="D41" s="215">
        <v>-25.2</v>
      </c>
      <c r="E41" s="215"/>
      <c r="F41" s="224">
        <v>5</v>
      </c>
      <c r="G41" s="224">
        <v>1</v>
      </c>
      <c r="H41" s="221">
        <v>-32</v>
      </c>
    </row>
    <row r="42" spans="1:8" ht="15" thickBot="1" x14ac:dyDescent="0.35">
      <c r="A42" s="216" t="s">
        <v>330</v>
      </c>
      <c r="B42" s="215">
        <v>-27.4</v>
      </c>
      <c r="C42" s="215">
        <v>-34</v>
      </c>
      <c r="D42" s="215">
        <v>-30.8</v>
      </c>
      <c r="E42" s="215"/>
      <c r="F42" s="224">
        <v>3</v>
      </c>
      <c r="G42" s="224">
        <v>1</v>
      </c>
      <c r="H42" s="221">
        <v>-36.6</v>
      </c>
    </row>
    <row r="43" spans="1:8" ht="15" thickBot="1" x14ac:dyDescent="0.35">
      <c r="A43" s="216" t="s">
        <v>330</v>
      </c>
      <c r="B43" s="215">
        <v>-21</v>
      </c>
      <c r="C43" s="215">
        <v>-30</v>
      </c>
      <c r="D43" s="215">
        <v>-25.6</v>
      </c>
      <c r="E43" s="215"/>
      <c r="F43" s="224">
        <v>3</v>
      </c>
      <c r="G43" s="224">
        <v>1</v>
      </c>
      <c r="H43" s="221">
        <v>-31.2</v>
      </c>
    </row>
    <row r="44" spans="1:8" ht="15" thickBot="1" x14ac:dyDescent="0.35">
      <c r="A44" s="216" t="s">
        <v>330</v>
      </c>
      <c r="B44" s="215">
        <v>-17</v>
      </c>
      <c r="C44" s="215">
        <v>-27</v>
      </c>
      <c r="D44" s="215">
        <v>-22.7</v>
      </c>
      <c r="E44" s="215"/>
      <c r="F44" s="224">
        <v>4</v>
      </c>
      <c r="G44" s="224">
        <v>0</v>
      </c>
      <c r="H44" s="221">
        <v>-28.8</v>
      </c>
    </row>
    <row r="45" spans="1:8" ht="15" thickBot="1" x14ac:dyDescent="0.35">
      <c r="A45" s="216" t="s">
        <v>330</v>
      </c>
      <c r="B45" s="215">
        <v>-10.4</v>
      </c>
      <c r="C45" s="215">
        <v>-22.3</v>
      </c>
      <c r="D45" s="215">
        <v>-13.3</v>
      </c>
      <c r="E45" s="215"/>
      <c r="F45" s="224">
        <v>6</v>
      </c>
      <c r="G45" s="224">
        <v>0</v>
      </c>
      <c r="H45" s="221">
        <v>-20.100000000000001</v>
      </c>
    </row>
    <row r="46" spans="1:8" ht="15" thickBot="1" x14ac:dyDescent="0.35">
      <c r="A46" s="216" t="s">
        <v>330</v>
      </c>
      <c r="B46" s="215">
        <v>-12.7</v>
      </c>
      <c r="C46" s="215">
        <v>-16</v>
      </c>
      <c r="D46" s="215">
        <v>-15.1</v>
      </c>
      <c r="E46" s="215"/>
      <c r="F46" s="224">
        <v>6</v>
      </c>
      <c r="G46" s="224">
        <v>0</v>
      </c>
      <c r="H46" s="221">
        <v>-22</v>
      </c>
    </row>
    <row r="47" spans="1:8" ht="15" thickBot="1" x14ac:dyDescent="0.35">
      <c r="A47" s="216" t="s">
        <v>330</v>
      </c>
      <c r="B47" s="215">
        <v>-9.6</v>
      </c>
      <c r="C47" s="215">
        <v>-17</v>
      </c>
      <c r="D47" s="215">
        <v>-13.6</v>
      </c>
      <c r="E47" s="215"/>
      <c r="F47" s="224">
        <v>7</v>
      </c>
      <c r="G47" s="224">
        <v>0</v>
      </c>
      <c r="H47" s="221">
        <v>-21.1</v>
      </c>
    </row>
    <row r="48" spans="1:8" ht="15" thickBot="1" x14ac:dyDescent="0.35">
      <c r="A48" s="216" t="s">
        <v>330</v>
      </c>
      <c r="B48" s="215">
        <v>-12.5</v>
      </c>
      <c r="C48" s="215">
        <v>-17</v>
      </c>
      <c r="D48" s="215">
        <v>-15.2</v>
      </c>
      <c r="E48" s="215"/>
      <c r="F48" s="224">
        <v>5</v>
      </c>
      <c r="G48" s="224">
        <v>0</v>
      </c>
      <c r="H48" s="221">
        <v>-21.5</v>
      </c>
    </row>
    <row r="49" spans="1:8" ht="15" thickBot="1" x14ac:dyDescent="0.35">
      <c r="A49" s="216" t="s">
        <v>330</v>
      </c>
      <c r="B49" s="215">
        <v>-11.4</v>
      </c>
      <c r="C49" s="215">
        <v>-18</v>
      </c>
      <c r="D49" s="215">
        <v>-14.1</v>
      </c>
      <c r="E49" s="215"/>
      <c r="F49" s="224">
        <v>5</v>
      </c>
      <c r="G49" s="224">
        <v>0</v>
      </c>
      <c r="H49" s="221">
        <v>-20.399999999999999</v>
      </c>
    </row>
    <row r="50" spans="1:8" ht="15" thickBot="1" x14ac:dyDescent="0.35">
      <c r="A50" s="216" t="s">
        <v>330</v>
      </c>
      <c r="B50" s="215">
        <v>-8.6</v>
      </c>
      <c r="C50" s="215">
        <v>-17</v>
      </c>
      <c r="D50" s="215">
        <v>-12.6</v>
      </c>
      <c r="E50" s="215"/>
      <c r="F50" s="224">
        <v>6</v>
      </c>
      <c r="G50" s="224">
        <v>0</v>
      </c>
      <c r="H50" s="221">
        <v>-19.399999999999999</v>
      </c>
    </row>
    <row r="51" spans="1:8" ht="15" thickBot="1" x14ac:dyDescent="0.35">
      <c r="A51" s="216" t="s">
        <v>330</v>
      </c>
      <c r="B51" s="215">
        <v>-7.8</v>
      </c>
      <c r="C51" s="215">
        <v>-13</v>
      </c>
      <c r="D51" s="215">
        <v>-10.7</v>
      </c>
      <c r="E51" s="215"/>
      <c r="F51" s="224">
        <v>5</v>
      </c>
      <c r="G51" s="224">
        <v>0</v>
      </c>
      <c r="H51" s="221">
        <v>-16.7</v>
      </c>
    </row>
    <row r="52" spans="1:8" ht="15" thickBot="1" x14ac:dyDescent="0.35">
      <c r="A52" s="216" t="s">
        <v>330</v>
      </c>
      <c r="B52" s="215">
        <v>-8.9</v>
      </c>
      <c r="C52" s="215">
        <v>-15</v>
      </c>
      <c r="D52" s="215">
        <v>-11.9</v>
      </c>
      <c r="E52" s="215"/>
      <c r="F52" s="224">
        <v>5</v>
      </c>
      <c r="G52" s="224">
        <v>0</v>
      </c>
      <c r="H52" s="221">
        <v>-18</v>
      </c>
    </row>
    <row r="53" spans="1:8" ht="15" thickBot="1" x14ac:dyDescent="0.35">
      <c r="A53" s="216" t="s">
        <v>330</v>
      </c>
      <c r="B53" s="215">
        <v>-7.2</v>
      </c>
      <c r="C53" s="215">
        <v>-12</v>
      </c>
      <c r="D53" s="215">
        <v>-10.3</v>
      </c>
      <c r="E53" s="215"/>
      <c r="F53" s="224">
        <v>6</v>
      </c>
      <c r="G53" s="224">
        <v>0</v>
      </c>
      <c r="H53" s="221">
        <v>-16.899999999999999</v>
      </c>
    </row>
    <row r="54" spans="1:8" ht="15" thickBot="1" x14ac:dyDescent="0.35">
      <c r="A54" s="216" t="s">
        <v>330</v>
      </c>
      <c r="B54" s="215">
        <v>-9.1999999999999993</v>
      </c>
      <c r="C54" s="215">
        <v>-13</v>
      </c>
      <c r="D54" s="215">
        <v>-11.8</v>
      </c>
      <c r="E54" s="215"/>
      <c r="F54" s="224">
        <v>5</v>
      </c>
      <c r="G54" s="224">
        <v>0</v>
      </c>
      <c r="H54" s="221">
        <v>-17.899999999999999</v>
      </c>
    </row>
    <row r="55" spans="1:8" ht="15" thickBot="1" x14ac:dyDescent="0.35">
      <c r="A55" s="216" t="s">
        <v>330</v>
      </c>
      <c r="B55" s="215">
        <v>-8.8000000000000007</v>
      </c>
      <c r="C55" s="215">
        <v>-14</v>
      </c>
      <c r="D55" s="215">
        <v>-11.8</v>
      </c>
      <c r="E55" s="215"/>
      <c r="F55" s="224">
        <v>4</v>
      </c>
      <c r="G55" s="224">
        <v>0</v>
      </c>
      <c r="H55" s="221">
        <v>-17.2</v>
      </c>
    </row>
    <row r="56" spans="1:8" ht="15" thickBot="1" x14ac:dyDescent="0.35">
      <c r="A56" s="216" t="s">
        <v>330</v>
      </c>
      <c r="B56" s="215">
        <v>-7.5</v>
      </c>
      <c r="C56" s="215">
        <v>-18</v>
      </c>
      <c r="D56" s="215">
        <v>-14.2</v>
      </c>
      <c r="E56" s="215"/>
      <c r="F56" s="224">
        <v>2</v>
      </c>
      <c r="G56" s="224">
        <v>0</v>
      </c>
      <c r="H56" s="221">
        <v>-18.399999999999999</v>
      </c>
    </row>
    <row r="57" spans="1:8" ht="15" thickBot="1" x14ac:dyDescent="0.35">
      <c r="A57" s="216" t="s">
        <v>330</v>
      </c>
      <c r="B57" s="215">
        <v>-11</v>
      </c>
      <c r="C57" s="215">
        <v>-17</v>
      </c>
      <c r="D57" s="215">
        <v>-14.2</v>
      </c>
      <c r="E57" s="215"/>
      <c r="F57" s="224">
        <v>1</v>
      </c>
      <c r="G57" s="224">
        <v>0</v>
      </c>
      <c r="H57" s="221">
        <v>-17.8</v>
      </c>
    </row>
    <row r="58" spans="1:8" ht="15" thickBot="1" x14ac:dyDescent="0.35">
      <c r="A58" s="216" t="s">
        <v>330</v>
      </c>
      <c r="B58" s="215">
        <v>-4</v>
      </c>
      <c r="C58" s="215">
        <v>-14</v>
      </c>
      <c r="D58" s="215">
        <v>-7.3</v>
      </c>
      <c r="E58" s="215"/>
      <c r="F58" s="224">
        <v>3</v>
      </c>
      <c r="G58" s="224">
        <v>0</v>
      </c>
      <c r="H58" s="221">
        <v>-11.6</v>
      </c>
    </row>
    <row r="59" spans="1:8" ht="15" thickBot="1" x14ac:dyDescent="0.35">
      <c r="A59" s="216" t="s">
        <v>330</v>
      </c>
      <c r="B59" s="215">
        <v>-2</v>
      </c>
      <c r="C59" s="215">
        <v>-8</v>
      </c>
      <c r="D59" s="215">
        <v>-4</v>
      </c>
      <c r="E59" s="215"/>
      <c r="F59" s="224">
        <v>4</v>
      </c>
      <c r="G59" s="224">
        <v>0</v>
      </c>
      <c r="H59" s="221">
        <v>-8.8000000000000007</v>
      </c>
    </row>
    <row r="60" spans="1:8" ht="15" thickBot="1" x14ac:dyDescent="0.35">
      <c r="A60" s="216" t="s">
        <v>330</v>
      </c>
      <c r="B60" s="215">
        <v>-3</v>
      </c>
      <c r="C60" s="215">
        <v>-6.2</v>
      </c>
      <c r="D60" s="215">
        <v>-5.6</v>
      </c>
      <c r="E60" s="215"/>
      <c r="F60" s="224">
        <v>4</v>
      </c>
      <c r="G60" s="224">
        <v>0</v>
      </c>
      <c r="H60" s="221">
        <v>-10.4</v>
      </c>
    </row>
    <row r="61" spans="1:8" ht="15" thickBot="1" x14ac:dyDescent="0.35">
      <c r="A61" s="216" t="s">
        <v>330</v>
      </c>
      <c r="B61" s="215">
        <v>-2</v>
      </c>
      <c r="C61" s="215">
        <v>-5.8</v>
      </c>
      <c r="D61" s="215">
        <v>-3.3</v>
      </c>
      <c r="E61" s="215"/>
      <c r="F61" s="224">
        <v>2</v>
      </c>
      <c r="G61" s="224">
        <v>0</v>
      </c>
      <c r="H61" s="221">
        <v>-6.5</v>
      </c>
    </row>
    <row r="62" spans="1:8" ht="15" thickBot="1" x14ac:dyDescent="0.35">
      <c r="A62" s="216" t="s">
        <v>330</v>
      </c>
      <c r="B62" s="215">
        <v>-2.9</v>
      </c>
      <c r="C62" s="215">
        <v>-14</v>
      </c>
      <c r="D62" s="215">
        <v>-6.5</v>
      </c>
      <c r="E62" s="215"/>
      <c r="F62" s="224">
        <v>4</v>
      </c>
      <c r="G62" s="224">
        <v>0</v>
      </c>
      <c r="H62" s="221">
        <v>-11.4</v>
      </c>
    </row>
    <row r="63" spans="1:8" ht="15" thickBot="1" x14ac:dyDescent="0.35">
      <c r="A63" s="216" t="s">
        <v>330</v>
      </c>
      <c r="B63" s="215">
        <v>-2.8</v>
      </c>
      <c r="C63" s="215">
        <v>-12.4</v>
      </c>
      <c r="D63" s="215">
        <v>-5.8</v>
      </c>
      <c r="E63" s="215"/>
      <c r="F63" s="224">
        <v>6</v>
      </c>
      <c r="G63" s="224">
        <v>3</v>
      </c>
      <c r="H63" s="221">
        <v>-11.9</v>
      </c>
    </row>
    <row r="64" spans="1:8" ht="15" thickBot="1" x14ac:dyDescent="0.35">
      <c r="A64" s="216" t="s">
        <v>330</v>
      </c>
      <c r="B64" s="215">
        <v>0.4</v>
      </c>
      <c r="C64" s="215">
        <v>-4.0999999999999996</v>
      </c>
      <c r="D64" s="215">
        <v>-1.4</v>
      </c>
      <c r="E64" s="215"/>
      <c r="F64" s="224">
        <v>6</v>
      </c>
      <c r="G64" s="224">
        <v>0</v>
      </c>
      <c r="H64" s="221">
        <v>-7.1</v>
      </c>
    </row>
    <row r="65" spans="1:8" ht="15" thickBot="1" x14ac:dyDescent="0.35">
      <c r="A65" s="216" t="s">
        <v>331</v>
      </c>
      <c r="B65" s="215">
        <v>-0.9</v>
      </c>
      <c r="C65" s="215">
        <v>-11</v>
      </c>
      <c r="D65" s="215">
        <v>-5.7</v>
      </c>
      <c r="E65" s="215"/>
      <c r="F65" s="224">
        <v>6</v>
      </c>
      <c r="G65" s="224">
        <v>0</v>
      </c>
      <c r="H65" s="221">
        <v>-11.9</v>
      </c>
    </row>
    <row r="66" spans="1:8" ht="15" thickBot="1" x14ac:dyDescent="0.35">
      <c r="A66" s="216" t="s">
        <v>331</v>
      </c>
      <c r="B66" s="215">
        <v>-5.9</v>
      </c>
      <c r="C66" s="215">
        <v>-15</v>
      </c>
      <c r="D66" s="215">
        <v>-9.4</v>
      </c>
      <c r="E66" s="215"/>
      <c r="F66" s="224">
        <v>4</v>
      </c>
      <c r="G66" s="224">
        <v>0</v>
      </c>
      <c r="H66" s="221">
        <v>-14.6</v>
      </c>
    </row>
    <row r="67" spans="1:8" ht="15" thickBot="1" x14ac:dyDescent="0.35">
      <c r="A67" s="216" t="s">
        <v>331</v>
      </c>
      <c r="B67" s="215">
        <v>-4.5</v>
      </c>
      <c r="C67" s="215">
        <v>-7</v>
      </c>
      <c r="D67" s="215">
        <v>-6</v>
      </c>
      <c r="E67" s="215"/>
      <c r="F67" s="224">
        <v>4</v>
      </c>
      <c r="G67" s="224">
        <v>3</v>
      </c>
      <c r="H67" s="221">
        <v>-10.8</v>
      </c>
    </row>
    <row r="68" spans="1:8" ht="15" thickBot="1" x14ac:dyDescent="0.35">
      <c r="A68" s="216" t="s">
        <v>331</v>
      </c>
      <c r="B68" s="215">
        <v>-6</v>
      </c>
      <c r="C68" s="215">
        <v>-13</v>
      </c>
      <c r="D68" s="215">
        <v>-8.4</v>
      </c>
      <c r="E68" s="215"/>
      <c r="F68" s="224">
        <v>2</v>
      </c>
      <c r="G68" s="224">
        <v>0</v>
      </c>
      <c r="H68" s="221">
        <v>-12.2</v>
      </c>
    </row>
    <row r="69" spans="1:8" ht="15" thickBot="1" x14ac:dyDescent="0.35">
      <c r="A69" s="216" t="s">
        <v>331</v>
      </c>
      <c r="B69" s="215">
        <v>-5.7</v>
      </c>
      <c r="C69" s="215">
        <v>-13</v>
      </c>
      <c r="D69" s="215">
        <v>-10.9</v>
      </c>
      <c r="E69" s="215"/>
      <c r="F69" s="224">
        <v>2</v>
      </c>
      <c r="G69" s="224">
        <v>0</v>
      </c>
      <c r="H69" s="221">
        <v>-14.9</v>
      </c>
    </row>
    <row r="70" spans="1:8" ht="15" thickBot="1" x14ac:dyDescent="0.35">
      <c r="A70" s="216" t="s">
        <v>331</v>
      </c>
      <c r="B70" s="215">
        <v>-7.5</v>
      </c>
      <c r="C70" s="215">
        <v>-16</v>
      </c>
      <c r="D70" s="215">
        <v>-11.3</v>
      </c>
      <c r="E70" s="215"/>
      <c r="F70" s="224">
        <v>2</v>
      </c>
      <c r="G70" s="224">
        <v>0</v>
      </c>
      <c r="H70" s="221">
        <v>-15.3</v>
      </c>
    </row>
    <row r="71" spans="1:8" ht="15" thickBot="1" x14ac:dyDescent="0.35">
      <c r="A71" s="216" t="s">
        <v>331</v>
      </c>
      <c r="B71" s="215">
        <v>-9.4</v>
      </c>
      <c r="C71" s="215">
        <v>-20</v>
      </c>
      <c r="D71" s="215">
        <v>-15</v>
      </c>
      <c r="E71" s="215"/>
      <c r="F71" s="224">
        <v>3</v>
      </c>
      <c r="G71" s="224">
        <v>0</v>
      </c>
      <c r="H71" s="221">
        <v>-19.899999999999999</v>
      </c>
    </row>
    <row r="72" spans="1:8" ht="15" thickBot="1" x14ac:dyDescent="0.35">
      <c r="A72" s="216" t="s">
        <v>331</v>
      </c>
      <c r="B72" s="215">
        <v>-5.9</v>
      </c>
      <c r="C72" s="215">
        <v>-18</v>
      </c>
      <c r="D72" s="215">
        <v>-10</v>
      </c>
      <c r="E72" s="215"/>
      <c r="F72" s="224">
        <v>5</v>
      </c>
      <c r="G72" s="224">
        <v>0</v>
      </c>
      <c r="H72" s="221">
        <v>-15.8</v>
      </c>
    </row>
    <row r="73" spans="1:8" ht="15" thickBot="1" x14ac:dyDescent="0.35">
      <c r="A73" s="216" t="s">
        <v>331</v>
      </c>
      <c r="B73" s="215">
        <v>-3.6</v>
      </c>
      <c r="C73" s="215">
        <v>-8</v>
      </c>
      <c r="D73" s="215">
        <v>-5</v>
      </c>
      <c r="E73" s="215"/>
      <c r="F73" s="224">
        <v>4</v>
      </c>
      <c r="G73" s="224">
        <v>1</v>
      </c>
      <c r="H73" s="221">
        <v>-9.6999999999999993</v>
      </c>
    </row>
    <row r="74" spans="1:8" ht="15" thickBot="1" x14ac:dyDescent="0.35">
      <c r="A74" s="216" t="s">
        <v>331</v>
      </c>
      <c r="B74" s="215">
        <v>-4</v>
      </c>
      <c r="C74" s="215">
        <v>-6</v>
      </c>
      <c r="D74" s="215">
        <v>-5.0999999999999996</v>
      </c>
      <c r="E74" s="215"/>
      <c r="F74" s="224">
        <v>1</v>
      </c>
      <c r="G74" s="224">
        <v>0</v>
      </c>
      <c r="H74" s="221">
        <v>-10.5</v>
      </c>
    </row>
    <row r="75" spans="1:8" ht="15" thickBot="1" x14ac:dyDescent="0.35">
      <c r="A75" s="216" t="s">
        <v>331</v>
      </c>
      <c r="B75" s="215">
        <v>-2.4</v>
      </c>
      <c r="C75" s="215">
        <v>-9</v>
      </c>
      <c r="D75" s="215">
        <v>-4.8</v>
      </c>
      <c r="E75" s="215"/>
      <c r="F75" s="224">
        <v>1</v>
      </c>
      <c r="G75" s="224">
        <v>0</v>
      </c>
      <c r="H75" s="221">
        <v>-10.3</v>
      </c>
    </row>
    <row r="76" spans="1:8" ht="15" thickBot="1" x14ac:dyDescent="0.35">
      <c r="A76" s="216" t="s">
        <v>331</v>
      </c>
      <c r="B76" s="215">
        <v>-6</v>
      </c>
      <c r="C76" s="215">
        <v>-9</v>
      </c>
      <c r="D76" s="215">
        <v>-7.6</v>
      </c>
      <c r="E76" s="215"/>
      <c r="F76" s="224">
        <v>1</v>
      </c>
      <c r="G76" s="224">
        <v>1</v>
      </c>
      <c r="H76" s="221">
        <v>-14.5</v>
      </c>
    </row>
    <row r="77" spans="1:8" ht="15" thickBot="1" x14ac:dyDescent="0.35">
      <c r="A77" s="216" t="s">
        <v>331</v>
      </c>
      <c r="B77" s="215">
        <v>-4</v>
      </c>
      <c r="C77" s="215">
        <v>-9</v>
      </c>
      <c r="D77" s="215">
        <v>-7.1</v>
      </c>
      <c r="E77" s="215"/>
      <c r="F77" s="224">
        <v>1</v>
      </c>
      <c r="G77" s="224">
        <v>1</v>
      </c>
      <c r="H77" s="221">
        <v>-12</v>
      </c>
    </row>
    <row r="78" spans="1:8" ht="15" thickBot="1" x14ac:dyDescent="0.35">
      <c r="A78" s="216" t="s">
        <v>331</v>
      </c>
      <c r="B78" s="215">
        <v>-4.2</v>
      </c>
      <c r="C78" s="215">
        <v>-12</v>
      </c>
      <c r="D78" s="215">
        <v>-6.7</v>
      </c>
      <c r="E78" s="215"/>
      <c r="F78" s="224">
        <v>5</v>
      </c>
      <c r="G78" s="224">
        <v>1</v>
      </c>
      <c r="H78" s="221">
        <v>-12.3</v>
      </c>
    </row>
    <row r="79" spans="1:8" ht="15" thickBot="1" x14ac:dyDescent="0.35">
      <c r="A79" s="216" t="s">
        <v>331</v>
      </c>
      <c r="B79" s="215">
        <v>-7.8</v>
      </c>
      <c r="C79" s="215">
        <v>-13</v>
      </c>
      <c r="D79" s="215">
        <v>-10.199999999999999</v>
      </c>
      <c r="E79" s="215"/>
      <c r="F79" s="224">
        <v>4</v>
      </c>
      <c r="G79" s="224">
        <v>1</v>
      </c>
      <c r="H79" s="221">
        <v>-15.4</v>
      </c>
    </row>
    <row r="80" spans="1:8" ht="15" thickBot="1" x14ac:dyDescent="0.35">
      <c r="A80" s="216" t="s">
        <v>331</v>
      </c>
      <c r="B80" s="215">
        <v>-4.3</v>
      </c>
      <c r="C80" s="215">
        <v>-12</v>
      </c>
      <c r="D80" s="215">
        <v>-6.9</v>
      </c>
      <c r="E80" s="215"/>
      <c r="F80" s="224">
        <v>5</v>
      </c>
      <c r="G80" s="224">
        <v>0</v>
      </c>
      <c r="H80" s="221">
        <v>-12.5</v>
      </c>
    </row>
    <row r="81" spans="1:8" ht="15" thickBot="1" x14ac:dyDescent="0.35">
      <c r="A81" s="216" t="s">
        <v>331</v>
      </c>
      <c r="B81" s="215">
        <v>-5</v>
      </c>
      <c r="C81" s="215">
        <v>-14</v>
      </c>
      <c r="D81" s="215">
        <v>-8</v>
      </c>
      <c r="E81" s="215"/>
      <c r="F81" s="224">
        <v>4</v>
      </c>
      <c r="G81" s="224">
        <v>0</v>
      </c>
      <c r="H81" s="221">
        <v>-13.1</v>
      </c>
    </row>
    <row r="82" spans="1:8" ht="15" thickBot="1" x14ac:dyDescent="0.35">
      <c r="A82" s="216" t="s">
        <v>331</v>
      </c>
      <c r="B82" s="215">
        <v>-7.6</v>
      </c>
      <c r="C82" s="215">
        <v>-17</v>
      </c>
      <c r="D82" s="215">
        <v>-13.5</v>
      </c>
      <c r="E82" s="215"/>
      <c r="F82" s="224">
        <v>2</v>
      </c>
      <c r="G82" s="224">
        <v>0</v>
      </c>
      <c r="H82" s="221">
        <v>-17.7</v>
      </c>
    </row>
    <row r="83" spans="1:8" ht="15" thickBot="1" x14ac:dyDescent="0.35">
      <c r="A83" s="216" t="s">
        <v>331</v>
      </c>
      <c r="B83" s="215">
        <v>-11.1</v>
      </c>
      <c r="C83" s="215">
        <v>-20</v>
      </c>
      <c r="D83" s="215">
        <v>-15.8</v>
      </c>
      <c r="E83" s="215"/>
      <c r="F83" s="224">
        <v>3</v>
      </c>
      <c r="G83" s="224">
        <v>0</v>
      </c>
      <c r="H83" s="221">
        <v>-20.8</v>
      </c>
    </row>
    <row r="84" spans="1:8" ht="15" thickBot="1" x14ac:dyDescent="0.35">
      <c r="A84" s="216" t="s">
        <v>331</v>
      </c>
      <c r="B84" s="215">
        <v>-11.7</v>
      </c>
      <c r="C84" s="215">
        <v>-22</v>
      </c>
      <c r="D84" s="215">
        <v>-15.2</v>
      </c>
      <c r="E84" s="215"/>
      <c r="F84" s="224">
        <v>4</v>
      </c>
      <c r="G84" s="224">
        <v>1</v>
      </c>
      <c r="H84" s="221">
        <v>-20.8</v>
      </c>
    </row>
    <row r="85" spans="1:8" ht="15" thickBot="1" x14ac:dyDescent="0.35">
      <c r="A85" s="216" t="s">
        <v>331</v>
      </c>
      <c r="B85" s="215">
        <v>-9</v>
      </c>
      <c r="C85" s="215">
        <v>-14</v>
      </c>
      <c r="D85" s="215">
        <v>-11.6</v>
      </c>
      <c r="E85" s="215"/>
      <c r="F85" s="224">
        <v>3</v>
      </c>
      <c r="G85" s="224">
        <v>2</v>
      </c>
      <c r="H85" s="221">
        <v>-16.3</v>
      </c>
    </row>
    <row r="86" spans="1:8" ht="15" thickBot="1" x14ac:dyDescent="0.35">
      <c r="A86" s="216" t="s">
        <v>331</v>
      </c>
      <c r="B86" s="215">
        <v>-9</v>
      </c>
      <c r="C86" s="215">
        <v>-14</v>
      </c>
      <c r="D86" s="215">
        <v>-11.3</v>
      </c>
      <c r="E86" s="215"/>
      <c r="F86" s="224">
        <v>6</v>
      </c>
      <c r="G86" s="224">
        <v>1</v>
      </c>
      <c r="H86" s="221">
        <v>-17.899999999999999</v>
      </c>
    </row>
    <row r="87" spans="1:8" ht="15" thickBot="1" x14ac:dyDescent="0.35">
      <c r="A87" s="216" t="s">
        <v>331</v>
      </c>
      <c r="B87" s="215">
        <v>-9.9</v>
      </c>
      <c r="C87" s="215">
        <v>-16</v>
      </c>
      <c r="D87" s="215">
        <v>-13.9</v>
      </c>
      <c r="E87" s="215"/>
      <c r="F87" s="224">
        <v>7</v>
      </c>
      <c r="G87" s="224">
        <v>1</v>
      </c>
      <c r="H87" s="221">
        <v>-21.4</v>
      </c>
    </row>
    <row r="88" spans="1:8" ht="15" thickBot="1" x14ac:dyDescent="0.35">
      <c r="A88" s="216" t="s">
        <v>331</v>
      </c>
      <c r="B88" s="215">
        <v>-7.4</v>
      </c>
      <c r="C88" s="215">
        <v>-18</v>
      </c>
      <c r="D88" s="215">
        <v>-12.1</v>
      </c>
      <c r="E88" s="215"/>
      <c r="F88" s="224">
        <v>5</v>
      </c>
      <c r="G88" s="224">
        <v>0</v>
      </c>
      <c r="H88" s="221">
        <v>-18.2</v>
      </c>
    </row>
    <row r="89" spans="1:8" ht="15" thickBot="1" x14ac:dyDescent="0.35">
      <c r="A89" s="216" t="s">
        <v>331</v>
      </c>
      <c r="B89" s="215">
        <v>-2</v>
      </c>
      <c r="C89" s="215">
        <v>-10.7</v>
      </c>
      <c r="D89" s="215">
        <v>-5.3</v>
      </c>
      <c r="E89" s="215"/>
      <c r="F89" s="224">
        <v>6</v>
      </c>
      <c r="G89" s="224">
        <v>3</v>
      </c>
      <c r="H89" s="221">
        <v>-11.4</v>
      </c>
    </row>
    <row r="90" spans="1:8" ht="15" thickBot="1" x14ac:dyDescent="0.35">
      <c r="A90" s="216" t="s">
        <v>331</v>
      </c>
      <c r="B90" s="215">
        <v>1.6</v>
      </c>
      <c r="C90" s="215">
        <v>-4.3</v>
      </c>
      <c r="D90" s="215">
        <v>0.1</v>
      </c>
      <c r="E90" s="215"/>
      <c r="F90" s="224">
        <v>7</v>
      </c>
      <c r="G90" s="224">
        <v>7</v>
      </c>
      <c r="H90" s="221">
        <v>-6</v>
      </c>
    </row>
    <row r="91" spans="1:8" ht="15" thickBot="1" x14ac:dyDescent="0.35">
      <c r="A91" s="216" t="s">
        <v>331</v>
      </c>
      <c r="B91" s="215">
        <v>2.1</v>
      </c>
      <c r="C91" s="215">
        <v>-3</v>
      </c>
      <c r="D91" s="215">
        <v>-0.3</v>
      </c>
      <c r="E91" s="215"/>
      <c r="F91" s="224">
        <v>7</v>
      </c>
      <c r="G91" s="224">
        <v>4</v>
      </c>
      <c r="H91" s="221">
        <v>-6.6</v>
      </c>
    </row>
    <row r="92" spans="1:8" ht="15" thickBot="1" x14ac:dyDescent="0.35">
      <c r="A92" s="216" t="s">
        <v>331</v>
      </c>
      <c r="B92" s="215">
        <v>-1.4</v>
      </c>
      <c r="C92" s="215">
        <v>-6</v>
      </c>
      <c r="D92" s="215">
        <v>-3.4</v>
      </c>
      <c r="E92" s="215"/>
      <c r="F92" s="224">
        <v>8</v>
      </c>
      <c r="G92" s="224">
        <v>0</v>
      </c>
      <c r="H92" s="221">
        <v>-10.7</v>
      </c>
    </row>
    <row r="93" spans="1:8" ht="15" thickBot="1" x14ac:dyDescent="0.35">
      <c r="A93" s="216" t="s">
        <v>332</v>
      </c>
      <c r="B93" s="215">
        <v>-3.4</v>
      </c>
      <c r="C93" s="215">
        <v>-7</v>
      </c>
      <c r="D93" s="215">
        <v>-5.0999999999999996</v>
      </c>
      <c r="E93" s="215"/>
      <c r="F93" s="224">
        <v>7</v>
      </c>
      <c r="G93" s="224">
        <v>0</v>
      </c>
      <c r="H93" s="221">
        <v>-11.9</v>
      </c>
    </row>
    <row r="94" spans="1:8" ht="15" thickBot="1" x14ac:dyDescent="0.35">
      <c r="A94" s="216" t="s">
        <v>332</v>
      </c>
      <c r="B94" s="215">
        <v>-3</v>
      </c>
      <c r="C94" s="215">
        <v>-13</v>
      </c>
      <c r="D94" s="215">
        <v>-7.4</v>
      </c>
      <c r="E94" s="215"/>
      <c r="F94" s="224">
        <v>6</v>
      </c>
      <c r="G94" s="224">
        <v>1</v>
      </c>
      <c r="H94" s="221">
        <v>-13.7</v>
      </c>
    </row>
    <row r="95" spans="1:8" ht="15" thickBot="1" x14ac:dyDescent="0.35">
      <c r="A95" s="216" t="s">
        <v>332</v>
      </c>
      <c r="B95" s="215">
        <v>-2</v>
      </c>
      <c r="C95" s="215">
        <v>-8</v>
      </c>
      <c r="D95" s="215">
        <v>-4.2</v>
      </c>
      <c r="E95" s="215"/>
      <c r="F95" s="224">
        <v>4</v>
      </c>
      <c r="G95" s="224">
        <v>1</v>
      </c>
      <c r="H95" s="221">
        <v>-8.9</v>
      </c>
    </row>
    <row r="96" spans="1:8" ht="15" thickBot="1" x14ac:dyDescent="0.35">
      <c r="A96" s="216" t="s">
        <v>332</v>
      </c>
      <c r="B96" s="215">
        <v>0.8</v>
      </c>
      <c r="C96" s="215">
        <v>-5.8</v>
      </c>
      <c r="D96" s="215">
        <v>-1.2</v>
      </c>
      <c r="E96" s="215"/>
      <c r="F96" s="224">
        <v>4</v>
      </c>
      <c r="G96" s="224">
        <v>2</v>
      </c>
      <c r="H96" s="221">
        <v>-5.5</v>
      </c>
    </row>
    <row r="97" spans="1:8" ht="15" thickBot="1" x14ac:dyDescent="0.35">
      <c r="A97" s="216" t="s">
        <v>332</v>
      </c>
      <c r="B97" s="215">
        <v>1.4</v>
      </c>
      <c r="C97" s="215">
        <v>-3</v>
      </c>
      <c r="D97" s="215">
        <v>-1.4</v>
      </c>
      <c r="E97" s="215"/>
      <c r="F97" s="224">
        <v>5</v>
      </c>
      <c r="G97" s="224">
        <v>3</v>
      </c>
      <c r="H97" s="221">
        <v>-6.5</v>
      </c>
    </row>
    <row r="98" spans="1:8" ht="15" thickBot="1" x14ac:dyDescent="0.35">
      <c r="A98" s="216" t="s">
        <v>332</v>
      </c>
      <c r="B98" s="215">
        <v>0.3</v>
      </c>
      <c r="C98" s="215">
        <v>-7</v>
      </c>
      <c r="D98" s="215">
        <v>-2.7</v>
      </c>
      <c r="E98" s="215"/>
      <c r="F98" s="224">
        <v>5</v>
      </c>
      <c r="G98" s="224">
        <v>0</v>
      </c>
      <c r="H98" s="221">
        <v>-7.9</v>
      </c>
    </row>
    <row r="99" spans="1:8" ht="15" thickBot="1" x14ac:dyDescent="0.35">
      <c r="A99" s="216" t="s">
        <v>332</v>
      </c>
      <c r="B99" s="215">
        <v>-1.3</v>
      </c>
      <c r="C99" s="215">
        <v>-10</v>
      </c>
      <c r="D99" s="215">
        <v>-5.2</v>
      </c>
      <c r="E99" s="215"/>
      <c r="F99" s="224">
        <v>5</v>
      </c>
      <c r="G99" s="224">
        <v>2</v>
      </c>
      <c r="H99" s="221">
        <v>-10.7</v>
      </c>
    </row>
    <row r="100" spans="1:8" ht="15" thickBot="1" x14ac:dyDescent="0.35">
      <c r="A100" s="216" t="s">
        <v>332</v>
      </c>
      <c r="B100" s="215">
        <v>1</v>
      </c>
      <c r="C100" s="215">
        <v>-11</v>
      </c>
      <c r="D100" s="215">
        <v>-4.5999999999999996</v>
      </c>
      <c r="E100" s="215"/>
      <c r="F100" s="224">
        <v>5</v>
      </c>
      <c r="G100" s="224">
        <v>3</v>
      </c>
      <c r="H100" s="221">
        <v>-10</v>
      </c>
    </row>
    <row r="101" spans="1:8" ht="15" thickBot="1" x14ac:dyDescent="0.35">
      <c r="A101" s="216" t="s">
        <v>332</v>
      </c>
      <c r="B101" s="215">
        <v>4.7</v>
      </c>
      <c r="C101" s="215">
        <v>-5.0999999999999996</v>
      </c>
      <c r="D101" s="215">
        <v>2.1</v>
      </c>
      <c r="E101" s="215"/>
      <c r="F101" s="224">
        <v>7</v>
      </c>
      <c r="G101" s="224">
        <v>1</v>
      </c>
      <c r="H101" s="221">
        <v>-3.8</v>
      </c>
    </row>
    <row r="102" spans="1:8" ht="15" thickBot="1" x14ac:dyDescent="0.35">
      <c r="A102" s="216" t="s">
        <v>332</v>
      </c>
      <c r="B102" s="215">
        <v>4.5</v>
      </c>
      <c r="C102" s="215">
        <v>-3</v>
      </c>
      <c r="D102" s="215">
        <v>1</v>
      </c>
      <c r="E102" s="215"/>
      <c r="F102" s="224">
        <v>7</v>
      </c>
      <c r="G102" s="224">
        <v>1</v>
      </c>
      <c r="H102" s="221">
        <v>-5</v>
      </c>
    </row>
    <row r="103" spans="1:8" ht="15" thickBot="1" x14ac:dyDescent="0.35">
      <c r="A103" s="216" t="s">
        <v>332</v>
      </c>
      <c r="B103" s="215">
        <v>0.4</v>
      </c>
      <c r="C103" s="215">
        <v>-6</v>
      </c>
      <c r="D103" s="215">
        <v>-4.0999999999999996</v>
      </c>
      <c r="E103" s="215"/>
      <c r="F103" s="224">
        <v>4</v>
      </c>
      <c r="G103" s="224">
        <v>1</v>
      </c>
      <c r="H103" s="221">
        <v>-9</v>
      </c>
    </row>
    <row r="104" spans="1:8" ht="15" thickBot="1" x14ac:dyDescent="0.35">
      <c r="A104" s="216" t="s">
        <v>332</v>
      </c>
      <c r="B104" s="215">
        <v>4.2</v>
      </c>
      <c r="C104" s="215">
        <v>-4.3</v>
      </c>
      <c r="D104" s="215">
        <v>0.9</v>
      </c>
      <c r="E104" s="215"/>
      <c r="F104" s="224">
        <v>8</v>
      </c>
      <c r="G104" s="224">
        <v>0</v>
      </c>
      <c r="H104" s="221">
        <v>-5.9</v>
      </c>
    </row>
    <row r="105" spans="1:8" ht="15" thickBot="1" x14ac:dyDescent="0.35">
      <c r="A105" s="216" t="s">
        <v>332</v>
      </c>
      <c r="B105" s="215">
        <v>4.0999999999999996</v>
      </c>
      <c r="C105" s="215">
        <v>-6</v>
      </c>
      <c r="D105" s="215">
        <v>-0.7</v>
      </c>
      <c r="E105" s="215"/>
      <c r="F105" s="224">
        <v>6</v>
      </c>
      <c r="G105" s="224">
        <v>16</v>
      </c>
      <c r="H105" s="221">
        <v>-6.5</v>
      </c>
    </row>
    <row r="106" spans="1:8" ht="15" thickBot="1" x14ac:dyDescent="0.35">
      <c r="A106" s="216" t="s">
        <v>332</v>
      </c>
      <c r="B106" s="215">
        <v>2.6</v>
      </c>
      <c r="C106" s="215">
        <v>-8</v>
      </c>
      <c r="D106" s="215">
        <v>-1.7</v>
      </c>
      <c r="E106" s="215"/>
      <c r="F106" s="224">
        <v>5</v>
      </c>
      <c r="G106" s="224">
        <v>0</v>
      </c>
      <c r="H106" s="221">
        <v>-7</v>
      </c>
    </row>
    <row r="107" spans="1:8" ht="15" thickBot="1" x14ac:dyDescent="0.35">
      <c r="A107" s="216" t="s">
        <v>332</v>
      </c>
      <c r="B107" s="215">
        <v>6.5</v>
      </c>
      <c r="C107" s="215">
        <v>-0.1</v>
      </c>
      <c r="D107" s="215">
        <v>1.9</v>
      </c>
      <c r="E107" s="215"/>
      <c r="F107" s="224">
        <v>6</v>
      </c>
      <c r="G107" s="224">
        <v>0</v>
      </c>
      <c r="H107" s="221">
        <v>-3.7</v>
      </c>
    </row>
    <row r="108" spans="1:8" ht="15" thickBot="1" x14ac:dyDescent="0.35">
      <c r="A108" s="216" t="s">
        <v>332</v>
      </c>
      <c r="B108" s="215">
        <v>5.2</v>
      </c>
      <c r="C108" s="215">
        <v>1</v>
      </c>
      <c r="D108" s="215">
        <v>2.2000000000000002</v>
      </c>
      <c r="E108" s="215"/>
      <c r="F108" s="224">
        <v>6</v>
      </c>
      <c r="G108" s="224">
        <v>0</v>
      </c>
      <c r="H108" s="221">
        <v>-3.3</v>
      </c>
    </row>
    <row r="109" spans="1:8" ht="15" thickBot="1" x14ac:dyDescent="0.35">
      <c r="A109" s="216" t="s">
        <v>332</v>
      </c>
      <c r="B109" s="215">
        <v>6</v>
      </c>
      <c r="C109" s="215">
        <v>0</v>
      </c>
      <c r="D109" s="215">
        <v>2.2000000000000002</v>
      </c>
      <c r="E109" s="215"/>
      <c r="F109" s="224">
        <v>5</v>
      </c>
      <c r="G109" s="224">
        <v>1</v>
      </c>
      <c r="H109" s="221">
        <v>-2.5</v>
      </c>
    </row>
    <row r="110" spans="1:8" ht="15" thickBot="1" x14ac:dyDescent="0.35">
      <c r="A110" s="216" t="s">
        <v>332</v>
      </c>
      <c r="B110" s="215">
        <v>0.6</v>
      </c>
      <c r="C110" s="215">
        <v>-5</v>
      </c>
      <c r="D110" s="215">
        <v>-1.4</v>
      </c>
      <c r="E110" s="215"/>
      <c r="F110" s="224">
        <v>6</v>
      </c>
      <c r="G110" s="224">
        <v>6</v>
      </c>
      <c r="H110" s="221">
        <v>-7.3</v>
      </c>
    </row>
    <row r="111" spans="1:8" ht="15" thickBot="1" x14ac:dyDescent="0.35">
      <c r="A111" s="216" t="s">
        <v>332</v>
      </c>
      <c r="B111" s="215">
        <v>2.2000000000000002</v>
      </c>
      <c r="C111" s="215">
        <v>-7</v>
      </c>
      <c r="D111" s="215">
        <v>-1.7</v>
      </c>
      <c r="E111" s="215"/>
      <c r="F111" s="224">
        <v>4</v>
      </c>
      <c r="G111" s="224">
        <v>0</v>
      </c>
      <c r="H111" s="221">
        <v>-6.3</v>
      </c>
    </row>
    <row r="112" spans="1:8" ht="15" thickBot="1" x14ac:dyDescent="0.35">
      <c r="A112" s="216" t="s">
        <v>332</v>
      </c>
      <c r="B112" s="215">
        <v>1.8</v>
      </c>
      <c r="C112" s="215">
        <v>-0.3</v>
      </c>
      <c r="D112" s="215">
        <v>0.5</v>
      </c>
      <c r="E112" s="215"/>
      <c r="F112" s="224">
        <v>5</v>
      </c>
      <c r="G112" s="224">
        <v>0</v>
      </c>
      <c r="H112" s="221">
        <v>-4.2</v>
      </c>
    </row>
    <row r="113" spans="1:8" ht="15" thickBot="1" x14ac:dyDescent="0.35">
      <c r="A113" s="216" t="s">
        <v>332</v>
      </c>
      <c r="B113" s="215">
        <v>5.9</v>
      </c>
      <c r="C113" s="215">
        <v>0</v>
      </c>
      <c r="D113" s="215">
        <v>2.7</v>
      </c>
      <c r="E113" s="215"/>
      <c r="F113" s="224">
        <v>5</v>
      </c>
      <c r="G113" s="224">
        <v>0</v>
      </c>
      <c r="H113" s="221">
        <v>-1.9</v>
      </c>
    </row>
    <row r="114" spans="1:8" ht="15" thickBot="1" x14ac:dyDescent="0.35">
      <c r="A114" s="216" t="s">
        <v>332</v>
      </c>
      <c r="B114" s="215">
        <v>5</v>
      </c>
      <c r="C114" s="215">
        <v>-3</v>
      </c>
      <c r="D114" s="215">
        <v>1.4</v>
      </c>
      <c r="E114" s="215"/>
      <c r="F114" s="224">
        <v>4</v>
      </c>
      <c r="G114" s="224">
        <v>0</v>
      </c>
      <c r="H114" s="221">
        <v>-2.8</v>
      </c>
    </row>
    <row r="115" spans="1:8" ht="15" thickBot="1" x14ac:dyDescent="0.35">
      <c r="A115" s="216" t="s">
        <v>332</v>
      </c>
      <c r="B115" s="215">
        <v>6.3</v>
      </c>
      <c r="C115" s="215">
        <v>-4</v>
      </c>
      <c r="D115" s="215">
        <v>1.8</v>
      </c>
      <c r="E115" s="215"/>
      <c r="F115" s="224">
        <v>4</v>
      </c>
      <c r="G115" s="224">
        <v>0</v>
      </c>
      <c r="H115" s="221">
        <v>-2.2999999999999998</v>
      </c>
    </row>
    <row r="116" spans="1:8" ht="15" thickBot="1" x14ac:dyDescent="0.35">
      <c r="A116" s="216" t="s">
        <v>332</v>
      </c>
      <c r="B116" s="215">
        <v>11.8</v>
      </c>
      <c r="C116" s="215">
        <v>3</v>
      </c>
      <c r="D116" s="215">
        <v>5.6</v>
      </c>
      <c r="E116" s="215"/>
      <c r="F116" s="224">
        <v>5</v>
      </c>
      <c r="G116" s="224">
        <v>0</v>
      </c>
      <c r="H116" s="221">
        <v>1.3</v>
      </c>
    </row>
    <row r="117" spans="1:8" ht="15" thickBot="1" x14ac:dyDescent="0.35">
      <c r="A117" s="216" t="s">
        <v>332</v>
      </c>
      <c r="B117" s="215">
        <v>10.7</v>
      </c>
      <c r="C117" s="215">
        <v>3.9</v>
      </c>
      <c r="D117" s="215">
        <v>6.1</v>
      </c>
      <c r="E117" s="215"/>
      <c r="F117" s="224">
        <v>5</v>
      </c>
      <c r="G117" s="224">
        <v>5</v>
      </c>
      <c r="H117" s="221">
        <v>2</v>
      </c>
    </row>
    <row r="118" spans="1:8" ht="15" thickBot="1" x14ac:dyDescent="0.35">
      <c r="A118" s="216" t="s">
        <v>332</v>
      </c>
      <c r="B118" s="215">
        <v>14.7</v>
      </c>
      <c r="C118" s="215">
        <v>6</v>
      </c>
      <c r="D118" s="215">
        <v>9.3000000000000007</v>
      </c>
      <c r="E118" s="215"/>
      <c r="F118" s="224">
        <v>1</v>
      </c>
      <c r="G118" s="224">
        <v>0</v>
      </c>
      <c r="H118" s="221">
        <v>6.2</v>
      </c>
    </row>
    <row r="119" spans="1:8" ht="15" thickBot="1" x14ac:dyDescent="0.35">
      <c r="A119" s="216" t="s">
        <v>332</v>
      </c>
      <c r="B119" s="215">
        <v>10.6</v>
      </c>
      <c r="C119" s="215">
        <v>5</v>
      </c>
      <c r="D119" s="215">
        <v>7.7</v>
      </c>
      <c r="E119" s="215"/>
      <c r="F119" s="224">
        <v>1</v>
      </c>
      <c r="G119" s="224">
        <v>1</v>
      </c>
      <c r="H119" s="221">
        <v>4.4000000000000004</v>
      </c>
    </row>
    <row r="120" spans="1:8" ht="15" thickBot="1" x14ac:dyDescent="0.35">
      <c r="A120" s="216" t="s">
        <v>332</v>
      </c>
      <c r="B120" s="215">
        <v>10.199999999999999</v>
      </c>
      <c r="C120" s="215">
        <v>0</v>
      </c>
      <c r="D120" s="215">
        <v>5.2</v>
      </c>
      <c r="E120" s="215"/>
      <c r="F120" s="224">
        <v>1</v>
      </c>
      <c r="G120" s="224">
        <v>0</v>
      </c>
      <c r="H120" s="221">
        <v>0.8</v>
      </c>
    </row>
    <row r="121" spans="1:8" ht="15" thickBot="1" x14ac:dyDescent="0.35">
      <c r="A121" s="216" t="s">
        <v>332</v>
      </c>
      <c r="B121" s="215">
        <v>9</v>
      </c>
      <c r="C121" s="215">
        <v>-1</v>
      </c>
      <c r="D121" s="215">
        <v>3.3</v>
      </c>
      <c r="E121" s="215"/>
      <c r="F121" s="224">
        <v>1</v>
      </c>
      <c r="G121" s="224">
        <v>0</v>
      </c>
      <c r="H121" s="221">
        <v>-2.2000000000000002</v>
      </c>
    </row>
    <row r="122" spans="1:8" ht="15" thickBot="1" x14ac:dyDescent="0.35">
      <c r="A122" s="216" t="s">
        <v>332</v>
      </c>
      <c r="B122" s="215">
        <v>11</v>
      </c>
      <c r="C122" s="215">
        <v>2.5</v>
      </c>
      <c r="D122" s="215">
        <v>6.7</v>
      </c>
      <c r="E122" s="215"/>
      <c r="F122" s="224">
        <v>7</v>
      </c>
      <c r="G122" s="224">
        <v>0</v>
      </c>
      <c r="H122" s="221">
        <v>0.6</v>
      </c>
    </row>
    <row r="123" spans="1:8" ht="15" thickBot="1" x14ac:dyDescent="0.35">
      <c r="A123" s="216" t="s">
        <v>332</v>
      </c>
      <c r="B123" s="215">
        <v>7</v>
      </c>
      <c r="C123" s="215">
        <v>2</v>
      </c>
      <c r="D123" s="215">
        <v>4.3</v>
      </c>
      <c r="E123" s="215"/>
      <c r="F123" s="224">
        <v>5</v>
      </c>
      <c r="G123" s="224">
        <v>2</v>
      </c>
      <c r="H123" s="221">
        <v>-0.2</v>
      </c>
    </row>
    <row r="124" spans="1:8" ht="15" thickBot="1" x14ac:dyDescent="0.35">
      <c r="A124" s="216" t="s">
        <v>333</v>
      </c>
      <c r="B124" s="215">
        <v>7</v>
      </c>
      <c r="C124" s="215">
        <v>1</v>
      </c>
      <c r="D124" s="215">
        <v>4.3</v>
      </c>
      <c r="E124" s="215"/>
      <c r="F124" s="224">
        <v>6</v>
      </c>
      <c r="G124" s="224">
        <v>0</v>
      </c>
      <c r="H124" s="221">
        <v>-1</v>
      </c>
    </row>
    <row r="125" spans="1:8" ht="15" thickBot="1" x14ac:dyDescent="0.35">
      <c r="A125" s="216" t="s">
        <v>333</v>
      </c>
      <c r="B125" s="215">
        <v>12.8</v>
      </c>
      <c r="C125" s="215">
        <v>1</v>
      </c>
      <c r="D125" s="215">
        <v>7.4</v>
      </c>
      <c r="E125" s="215"/>
      <c r="F125" s="224">
        <v>3</v>
      </c>
      <c r="G125" s="224">
        <v>150</v>
      </c>
      <c r="H125" s="221">
        <v>4.3</v>
      </c>
    </row>
    <row r="126" spans="1:8" ht="15" thickBot="1" x14ac:dyDescent="0.35">
      <c r="A126" s="216" t="s">
        <v>333</v>
      </c>
      <c r="B126" s="215">
        <v>16.7</v>
      </c>
      <c r="C126" s="215">
        <v>3</v>
      </c>
      <c r="D126" s="215">
        <v>9.6</v>
      </c>
      <c r="E126" s="215"/>
      <c r="F126" s="224">
        <v>4</v>
      </c>
      <c r="G126" s="224">
        <v>0</v>
      </c>
      <c r="H126" s="221">
        <v>5.7</v>
      </c>
    </row>
    <row r="127" spans="1:8" ht="15" thickBot="1" x14ac:dyDescent="0.35">
      <c r="A127" s="216" t="s">
        <v>333</v>
      </c>
      <c r="B127" s="215">
        <v>18</v>
      </c>
      <c r="C127" s="215">
        <v>2</v>
      </c>
      <c r="D127" s="215">
        <v>10.3</v>
      </c>
      <c r="E127" s="215"/>
      <c r="F127" s="224">
        <v>3</v>
      </c>
      <c r="G127" s="224">
        <v>0</v>
      </c>
      <c r="H127" s="221">
        <v>7.2</v>
      </c>
    </row>
    <row r="128" spans="1:8" ht="15" thickBot="1" x14ac:dyDescent="0.35">
      <c r="A128" s="216" t="s">
        <v>333</v>
      </c>
      <c r="B128" s="215">
        <v>19</v>
      </c>
      <c r="C128" s="215">
        <v>3</v>
      </c>
      <c r="D128" s="215">
        <v>11.4</v>
      </c>
      <c r="E128" s="215"/>
      <c r="F128" s="224">
        <v>2</v>
      </c>
      <c r="G128" s="224">
        <v>0</v>
      </c>
      <c r="H128" s="221">
        <v>9.1999999999999993</v>
      </c>
    </row>
    <row r="129" spans="1:8" ht="15" thickBot="1" x14ac:dyDescent="0.35">
      <c r="A129" s="216" t="s">
        <v>333</v>
      </c>
      <c r="B129" s="215">
        <v>13</v>
      </c>
      <c r="C129" s="215">
        <v>0</v>
      </c>
      <c r="D129" s="215">
        <v>7.2</v>
      </c>
      <c r="E129" s="215"/>
      <c r="F129" s="224">
        <v>6</v>
      </c>
      <c r="G129" s="224">
        <v>0</v>
      </c>
      <c r="H129" s="221">
        <v>1.9</v>
      </c>
    </row>
    <row r="130" spans="1:8" ht="15" thickBot="1" x14ac:dyDescent="0.35">
      <c r="A130" s="216" t="s">
        <v>333</v>
      </c>
      <c r="B130" s="215">
        <v>9</v>
      </c>
      <c r="C130" s="215">
        <v>-1</v>
      </c>
      <c r="D130" s="215">
        <v>3.8</v>
      </c>
      <c r="E130" s="215"/>
      <c r="F130" s="224">
        <v>6</v>
      </c>
      <c r="G130" s="224">
        <v>0</v>
      </c>
      <c r="H130" s="221">
        <v>-2</v>
      </c>
    </row>
    <row r="131" spans="1:8" ht="15" thickBot="1" x14ac:dyDescent="0.35">
      <c r="A131" s="216" t="s">
        <v>333</v>
      </c>
      <c r="B131" s="215">
        <v>11</v>
      </c>
      <c r="C131" s="215">
        <v>-2</v>
      </c>
      <c r="D131" s="215">
        <v>4.4000000000000004</v>
      </c>
      <c r="E131" s="215"/>
      <c r="F131" s="224">
        <v>3</v>
      </c>
      <c r="G131" s="224">
        <v>0</v>
      </c>
      <c r="H131" s="221">
        <v>0.5</v>
      </c>
    </row>
    <row r="132" spans="1:8" ht="15" thickBot="1" x14ac:dyDescent="0.35">
      <c r="A132" s="216" t="s">
        <v>333</v>
      </c>
      <c r="B132" s="215">
        <v>14</v>
      </c>
      <c r="C132" s="215">
        <v>-2</v>
      </c>
      <c r="D132" s="215">
        <v>6.2</v>
      </c>
      <c r="E132" s="215"/>
      <c r="F132" s="224">
        <v>2</v>
      </c>
      <c r="G132" s="224">
        <v>0</v>
      </c>
      <c r="H132" s="221">
        <v>3</v>
      </c>
    </row>
    <row r="133" spans="1:8" ht="15" thickBot="1" x14ac:dyDescent="0.35">
      <c r="A133" s="216" t="s">
        <v>333</v>
      </c>
      <c r="B133" s="215">
        <v>15</v>
      </c>
      <c r="C133" s="215">
        <v>-1</v>
      </c>
      <c r="D133" s="215">
        <v>7.6</v>
      </c>
      <c r="E133" s="215"/>
      <c r="F133" s="224">
        <v>4</v>
      </c>
      <c r="G133" s="224">
        <v>0</v>
      </c>
      <c r="H133" s="221">
        <v>3.3</v>
      </c>
    </row>
    <row r="134" spans="1:8" ht="15" thickBot="1" x14ac:dyDescent="0.35">
      <c r="A134" s="216" t="s">
        <v>333</v>
      </c>
      <c r="B134" s="215">
        <v>14</v>
      </c>
      <c r="C134" s="215">
        <v>-2</v>
      </c>
      <c r="D134" s="215">
        <v>6.6</v>
      </c>
      <c r="E134" s="215"/>
      <c r="F134" s="224">
        <v>3</v>
      </c>
      <c r="G134" s="224">
        <v>0</v>
      </c>
      <c r="H134" s="221">
        <v>3.1</v>
      </c>
    </row>
    <row r="135" spans="1:8" ht="15" thickBot="1" x14ac:dyDescent="0.35">
      <c r="A135" s="216" t="s">
        <v>333</v>
      </c>
      <c r="B135" s="215">
        <v>17</v>
      </c>
      <c r="C135" s="215">
        <v>0</v>
      </c>
      <c r="D135" s="215">
        <v>10.1</v>
      </c>
      <c r="E135" s="215"/>
      <c r="F135" s="224">
        <v>2</v>
      </c>
      <c r="G135" s="224">
        <v>0</v>
      </c>
      <c r="H135" s="221">
        <v>7.4</v>
      </c>
    </row>
    <row r="136" spans="1:8" ht="15" thickBot="1" x14ac:dyDescent="0.35">
      <c r="A136" s="216" t="s">
        <v>333</v>
      </c>
      <c r="B136" s="215">
        <v>18</v>
      </c>
      <c r="C136" s="215">
        <v>1</v>
      </c>
      <c r="D136" s="215">
        <v>9.6</v>
      </c>
      <c r="E136" s="215"/>
      <c r="F136" s="224">
        <v>5</v>
      </c>
      <c r="G136" s="224">
        <v>0</v>
      </c>
      <c r="H136" s="221">
        <v>5</v>
      </c>
    </row>
    <row r="137" spans="1:8" ht="15" thickBot="1" x14ac:dyDescent="0.35">
      <c r="A137" s="216" t="s">
        <v>333</v>
      </c>
      <c r="B137" s="215">
        <v>5</v>
      </c>
      <c r="C137" s="215">
        <v>-4</v>
      </c>
      <c r="D137" s="215">
        <v>1.3</v>
      </c>
      <c r="E137" s="215"/>
      <c r="F137" s="224">
        <v>9</v>
      </c>
      <c r="G137" s="224">
        <v>0</v>
      </c>
      <c r="H137" s="221">
        <v>-6.8</v>
      </c>
    </row>
    <row r="138" spans="1:8" ht="15" thickBot="1" x14ac:dyDescent="0.35">
      <c r="A138" s="216" t="s">
        <v>333</v>
      </c>
      <c r="B138" s="215">
        <v>8</v>
      </c>
      <c r="C138" s="215">
        <v>-5</v>
      </c>
      <c r="D138" s="215">
        <v>1.8</v>
      </c>
      <c r="E138" s="215"/>
      <c r="F138" s="224">
        <v>5</v>
      </c>
      <c r="G138" s="224">
        <v>1</v>
      </c>
      <c r="H138" s="221">
        <v>-3.7</v>
      </c>
    </row>
    <row r="139" spans="1:8" ht="15" thickBot="1" x14ac:dyDescent="0.35">
      <c r="A139" s="216" t="s">
        <v>333</v>
      </c>
      <c r="B139" s="215">
        <v>11.3</v>
      </c>
      <c r="C139" s="215">
        <v>-2</v>
      </c>
      <c r="D139" s="215">
        <v>5.0999999999999996</v>
      </c>
      <c r="E139" s="215"/>
      <c r="F139" s="224">
        <v>5</v>
      </c>
      <c r="G139" s="224">
        <v>1</v>
      </c>
      <c r="H139" s="221">
        <v>-0.1</v>
      </c>
    </row>
    <row r="140" spans="1:8" ht="15" thickBot="1" x14ac:dyDescent="0.35">
      <c r="A140" s="216" t="s">
        <v>333</v>
      </c>
      <c r="B140" s="215">
        <v>16</v>
      </c>
      <c r="C140" s="215">
        <v>-2</v>
      </c>
      <c r="D140" s="215">
        <v>8.6</v>
      </c>
      <c r="E140" s="215"/>
      <c r="F140" s="224">
        <v>3</v>
      </c>
      <c r="G140" s="224">
        <v>1</v>
      </c>
      <c r="H140" s="221">
        <v>5</v>
      </c>
    </row>
    <row r="141" spans="1:8" ht="15" thickBot="1" x14ac:dyDescent="0.35">
      <c r="A141" s="216" t="s">
        <v>333</v>
      </c>
      <c r="B141" s="215">
        <v>18</v>
      </c>
      <c r="C141" s="215">
        <v>5</v>
      </c>
      <c r="D141" s="215">
        <v>12.3</v>
      </c>
      <c r="E141" s="215"/>
      <c r="F141" s="224">
        <v>4</v>
      </c>
      <c r="G141" s="224">
        <v>0</v>
      </c>
      <c r="H141" s="221">
        <v>8.1999999999999993</v>
      </c>
    </row>
    <row r="142" spans="1:8" ht="15" thickBot="1" x14ac:dyDescent="0.35">
      <c r="A142" s="216" t="s">
        <v>333</v>
      </c>
      <c r="B142" s="215">
        <v>18</v>
      </c>
      <c r="C142" s="215">
        <v>5</v>
      </c>
      <c r="D142" s="215">
        <v>11.9</v>
      </c>
      <c r="E142" s="215"/>
      <c r="F142" s="224">
        <v>4</v>
      </c>
      <c r="G142" s="224">
        <v>0</v>
      </c>
      <c r="H142" s="221">
        <v>8.1999999999999993</v>
      </c>
    </row>
    <row r="143" spans="1:8" ht="15" thickBot="1" x14ac:dyDescent="0.35">
      <c r="A143" s="216" t="s">
        <v>333</v>
      </c>
      <c r="B143" s="215">
        <v>17</v>
      </c>
      <c r="C143" s="215">
        <v>4</v>
      </c>
      <c r="D143" s="215">
        <v>11.2</v>
      </c>
      <c r="E143" s="215"/>
      <c r="F143" s="224">
        <v>3</v>
      </c>
      <c r="G143" s="224">
        <v>0</v>
      </c>
      <c r="H143" s="221">
        <v>8.4</v>
      </c>
    </row>
    <row r="144" spans="1:8" ht="15" thickBot="1" x14ac:dyDescent="0.35">
      <c r="A144" s="216" t="s">
        <v>333</v>
      </c>
      <c r="B144" s="215">
        <v>17.3</v>
      </c>
      <c r="C144" s="215">
        <v>6</v>
      </c>
      <c r="D144" s="215">
        <v>11.8</v>
      </c>
      <c r="E144" s="215"/>
      <c r="F144" s="224">
        <v>2</v>
      </c>
      <c r="G144" s="224">
        <v>0</v>
      </c>
      <c r="H144" s="221">
        <v>9.5</v>
      </c>
    </row>
    <row r="145" spans="1:8" ht="15" thickBot="1" x14ac:dyDescent="0.35">
      <c r="A145" s="216" t="s">
        <v>333</v>
      </c>
      <c r="B145" s="215">
        <v>15</v>
      </c>
      <c r="C145" s="215">
        <v>3</v>
      </c>
      <c r="D145" s="215">
        <v>10.3</v>
      </c>
      <c r="E145" s="215"/>
      <c r="F145" s="224">
        <v>2</v>
      </c>
      <c r="G145" s="224">
        <v>0</v>
      </c>
      <c r="H145" s="221">
        <v>8.1999999999999993</v>
      </c>
    </row>
    <row r="146" spans="1:8" ht="15" thickBot="1" x14ac:dyDescent="0.35">
      <c r="A146" s="216" t="s">
        <v>333</v>
      </c>
      <c r="B146" s="215">
        <v>19</v>
      </c>
      <c r="C146" s="215">
        <v>3</v>
      </c>
      <c r="D146" s="215">
        <v>12</v>
      </c>
      <c r="E146" s="215"/>
      <c r="F146" s="224">
        <v>4</v>
      </c>
      <c r="G146" s="224">
        <v>0</v>
      </c>
      <c r="H146" s="221">
        <v>8.1999999999999993</v>
      </c>
    </row>
    <row r="147" spans="1:8" ht="15" thickBot="1" x14ac:dyDescent="0.35">
      <c r="A147" s="216" t="s">
        <v>333</v>
      </c>
      <c r="B147" s="215">
        <v>23</v>
      </c>
      <c r="C147" s="215">
        <v>3</v>
      </c>
      <c r="D147" s="215">
        <v>15.3</v>
      </c>
      <c r="E147" s="215"/>
      <c r="F147" s="224">
        <v>4</v>
      </c>
      <c r="G147" s="224">
        <v>0</v>
      </c>
      <c r="H147" s="221">
        <v>11.6</v>
      </c>
    </row>
    <row r="148" spans="1:8" ht="15" thickBot="1" x14ac:dyDescent="0.35">
      <c r="A148" s="216" t="s">
        <v>333</v>
      </c>
      <c r="B148" s="215">
        <v>19.5</v>
      </c>
      <c r="C148" s="215">
        <v>6</v>
      </c>
      <c r="D148" s="215">
        <v>14</v>
      </c>
      <c r="E148" s="215"/>
      <c r="F148" s="224">
        <v>4</v>
      </c>
      <c r="G148" s="224">
        <v>0</v>
      </c>
      <c r="H148" s="221">
        <v>11.1</v>
      </c>
    </row>
    <row r="149" spans="1:8" ht="15" thickBot="1" x14ac:dyDescent="0.35">
      <c r="A149" s="216" t="s">
        <v>333</v>
      </c>
      <c r="B149" s="215">
        <v>17.5</v>
      </c>
      <c r="C149" s="215">
        <v>11</v>
      </c>
      <c r="D149" s="215">
        <v>13.7</v>
      </c>
      <c r="E149" s="215"/>
      <c r="F149" s="224">
        <v>6</v>
      </c>
      <c r="G149" s="224">
        <v>2</v>
      </c>
      <c r="H149" s="221">
        <v>9.9</v>
      </c>
    </row>
    <row r="150" spans="1:8" ht="15" thickBot="1" x14ac:dyDescent="0.35">
      <c r="A150" s="216" t="s">
        <v>333</v>
      </c>
      <c r="B150" s="215">
        <v>22</v>
      </c>
      <c r="C150" s="215">
        <v>8</v>
      </c>
      <c r="D150" s="215">
        <v>15.4</v>
      </c>
      <c r="E150" s="215"/>
      <c r="F150" s="224">
        <v>6</v>
      </c>
      <c r="G150" s="224">
        <v>0</v>
      </c>
      <c r="H150" s="221">
        <v>11.3</v>
      </c>
    </row>
    <row r="151" spans="1:8" ht="15" thickBot="1" x14ac:dyDescent="0.35">
      <c r="A151" s="216" t="s">
        <v>333</v>
      </c>
      <c r="B151" s="215">
        <v>22.6</v>
      </c>
      <c r="C151" s="215">
        <v>7</v>
      </c>
      <c r="D151" s="215">
        <v>15.9</v>
      </c>
      <c r="E151" s="215"/>
      <c r="F151" s="224">
        <v>2</v>
      </c>
      <c r="G151" s="224">
        <v>0</v>
      </c>
      <c r="H151" s="221">
        <v>14.4</v>
      </c>
    </row>
    <row r="152" spans="1:8" ht="15" thickBot="1" x14ac:dyDescent="0.35">
      <c r="A152" s="216" t="s">
        <v>333</v>
      </c>
      <c r="B152" s="215">
        <v>25.1</v>
      </c>
      <c r="C152" s="215">
        <v>9.6999999999999993</v>
      </c>
      <c r="D152" s="215">
        <v>17.3</v>
      </c>
      <c r="E152" s="215"/>
      <c r="F152" s="224">
        <v>4</v>
      </c>
      <c r="G152" s="224">
        <v>0</v>
      </c>
      <c r="H152" s="221">
        <v>14.4</v>
      </c>
    </row>
    <row r="153" spans="1:8" ht="15" thickBot="1" x14ac:dyDescent="0.35">
      <c r="A153" s="216" t="s">
        <v>333</v>
      </c>
      <c r="B153" s="215">
        <v>20</v>
      </c>
      <c r="C153" s="215">
        <v>12</v>
      </c>
      <c r="D153" s="215">
        <v>15.6</v>
      </c>
      <c r="E153" s="215"/>
      <c r="F153" s="224">
        <v>5</v>
      </c>
      <c r="G153" s="224">
        <v>0</v>
      </c>
      <c r="H153" s="221">
        <v>12.5</v>
      </c>
    </row>
    <row r="154" spans="1:8" ht="15" thickBot="1" x14ac:dyDescent="0.35">
      <c r="A154" s="216" t="s">
        <v>334</v>
      </c>
      <c r="B154" s="215">
        <v>30</v>
      </c>
      <c r="C154" s="215">
        <v>13</v>
      </c>
      <c r="D154" s="215">
        <v>21.3</v>
      </c>
      <c r="E154" s="215"/>
      <c r="F154" s="224">
        <v>7</v>
      </c>
      <c r="G154" s="224">
        <v>0</v>
      </c>
      <c r="H154" s="221">
        <v>16.8</v>
      </c>
    </row>
    <row r="155" spans="1:8" ht="15" thickBot="1" x14ac:dyDescent="0.35">
      <c r="A155" s="216" t="s">
        <v>334</v>
      </c>
      <c r="B155" s="215">
        <v>14</v>
      </c>
      <c r="C155" s="215">
        <v>9</v>
      </c>
      <c r="D155" s="215">
        <v>12</v>
      </c>
      <c r="E155" s="215"/>
      <c r="F155" s="224">
        <v>5</v>
      </c>
      <c r="G155" s="224">
        <v>4</v>
      </c>
      <c r="H155" s="221">
        <v>8.9</v>
      </c>
    </row>
    <row r="156" spans="1:8" ht="15" thickBot="1" x14ac:dyDescent="0.35">
      <c r="A156" s="216" t="s">
        <v>334</v>
      </c>
      <c r="B156" s="215">
        <v>18</v>
      </c>
      <c r="C156" s="215">
        <v>7</v>
      </c>
      <c r="D156" s="215">
        <v>12.9</v>
      </c>
      <c r="E156" s="215"/>
      <c r="F156" s="224">
        <v>3</v>
      </c>
      <c r="G156" s="224">
        <v>1</v>
      </c>
      <c r="H156" s="221">
        <v>10.8</v>
      </c>
    </row>
    <row r="157" spans="1:8" ht="15" thickBot="1" x14ac:dyDescent="0.35">
      <c r="A157" s="216" t="s">
        <v>334</v>
      </c>
      <c r="B157" s="215">
        <v>22.9</v>
      </c>
      <c r="C157" s="215">
        <v>7</v>
      </c>
      <c r="D157" s="215">
        <v>15.7</v>
      </c>
      <c r="E157" s="215"/>
      <c r="F157" s="224">
        <v>4</v>
      </c>
      <c r="G157" s="224">
        <v>0</v>
      </c>
      <c r="H157" s="221">
        <v>12.9</v>
      </c>
    </row>
    <row r="158" spans="1:8" ht="15" thickBot="1" x14ac:dyDescent="0.35">
      <c r="A158" s="216" t="s">
        <v>334</v>
      </c>
      <c r="B158" s="215">
        <v>24</v>
      </c>
      <c r="C158" s="215">
        <v>8</v>
      </c>
      <c r="D158" s="215">
        <v>14.9</v>
      </c>
      <c r="E158" s="215"/>
      <c r="F158" s="224">
        <v>4</v>
      </c>
      <c r="G158" s="224">
        <v>3</v>
      </c>
      <c r="H158" s="221">
        <v>12.2</v>
      </c>
    </row>
    <row r="159" spans="1:8" ht="15" thickBot="1" x14ac:dyDescent="0.35">
      <c r="A159" s="216" t="s">
        <v>334</v>
      </c>
      <c r="B159" s="215">
        <v>11.5</v>
      </c>
      <c r="C159" s="215">
        <v>0</v>
      </c>
      <c r="D159" s="215">
        <v>6.2</v>
      </c>
      <c r="E159" s="215"/>
      <c r="F159" s="224">
        <v>5</v>
      </c>
      <c r="G159" s="224">
        <v>28</v>
      </c>
      <c r="H159" s="221">
        <v>2</v>
      </c>
    </row>
    <row r="160" spans="1:8" ht="15" thickBot="1" x14ac:dyDescent="0.35">
      <c r="A160" s="216" t="s">
        <v>334</v>
      </c>
      <c r="B160" s="215">
        <v>8.1</v>
      </c>
      <c r="C160" s="215">
        <v>0</v>
      </c>
      <c r="D160" s="215">
        <v>4.2</v>
      </c>
      <c r="E160" s="215"/>
      <c r="F160" s="224">
        <v>5</v>
      </c>
      <c r="G160" s="224">
        <v>0</v>
      </c>
      <c r="H160" s="221">
        <v>-0.7</v>
      </c>
    </row>
    <row r="161" spans="1:8" ht="15" thickBot="1" x14ac:dyDescent="0.35">
      <c r="A161" s="216" t="s">
        <v>334</v>
      </c>
      <c r="B161" s="215">
        <v>10</v>
      </c>
      <c r="C161" s="215">
        <v>0</v>
      </c>
      <c r="D161" s="215">
        <v>5.6</v>
      </c>
      <c r="E161" s="215"/>
      <c r="F161" s="224">
        <v>3</v>
      </c>
      <c r="G161" s="224">
        <v>0</v>
      </c>
      <c r="H161" s="221">
        <v>2</v>
      </c>
    </row>
    <row r="162" spans="1:8" ht="15" thickBot="1" x14ac:dyDescent="0.35">
      <c r="A162" s="216" t="s">
        <v>334</v>
      </c>
      <c r="B162" s="215">
        <v>12.6</v>
      </c>
      <c r="C162" s="215">
        <v>0</v>
      </c>
      <c r="D162" s="215">
        <v>7.4</v>
      </c>
      <c r="E162" s="215"/>
      <c r="F162" s="224">
        <v>3</v>
      </c>
      <c r="G162" s="224">
        <v>0</v>
      </c>
      <c r="H162" s="221">
        <v>3.9</v>
      </c>
    </row>
    <row r="163" spans="1:8" ht="15" thickBot="1" x14ac:dyDescent="0.35">
      <c r="A163" s="216" t="s">
        <v>334</v>
      </c>
      <c r="B163" s="215">
        <v>16.3</v>
      </c>
      <c r="C163" s="215">
        <v>2</v>
      </c>
      <c r="D163" s="215">
        <v>10.9</v>
      </c>
      <c r="E163" s="215"/>
      <c r="F163" s="224">
        <v>3</v>
      </c>
      <c r="G163" s="224">
        <v>0</v>
      </c>
      <c r="H163" s="221">
        <v>7.7</v>
      </c>
    </row>
    <row r="164" spans="1:8" ht="15" thickBot="1" x14ac:dyDescent="0.35">
      <c r="A164" s="216" t="s">
        <v>334</v>
      </c>
      <c r="B164" s="215">
        <v>19.5</v>
      </c>
      <c r="C164" s="215">
        <v>6</v>
      </c>
      <c r="D164" s="215">
        <v>13.8</v>
      </c>
      <c r="E164" s="215"/>
      <c r="F164" s="224">
        <v>4</v>
      </c>
      <c r="G164" s="224">
        <v>0</v>
      </c>
      <c r="H164" s="221">
        <v>10.199999999999999</v>
      </c>
    </row>
    <row r="165" spans="1:8" ht="15" thickBot="1" x14ac:dyDescent="0.35">
      <c r="A165" s="216" t="s">
        <v>334</v>
      </c>
      <c r="B165" s="215">
        <v>20</v>
      </c>
      <c r="C165" s="215">
        <v>8</v>
      </c>
      <c r="D165" s="215">
        <v>14.2</v>
      </c>
      <c r="E165" s="215"/>
      <c r="F165" s="224">
        <v>5</v>
      </c>
      <c r="G165" s="224">
        <v>0</v>
      </c>
      <c r="H165" s="221">
        <v>10.1</v>
      </c>
    </row>
    <row r="166" spans="1:8" ht="15" thickBot="1" x14ac:dyDescent="0.35">
      <c r="A166" s="216" t="s">
        <v>334</v>
      </c>
      <c r="B166" s="215">
        <v>21.8</v>
      </c>
      <c r="C166" s="215">
        <v>7</v>
      </c>
      <c r="D166" s="215">
        <v>15</v>
      </c>
      <c r="E166" s="215"/>
      <c r="F166" s="224">
        <v>4</v>
      </c>
      <c r="G166" s="224">
        <v>0</v>
      </c>
      <c r="H166" s="221">
        <v>11.9</v>
      </c>
    </row>
    <row r="167" spans="1:8" ht="15" thickBot="1" x14ac:dyDescent="0.35">
      <c r="A167" s="216" t="s">
        <v>334</v>
      </c>
      <c r="B167" s="215">
        <v>15.1</v>
      </c>
      <c r="C167" s="215">
        <v>8</v>
      </c>
      <c r="D167" s="215">
        <v>11.7</v>
      </c>
      <c r="E167" s="215"/>
      <c r="F167" s="224">
        <v>4</v>
      </c>
      <c r="G167" s="224">
        <v>0</v>
      </c>
      <c r="H167" s="221">
        <v>9</v>
      </c>
    </row>
    <row r="168" spans="1:8" ht="15" thickBot="1" x14ac:dyDescent="0.35">
      <c r="A168" s="216" t="s">
        <v>334</v>
      </c>
      <c r="B168" s="215">
        <v>17.3</v>
      </c>
      <c r="C168" s="215">
        <v>8</v>
      </c>
      <c r="D168" s="215">
        <v>12</v>
      </c>
      <c r="E168" s="215"/>
      <c r="F168" s="224">
        <v>4</v>
      </c>
      <c r="G168" s="224">
        <v>2</v>
      </c>
      <c r="H168" s="221">
        <v>9.1999999999999993</v>
      </c>
    </row>
    <row r="169" spans="1:8" ht="15" thickBot="1" x14ac:dyDescent="0.35">
      <c r="A169" s="216" t="s">
        <v>334</v>
      </c>
      <c r="B169" s="215">
        <v>22.6</v>
      </c>
      <c r="C169" s="215">
        <v>7</v>
      </c>
      <c r="D169" s="215">
        <v>16.3</v>
      </c>
      <c r="E169" s="215"/>
      <c r="F169" s="224">
        <v>3</v>
      </c>
      <c r="G169" s="224">
        <v>1</v>
      </c>
      <c r="H169" s="221">
        <v>14.1</v>
      </c>
    </row>
    <row r="170" spans="1:8" ht="15" thickBot="1" x14ac:dyDescent="0.35">
      <c r="A170" s="216" t="s">
        <v>334</v>
      </c>
      <c r="B170" s="215">
        <v>24.7</v>
      </c>
      <c r="C170" s="215">
        <v>9</v>
      </c>
      <c r="D170" s="215">
        <v>18.3</v>
      </c>
      <c r="E170" s="215"/>
      <c r="F170" s="224">
        <v>3</v>
      </c>
      <c r="G170" s="224">
        <v>0</v>
      </c>
      <c r="H170" s="221">
        <v>16.100000000000001</v>
      </c>
    </row>
    <row r="171" spans="1:8" ht="15" thickBot="1" x14ac:dyDescent="0.35">
      <c r="A171" s="216" t="s">
        <v>334</v>
      </c>
      <c r="B171" s="215">
        <v>24.7</v>
      </c>
      <c r="C171" s="215">
        <v>11</v>
      </c>
      <c r="D171" s="215">
        <v>18.7</v>
      </c>
      <c r="E171" s="215"/>
      <c r="F171" s="224">
        <v>3</v>
      </c>
      <c r="G171" s="224">
        <v>0</v>
      </c>
      <c r="H171" s="221">
        <v>16.3</v>
      </c>
    </row>
    <row r="172" spans="1:8" ht="15" thickBot="1" x14ac:dyDescent="0.35">
      <c r="A172" s="216" t="s">
        <v>334</v>
      </c>
      <c r="B172" s="215">
        <v>21.6</v>
      </c>
      <c r="C172" s="215">
        <v>7</v>
      </c>
      <c r="D172" s="215">
        <v>14.8</v>
      </c>
      <c r="E172" s="215"/>
      <c r="F172" s="224">
        <v>3</v>
      </c>
      <c r="G172" s="224">
        <v>0</v>
      </c>
      <c r="H172" s="221">
        <v>12.2</v>
      </c>
    </row>
    <row r="173" spans="1:8" ht="15" thickBot="1" x14ac:dyDescent="0.35">
      <c r="A173" s="216" t="s">
        <v>334</v>
      </c>
      <c r="B173" s="215">
        <v>21</v>
      </c>
      <c r="C173" s="215">
        <v>9</v>
      </c>
      <c r="D173" s="215">
        <v>16.8</v>
      </c>
      <c r="E173" s="215"/>
      <c r="F173" s="224">
        <v>2</v>
      </c>
      <c r="G173" s="224">
        <v>0</v>
      </c>
      <c r="H173" s="221">
        <v>15.4</v>
      </c>
    </row>
    <row r="174" spans="1:8" ht="15" thickBot="1" x14ac:dyDescent="0.35">
      <c r="A174" s="216" t="s">
        <v>334</v>
      </c>
      <c r="B174" s="215">
        <v>25.3</v>
      </c>
      <c r="C174" s="215">
        <v>11</v>
      </c>
      <c r="D174" s="215">
        <v>19.399999999999999</v>
      </c>
      <c r="E174" s="215"/>
      <c r="F174" s="224">
        <v>3</v>
      </c>
      <c r="G174" s="224">
        <v>0</v>
      </c>
      <c r="H174" s="221">
        <v>17.3</v>
      </c>
    </row>
    <row r="175" spans="1:8" ht="15" thickBot="1" x14ac:dyDescent="0.35">
      <c r="A175" s="216" t="s">
        <v>334</v>
      </c>
      <c r="B175" s="215">
        <v>26.1</v>
      </c>
      <c r="C175" s="215">
        <v>11</v>
      </c>
      <c r="D175" s="215">
        <v>20.100000000000001</v>
      </c>
      <c r="E175" s="215"/>
      <c r="F175" s="224">
        <v>3</v>
      </c>
      <c r="G175" s="224">
        <v>0</v>
      </c>
      <c r="H175" s="221">
        <v>17.7</v>
      </c>
    </row>
    <row r="176" spans="1:8" ht="15" thickBot="1" x14ac:dyDescent="0.35">
      <c r="A176" s="216" t="s">
        <v>334</v>
      </c>
      <c r="B176" s="215">
        <v>27.5</v>
      </c>
      <c r="C176" s="215">
        <v>11</v>
      </c>
      <c r="D176" s="215">
        <v>21.2</v>
      </c>
      <c r="E176" s="215"/>
      <c r="F176" s="224">
        <v>4</v>
      </c>
      <c r="G176" s="224">
        <v>0</v>
      </c>
      <c r="H176" s="221">
        <v>18.399999999999999</v>
      </c>
    </row>
    <row r="177" spans="1:8" ht="15" thickBot="1" x14ac:dyDescent="0.35">
      <c r="A177" s="216" t="s">
        <v>334</v>
      </c>
      <c r="B177" s="215">
        <v>29</v>
      </c>
      <c r="C177" s="215">
        <v>15</v>
      </c>
      <c r="D177" s="215">
        <v>22.2</v>
      </c>
      <c r="E177" s="215"/>
      <c r="F177" s="224">
        <v>5</v>
      </c>
      <c r="G177" s="224">
        <v>0</v>
      </c>
      <c r="H177" s="221">
        <v>18.8</v>
      </c>
    </row>
    <row r="178" spans="1:8" ht="15" thickBot="1" x14ac:dyDescent="0.35">
      <c r="A178" s="216" t="s">
        <v>334</v>
      </c>
      <c r="B178" s="215">
        <v>30</v>
      </c>
      <c r="C178" s="215">
        <v>15</v>
      </c>
      <c r="D178" s="215">
        <v>23.4</v>
      </c>
      <c r="E178" s="215"/>
      <c r="F178" s="224">
        <v>5</v>
      </c>
      <c r="G178" s="224">
        <v>0</v>
      </c>
      <c r="H178" s="221">
        <v>20.5</v>
      </c>
    </row>
    <row r="179" spans="1:8" ht="15" thickBot="1" x14ac:dyDescent="0.35">
      <c r="A179" s="216" t="s">
        <v>334</v>
      </c>
      <c r="B179" s="215">
        <v>26</v>
      </c>
      <c r="C179" s="215">
        <v>18</v>
      </c>
      <c r="D179" s="215">
        <v>21.9</v>
      </c>
      <c r="E179" s="215"/>
      <c r="F179" s="224">
        <v>5</v>
      </c>
      <c r="G179" s="224">
        <v>0</v>
      </c>
      <c r="H179" s="221">
        <v>19.100000000000001</v>
      </c>
    </row>
    <row r="180" spans="1:8" ht="15" thickBot="1" x14ac:dyDescent="0.35">
      <c r="A180" s="216" t="s">
        <v>334</v>
      </c>
      <c r="B180" s="215">
        <v>25.8</v>
      </c>
      <c r="C180" s="215">
        <v>18</v>
      </c>
      <c r="D180" s="215">
        <v>20.7</v>
      </c>
      <c r="E180" s="215"/>
      <c r="F180" s="224">
        <v>5</v>
      </c>
      <c r="G180" s="224">
        <v>0</v>
      </c>
      <c r="H180" s="221">
        <v>18.600000000000001</v>
      </c>
    </row>
    <row r="181" spans="1:8" ht="15" thickBot="1" x14ac:dyDescent="0.35">
      <c r="A181" s="216" t="s">
        <v>334</v>
      </c>
      <c r="B181" s="215">
        <v>28</v>
      </c>
      <c r="C181" s="215">
        <v>16</v>
      </c>
      <c r="D181" s="215">
        <v>20.100000000000001</v>
      </c>
      <c r="E181" s="215"/>
      <c r="F181" s="224">
        <v>5</v>
      </c>
      <c r="G181" s="224">
        <v>0</v>
      </c>
      <c r="H181" s="221">
        <v>18.2</v>
      </c>
    </row>
    <row r="182" spans="1:8" ht="15" thickBot="1" x14ac:dyDescent="0.35">
      <c r="A182" s="216" t="s">
        <v>334</v>
      </c>
      <c r="B182" s="215">
        <v>19</v>
      </c>
      <c r="C182" s="215">
        <v>10</v>
      </c>
      <c r="D182" s="215">
        <v>15.9</v>
      </c>
      <c r="E182" s="215"/>
      <c r="F182" s="224">
        <v>4</v>
      </c>
      <c r="G182" s="224">
        <v>1</v>
      </c>
      <c r="H182" s="221">
        <v>13.6</v>
      </c>
    </row>
    <row r="183" spans="1:8" ht="15" thickBot="1" x14ac:dyDescent="0.35">
      <c r="A183" s="216" t="s">
        <v>334</v>
      </c>
      <c r="B183" s="215">
        <v>24</v>
      </c>
      <c r="C183" s="215">
        <v>11</v>
      </c>
      <c r="D183" s="215">
        <v>18.7</v>
      </c>
      <c r="E183" s="215"/>
      <c r="F183" s="224">
        <v>4</v>
      </c>
      <c r="G183" s="224">
        <v>0</v>
      </c>
      <c r="H183" s="221">
        <v>16.7</v>
      </c>
    </row>
    <row r="184" spans="1:8" ht="15" thickBot="1" x14ac:dyDescent="0.35">
      <c r="A184" s="216" t="s">
        <v>334</v>
      </c>
      <c r="B184" s="215">
        <v>26</v>
      </c>
      <c r="C184" s="215">
        <v>15</v>
      </c>
      <c r="D184" s="215">
        <v>19.899999999999999</v>
      </c>
      <c r="E184" s="215"/>
      <c r="F184" s="224">
        <v>4</v>
      </c>
      <c r="G184" s="224">
        <v>0</v>
      </c>
      <c r="H184" s="221">
        <v>18.600000000000001</v>
      </c>
    </row>
    <row r="185" spans="1:8" ht="15" thickBot="1" x14ac:dyDescent="0.35">
      <c r="A185" s="216" t="s">
        <v>335</v>
      </c>
      <c r="B185" s="215">
        <v>19.399999999999999</v>
      </c>
      <c r="C185" s="215">
        <v>12</v>
      </c>
      <c r="D185" s="215">
        <v>15.7</v>
      </c>
      <c r="E185" s="215"/>
      <c r="F185" s="224">
        <v>4</v>
      </c>
      <c r="G185" s="224">
        <v>0</v>
      </c>
      <c r="H185" s="221">
        <v>13.5</v>
      </c>
    </row>
    <row r="186" spans="1:8" ht="15" thickBot="1" x14ac:dyDescent="0.35">
      <c r="A186" s="216" t="s">
        <v>335</v>
      </c>
      <c r="B186" s="215">
        <v>20.6</v>
      </c>
      <c r="C186" s="215">
        <v>10</v>
      </c>
      <c r="D186" s="215">
        <v>16.7</v>
      </c>
      <c r="E186" s="215"/>
      <c r="F186" s="224">
        <v>4</v>
      </c>
      <c r="G186" s="224">
        <v>0</v>
      </c>
      <c r="H186" s="221">
        <v>14.6</v>
      </c>
    </row>
    <row r="187" spans="1:8" ht="15" thickBot="1" x14ac:dyDescent="0.35">
      <c r="A187" s="216" t="s">
        <v>335</v>
      </c>
      <c r="B187" s="215">
        <v>26</v>
      </c>
      <c r="C187" s="215">
        <v>15</v>
      </c>
      <c r="D187" s="215">
        <v>19.899999999999999</v>
      </c>
      <c r="E187" s="215"/>
      <c r="F187" s="224">
        <v>4</v>
      </c>
      <c r="G187" s="224">
        <v>0</v>
      </c>
      <c r="H187" s="221">
        <v>18</v>
      </c>
    </row>
    <row r="188" spans="1:8" ht="15" thickBot="1" x14ac:dyDescent="0.35">
      <c r="A188" s="216" t="s">
        <v>335</v>
      </c>
      <c r="B188" s="215">
        <v>22</v>
      </c>
      <c r="C188" s="215">
        <v>6</v>
      </c>
      <c r="D188" s="215">
        <v>14.5</v>
      </c>
      <c r="E188" s="215"/>
      <c r="F188" s="224">
        <v>5</v>
      </c>
      <c r="G188" s="224">
        <v>2</v>
      </c>
      <c r="H188" s="221">
        <v>11.4</v>
      </c>
    </row>
    <row r="189" spans="1:8" ht="15" thickBot="1" x14ac:dyDescent="0.35">
      <c r="A189" s="216" t="s">
        <v>335</v>
      </c>
      <c r="B189" s="215">
        <v>19.399999999999999</v>
      </c>
      <c r="C189" s="215">
        <v>6</v>
      </c>
      <c r="D189" s="215">
        <v>14.3</v>
      </c>
      <c r="E189" s="215"/>
      <c r="F189" s="224">
        <v>2</v>
      </c>
      <c r="G189" s="224">
        <v>0</v>
      </c>
      <c r="H189" s="221">
        <v>12.4</v>
      </c>
    </row>
    <row r="190" spans="1:8" ht="15" thickBot="1" x14ac:dyDescent="0.35">
      <c r="A190" s="216" t="s">
        <v>335</v>
      </c>
      <c r="B190" s="215">
        <v>21</v>
      </c>
      <c r="C190" s="215">
        <v>8</v>
      </c>
      <c r="D190" s="215">
        <v>15.4</v>
      </c>
      <c r="E190" s="215"/>
      <c r="F190" s="224">
        <v>4</v>
      </c>
      <c r="G190" s="224">
        <v>0</v>
      </c>
      <c r="H190" s="221">
        <v>12.5</v>
      </c>
    </row>
    <row r="191" spans="1:8" ht="15" thickBot="1" x14ac:dyDescent="0.35">
      <c r="A191" s="216" t="s">
        <v>335</v>
      </c>
      <c r="B191" s="215">
        <v>21</v>
      </c>
      <c r="C191" s="215">
        <v>9</v>
      </c>
      <c r="D191" s="215">
        <v>15.9</v>
      </c>
      <c r="E191" s="215"/>
      <c r="F191" s="224">
        <v>4</v>
      </c>
      <c r="G191" s="224">
        <v>0</v>
      </c>
      <c r="H191" s="221">
        <v>13.2</v>
      </c>
    </row>
    <row r="192" spans="1:8" ht="15" thickBot="1" x14ac:dyDescent="0.35">
      <c r="A192" s="216" t="s">
        <v>335</v>
      </c>
      <c r="B192" s="215">
        <v>19.100000000000001</v>
      </c>
      <c r="C192" s="215">
        <v>6</v>
      </c>
      <c r="D192" s="215">
        <v>14.4</v>
      </c>
      <c r="E192" s="215"/>
      <c r="F192" s="224">
        <v>5</v>
      </c>
      <c r="G192" s="224">
        <v>0</v>
      </c>
      <c r="H192" s="221">
        <v>10.9</v>
      </c>
    </row>
    <row r="193" spans="1:8" ht="15" thickBot="1" x14ac:dyDescent="0.35">
      <c r="A193" s="216" t="s">
        <v>335</v>
      </c>
      <c r="B193" s="215">
        <v>22.5</v>
      </c>
      <c r="C193" s="215">
        <v>5</v>
      </c>
      <c r="D193" s="215">
        <v>15.7</v>
      </c>
      <c r="E193" s="215"/>
      <c r="F193" s="224">
        <v>3</v>
      </c>
      <c r="G193" s="224">
        <v>0</v>
      </c>
      <c r="H193" s="221">
        <v>13.9</v>
      </c>
    </row>
    <row r="194" spans="1:8" ht="15" thickBot="1" x14ac:dyDescent="0.35">
      <c r="A194" s="216" t="s">
        <v>335</v>
      </c>
      <c r="B194" s="215">
        <v>39</v>
      </c>
      <c r="C194" s="215">
        <v>6</v>
      </c>
      <c r="D194" s="215">
        <v>12.6</v>
      </c>
      <c r="E194" s="215"/>
      <c r="F194" s="224">
        <v>4</v>
      </c>
      <c r="G194" s="224">
        <v>5</v>
      </c>
      <c r="H194" s="221">
        <v>9.8000000000000007</v>
      </c>
    </row>
    <row r="195" spans="1:8" ht="15" thickBot="1" x14ac:dyDescent="0.35">
      <c r="A195" s="216" t="s">
        <v>335</v>
      </c>
      <c r="B195" s="215">
        <v>17</v>
      </c>
      <c r="C195" s="215">
        <v>5</v>
      </c>
      <c r="D195" s="215">
        <v>11.7</v>
      </c>
      <c r="E195" s="215"/>
      <c r="F195" s="224">
        <v>4</v>
      </c>
      <c r="G195" s="224">
        <v>0</v>
      </c>
      <c r="H195" s="221">
        <v>8.1999999999999993</v>
      </c>
    </row>
    <row r="196" spans="1:8" ht="15" thickBot="1" x14ac:dyDescent="0.35">
      <c r="A196" s="216" t="s">
        <v>335</v>
      </c>
      <c r="B196" s="215">
        <v>19</v>
      </c>
      <c r="C196" s="215">
        <v>5</v>
      </c>
      <c r="D196" s="215">
        <v>13.7</v>
      </c>
      <c r="E196" s="215"/>
      <c r="F196" s="224">
        <v>4</v>
      </c>
      <c r="G196" s="224">
        <v>0</v>
      </c>
      <c r="H196" s="221">
        <v>10.199999999999999</v>
      </c>
    </row>
    <row r="197" spans="1:8" ht="15" thickBot="1" x14ac:dyDescent="0.35">
      <c r="A197" s="216" t="s">
        <v>335</v>
      </c>
      <c r="B197" s="215">
        <v>21</v>
      </c>
      <c r="C197" s="215">
        <v>9</v>
      </c>
      <c r="D197" s="215">
        <v>16.2</v>
      </c>
      <c r="E197" s="215"/>
      <c r="F197" s="224">
        <v>5</v>
      </c>
      <c r="G197" s="224">
        <v>0</v>
      </c>
      <c r="H197" s="221">
        <v>12.1</v>
      </c>
    </row>
    <row r="198" spans="1:8" ht="15" thickBot="1" x14ac:dyDescent="0.35">
      <c r="A198" s="216" t="s">
        <v>335</v>
      </c>
      <c r="B198" s="215">
        <v>39</v>
      </c>
      <c r="C198" s="215">
        <v>9</v>
      </c>
      <c r="D198" s="215">
        <v>18.100000000000001</v>
      </c>
      <c r="E198" s="215"/>
      <c r="F198" s="224">
        <v>3</v>
      </c>
      <c r="G198" s="224">
        <v>0</v>
      </c>
      <c r="H198" s="221">
        <v>15.6</v>
      </c>
    </row>
    <row r="199" spans="1:8" ht="15" thickBot="1" x14ac:dyDescent="0.35">
      <c r="A199" s="216" t="s">
        <v>335</v>
      </c>
      <c r="B199" s="215">
        <v>26.3</v>
      </c>
      <c r="C199" s="215">
        <v>12</v>
      </c>
      <c r="D199" s="215">
        <v>20</v>
      </c>
      <c r="E199" s="215"/>
      <c r="F199" s="224">
        <v>3</v>
      </c>
      <c r="G199" s="224">
        <v>0</v>
      </c>
      <c r="H199" s="221">
        <v>17.8</v>
      </c>
    </row>
    <row r="200" spans="1:8" ht="15" thickBot="1" x14ac:dyDescent="0.35">
      <c r="A200" s="216" t="s">
        <v>335</v>
      </c>
      <c r="B200" s="215">
        <v>28</v>
      </c>
      <c r="C200" s="215">
        <v>13</v>
      </c>
      <c r="D200" s="215">
        <v>21.7</v>
      </c>
      <c r="E200" s="215"/>
      <c r="F200" s="224">
        <v>3</v>
      </c>
      <c r="G200" s="224">
        <v>0</v>
      </c>
      <c r="H200" s="221">
        <v>19.899999999999999</v>
      </c>
    </row>
    <row r="201" spans="1:8" ht="15" thickBot="1" x14ac:dyDescent="0.35">
      <c r="A201" s="216" t="s">
        <v>335</v>
      </c>
      <c r="B201" s="215">
        <v>24</v>
      </c>
      <c r="C201" s="215">
        <v>9</v>
      </c>
      <c r="D201" s="215">
        <v>18.2</v>
      </c>
      <c r="E201" s="215"/>
      <c r="F201" s="224">
        <v>6</v>
      </c>
      <c r="G201" s="224">
        <v>0</v>
      </c>
      <c r="H201" s="221">
        <v>13.9</v>
      </c>
    </row>
    <row r="202" spans="1:8" ht="15" thickBot="1" x14ac:dyDescent="0.35">
      <c r="A202" s="216" t="s">
        <v>335</v>
      </c>
      <c r="B202" s="215">
        <v>18</v>
      </c>
      <c r="C202" s="215">
        <v>6</v>
      </c>
      <c r="D202" s="215">
        <v>12.9</v>
      </c>
      <c r="E202" s="215"/>
      <c r="F202" s="224">
        <v>6</v>
      </c>
      <c r="G202" s="224">
        <v>0</v>
      </c>
      <c r="H202" s="221">
        <v>8</v>
      </c>
    </row>
    <row r="203" spans="1:8" ht="15" thickBot="1" x14ac:dyDescent="0.35">
      <c r="A203" s="216" t="s">
        <v>335</v>
      </c>
      <c r="B203" s="215">
        <v>39</v>
      </c>
      <c r="C203" s="215">
        <v>5</v>
      </c>
      <c r="D203" s="215">
        <v>11.8</v>
      </c>
      <c r="E203" s="215"/>
      <c r="F203" s="224">
        <v>4</v>
      </c>
      <c r="G203" s="224">
        <v>0</v>
      </c>
      <c r="H203" s="221">
        <v>8.3000000000000007</v>
      </c>
    </row>
    <row r="204" spans="1:8" ht="15" thickBot="1" x14ac:dyDescent="0.35">
      <c r="A204" s="216" t="s">
        <v>335</v>
      </c>
      <c r="B204" s="215">
        <v>17.100000000000001</v>
      </c>
      <c r="C204" s="215">
        <v>7</v>
      </c>
      <c r="D204" s="215">
        <v>12.1</v>
      </c>
      <c r="E204" s="215"/>
      <c r="F204" s="224">
        <v>4</v>
      </c>
      <c r="G204" s="224">
        <v>1</v>
      </c>
      <c r="H204" s="221">
        <v>8.9</v>
      </c>
    </row>
    <row r="205" spans="1:8" ht="15" thickBot="1" x14ac:dyDescent="0.35">
      <c r="A205" s="216" t="s">
        <v>335</v>
      </c>
      <c r="B205" s="215">
        <v>15</v>
      </c>
      <c r="C205" s="215">
        <v>6</v>
      </c>
      <c r="D205" s="215">
        <v>11.4</v>
      </c>
      <c r="E205" s="215"/>
      <c r="F205" s="224">
        <v>5</v>
      </c>
      <c r="G205" s="224">
        <v>0</v>
      </c>
      <c r="H205" s="221">
        <v>7.4</v>
      </c>
    </row>
    <row r="206" spans="1:8" ht="15" thickBot="1" x14ac:dyDescent="0.35">
      <c r="A206" s="216" t="s">
        <v>335</v>
      </c>
      <c r="B206" s="215">
        <v>17</v>
      </c>
      <c r="C206" s="215">
        <v>8</v>
      </c>
      <c r="D206" s="215">
        <v>12.1</v>
      </c>
      <c r="E206" s="215"/>
      <c r="F206" s="224">
        <v>4</v>
      </c>
      <c r="G206" s="224">
        <v>0</v>
      </c>
      <c r="H206" s="221">
        <v>9</v>
      </c>
    </row>
    <row r="207" spans="1:8" ht="15" thickBot="1" x14ac:dyDescent="0.35">
      <c r="A207" s="216" t="s">
        <v>335</v>
      </c>
      <c r="B207" s="215">
        <v>21</v>
      </c>
      <c r="C207" s="215">
        <v>9</v>
      </c>
      <c r="D207" s="215">
        <v>14.8</v>
      </c>
      <c r="E207" s="215"/>
      <c r="F207" s="224">
        <v>2</v>
      </c>
      <c r="G207" s="224">
        <v>1</v>
      </c>
      <c r="H207" s="221">
        <v>13.2</v>
      </c>
    </row>
    <row r="208" spans="1:8" ht="15" thickBot="1" x14ac:dyDescent="0.35">
      <c r="A208" s="216" t="s">
        <v>335</v>
      </c>
      <c r="B208" s="215">
        <v>21</v>
      </c>
      <c r="C208" s="215">
        <v>8</v>
      </c>
      <c r="D208" s="215">
        <v>15.5</v>
      </c>
      <c r="E208" s="215"/>
      <c r="F208" s="224">
        <v>2</v>
      </c>
      <c r="G208" s="224">
        <v>0</v>
      </c>
      <c r="H208" s="221">
        <v>14</v>
      </c>
    </row>
    <row r="209" spans="1:8" ht="15" thickBot="1" x14ac:dyDescent="0.35">
      <c r="A209" s="216" t="s">
        <v>335</v>
      </c>
      <c r="B209" s="215">
        <v>24.1</v>
      </c>
      <c r="C209" s="215">
        <v>8</v>
      </c>
      <c r="D209" s="215">
        <v>16.8</v>
      </c>
      <c r="E209" s="215"/>
      <c r="F209" s="224">
        <v>4</v>
      </c>
      <c r="G209" s="224">
        <v>0</v>
      </c>
      <c r="H209" s="221">
        <v>14.1</v>
      </c>
    </row>
    <row r="210" spans="1:8" ht="15" thickBot="1" x14ac:dyDescent="0.35">
      <c r="A210" s="216" t="s">
        <v>335</v>
      </c>
      <c r="B210" s="215">
        <v>23.1</v>
      </c>
      <c r="C210" s="215">
        <v>11</v>
      </c>
      <c r="D210" s="215">
        <v>17.8</v>
      </c>
      <c r="E210" s="215"/>
      <c r="F210" s="224">
        <v>4</v>
      </c>
      <c r="G210" s="224">
        <v>0</v>
      </c>
      <c r="H210" s="221">
        <v>14.8</v>
      </c>
    </row>
    <row r="211" spans="1:8" ht="15" thickBot="1" x14ac:dyDescent="0.35">
      <c r="A211" s="216" t="s">
        <v>335</v>
      </c>
      <c r="B211" s="215">
        <v>26</v>
      </c>
      <c r="C211" s="215">
        <v>11</v>
      </c>
      <c r="D211" s="215">
        <v>19.399999999999999</v>
      </c>
      <c r="E211" s="215"/>
      <c r="F211" s="224">
        <v>3</v>
      </c>
      <c r="G211" s="224">
        <v>0</v>
      </c>
      <c r="H211" s="221">
        <v>17.399999999999999</v>
      </c>
    </row>
    <row r="212" spans="1:8" ht="15" thickBot="1" x14ac:dyDescent="0.35">
      <c r="A212" s="216" t="s">
        <v>335</v>
      </c>
      <c r="B212" s="215">
        <v>27.2</v>
      </c>
      <c r="C212" s="215">
        <v>11</v>
      </c>
      <c r="D212" s="215">
        <v>21.1</v>
      </c>
      <c r="E212" s="215"/>
      <c r="F212" s="224">
        <v>2</v>
      </c>
      <c r="G212" s="224">
        <v>0</v>
      </c>
      <c r="H212" s="221">
        <v>19.899999999999999</v>
      </c>
    </row>
    <row r="213" spans="1:8" ht="15" thickBot="1" x14ac:dyDescent="0.35">
      <c r="A213" s="216" t="s">
        <v>335</v>
      </c>
      <c r="B213" s="215">
        <v>26</v>
      </c>
      <c r="C213" s="215">
        <v>13</v>
      </c>
      <c r="D213" s="215">
        <v>21.1</v>
      </c>
      <c r="E213" s="215"/>
      <c r="F213" s="224">
        <v>4</v>
      </c>
      <c r="G213" s="224">
        <v>0</v>
      </c>
      <c r="H213" s="221">
        <v>18.899999999999999</v>
      </c>
    </row>
    <row r="214" spans="1:8" ht="15" thickBot="1" x14ac:dyDescent="0.35">
      <c r="A214" s="216" t="s">
        <v>335</v>
      </c>
      <c r="B214" s="215">
        <v>30</v>
      </c>
      <c r="C214" s="215">
        <v>15</v>
      </c>
      <c r="D214" s="215">
        <v>22.3</v>
      </c>
      <c r="E214" s="215"/>
      <c r="F214" s="224">
        <v>4</v>
      </c>
      <c r="G214" s="224">
        <v>0</v>
      </c>
      <c r="H214" s="221">
        <v>20.5</v>
      </c>
    </row>
    <row r="215" spans="1:8" ht="15" thickBot="1" x14ac:dyDescent="0.35">
      <c r="A215" s="216" t="s">
        <v>336</v>
      </c>
      <c r="B215" s="215">
        <v>26</v>
      </c>
      <c r="C215" s="215">
        <v>14</v>
      </c>
      <c r="D215" s="215">
        <v>19.600000000000001</v>
      </c>
      <c r="E215" s="215"/>
      <c r="F215" s="224">
        <v>3</v>
      </c>
      <c r="G215" s="224">
        <v>1</v>
      </c>
      <c r="H215" s="221">
        <v>18.8</v>
      </c>
    </row>
    <row r="216" spans="1:8" ht="15" thickBot="1" x14ac:dyDescent="0.35">
      <c r="A216" s="216" t="s">
        <v>336</v>
      </c>
      <c r="B216" s="215">
        <v>26</v>
      </c>
      <c r="C216" s="215">
        <v>14</v>
      </c>
      <c r="D216" s="215">
        <v>20.3</v>
      </c>
      <c r="E216" s="215"/>
      <c r="F216" s="224">
        <v>3</v>
      </c>
      <c r="G216" s="224">
        <v>1</v>
      </c>
      <c r="H216" s="221">
        <v>19.3</v>
      </c>
    </row>
    <row r="217" spans="1:8" ht="15" thickBot="1" x14ac:dyDescent="0.35">
      <c r="A217" s="216" t="s">
        <v>336</v>
      </c>
      <c r="B217" s="215">
        <v>28</v>
      </c>
      <c r="C217" s="215">
        <v>16</v>
      </c>
      <c r="D217" s="215">
        <v>22.5</v>
      </c>
      <c r="E217" s="215"/>
      <c r="F217" s="224">
        <v>2</v>
      </c>
      <c r="G217" s="224">
        <v>0</v>
      </c>
      <c r="H217" s="221">
        <v>22.4</v>
      </c>
    </row>
    <row r="218" spans="1:8" ht="15" thickBot="1" x14ac:dyDescent="0.35">
      <c r="A218" s="216" t="s">
        <v>336</v>
      </c>
      <c r="B218" s="215">
        <v>29</v>
      </c>
      <c r="C218" s="215">
        <v>17</v>
      </c>
      <c r="D218" s="215">
        <v>23.8</v>
      </c>
      <c r="E218" s="215"/>
      <c r="F218" s="224">
        <v>3</v>
      </c>
      <c r="G218" s="224">
        <v>0</v>
      </c>
      <c r="H218" s="221">
        <v>22.5</v>
      </c>
    </row>
    <row r="219" spans="1:8" ht="15" thickBot="1" x14ac:dyDescent="0.35">
      <c r="A219" s="216" t="s">
        <v>336</v>
      </c>
      <c r="B219" s="215">
        <v>30</v>
      </c>
      <c r="C219" s="215">
        <v>16</v>
      </c>
      <c r="D219" s="215">
        <v>24.3</v>
      </c>
      <c r="E219" s="215"/>
      <c r="F219" s="224">
        <v>3</v>
      </c>
      <c r="G219" s="224">
        <v>0</v>
      </c>
      <c r="H219" s="221">
        <v>23</v>
      </c>
    </row>
    <row r="220" spans="1:8" ht="15" thickBot="1" x14ac:dyDescent="0.35">
      <c r="A220" s="216" t="s">
        <v>336</v>
      </c>
      <c r="B220" s="215">
        <v>30.9</v>
      </c>
      <c r="C220" s="215">
        <v>18</v>
      </c>
      <c r="D220" s="215">
        <v>24.4</v>
      </c>
      <c r="E220" s="215"/>
      <c r="F220" s="224">
        <v>3</v>
      </c>
      <c r="G220" s="224">
        <v>0</v>
      </c>
      <c r="H220" s="221">
        <v>23.5</v>
      </c>
    </row>
    <row r="221" spans="1:8" ht="15" thickBot="1" x14ac:dyDescent="0.35">
      <c r="A221" s="216" t="s">
        <v>336</v>
      </c>
      <c r="B221" s="215">
        <v>30.3</v>
      </c>
      <c r="C221" s="215">
        <v>17</v>
      </c>
      <c r="D221" s="215">
        <v>24.2</v>
      </c>
      <c r="E221" s="215"/>
      <c r="F221" s="224">
        <v>2</v>
      </c>
      <c r="G221" s="224">
        <v>0</v>
      </c>
      <c r="H221" s="221">
        <v>23.6</v>
      </c>
    </row>
    <row r="222" spans="1:8" ht="15" thickBot="1" x14ac:dyDescent="0.35">
      <c r="A222" s="216" t="s">
        <v>336</v>
      </c>
      <c r="B222" s="215">
        <v>34</v>
      </c>
      <c r="C222" s="215">
        <v>17</v>
      </c>
      <c r="D222" s="215">
        <v>26.8</v>
      </c>
      <c r="E222" s="215"/>
      <c r="F222" s="224">
        <v>3</v>
      </c>
      <c r="G222" s="224">
        <v>0</v>
      </c>
      <c r="H222" s="221">
        <v>26.5</v>
      </c>
    </row>
    <row r="223" spans="1:8" ht="15" thickBot="1" x14ac:dyDescent="0.35">
      <c r="A223" s="216" t="s">
        <v>336</v>
      </c>
      <c r="B223" s="215">
        <v>39</v>
      </c>
      <c r="C223" s="215">
        <v>19</v>
      </c>
      <c r="D223" s="215">
        <v>26.2</v>
      </c>
      <c r="E223" s="215"/>
      <c r="F223" s="224">
        <v>4</v>
      </c>
      <c r="G223" s="224">
        <v>0</v>
      </c>
      <c r="H223" s="221">
        <v>25.5</v>
      </c>
    </row>
    <row r="224" spans="1:8" ht="15" thickBot="1" x14ac:dyDescent="0.35">
      <c r="A224" s="216" t="s">
        <v>336</v>
      </c>
      <c r="B224" s="215">
        <v>33.4</v>
      </c>
      <c r="C224" s="215">
        <v>22</v>
      </c>
      <c r="D224" s="215">
        <v>27.1</v>
      </c>
      <c r="E224" s="215"/>
      <c r="F224" s="224">
        <v>5</v>
      </c>
      <c r="G224" s="224">
        <v>0</v>
      </c>
      <c r="H224" s="221">
        <v>25.9</v>
      </c>
    </row>
    <row r="225" spans="1:8" ht="15" thickBot="1" x14ac:dyDescent="0.35">
      <c r="A225" s="216" t="s">
        <v>336</v>
      </c>
      <c r="B225" s="215">
        <v>32.200000000000003</v>
      </c>
      <c r="C225" s="215">
        <v>15</v>
      </c>
      <c r="D225" s="215">
        <v>23.5</v>
      </c>
      <c r="E225" s="215"/>
      <c r="F225" s="224">
        <v>5</v>
      </c>
      <c r="G225" s="224">
        <v>0</v>
      </c>
      <c r="H225" s="221">
        <v>21.9</v>
      </c>
    </row>
    <row r="226" spans="1:8" ht="15" thickBot="1" x14ac:dyDescent="0.35">
      <c r="A226" s="216" t="s">
        <v>336</v>
      </c>
      <c r="B226" s="215">
        <v>16.100000000000001</v>
      </c>
      <c r="C226" s="215">
        <v>11</v>
      </c>
      <c r="D226" s="215">
        <v>14.1</v>
      </c>
      <c r="E226" s="215"/>
      <c r="F226" s="224">
        <v>4</v>
      </c>
      <c r="G226" s="224">
        <v>8</v>
      </c>
      <c r="H226" s="221">
        <v>12.1</v>
      </c>
    </row>
    <row r="227" spans="1:8" ht="15" thickBot="1" x14ac:dyDescent="0.35">
      <c r="A227" s="216" t="s">
        <v>336</v>
      </c>
      <c r="B227" s="215">
        <v>22.9</v>
      </c>
      <c r="C227" s="215">
        <v>11</v>
      </c>
      <c r="D227" s="215">
        <v>16.8</v>
      </c>
      <c r="E227" s="215"/>
      <c r="F227" s="224">
        <v>3</v>
      </c>
      <c r="G227" s="224">
        <v>1</v>
      </c>
      <c r="H227" s="221">
        <v>15.1</v>
      </c>
    </row>
    <row r="228" spans="1:8" ht="15" thickBot="1" x14ac:dyDescent="0.35">
      <c r="A228" s="216" t="s">
        <v>336</v>
      </c>
      <c r="B228" s="215">
        <v>23.3</v>
      </c>
      <c r="C228" s="215">
        <v>11</v>
      </c>
      <c r="D228" s="215">
        <v>17.3</v>
      </c>
      <c r="E228" s="215"/>
      <c r="F228" s="224">
        <v>2</v>
      </c>
      <c r="G228" s="224">
        <v>4</v>
      </c>
      <c r="H228" s="221">
        <v>16.7</v>
      </c>
    </row>
    <row r="229" spans="1:8" ht="15" thickBot="1" x14ac:dyDescent="0.35">
      <c r="A229" s="216" t="s">
        <v>336</v>
      </c>
      <c r="B229" s="215">
        <v>27</v>
      </c>
      <c r="C229" s="215">
        <v>13</v>
      </c>
      <c r="D229" s="215">
        <v>19.600000000000001</v>
      </c>
      <c r="E229" s="215"/>
      <c r="F229" s="224">
        <v>4</v>
      </c>
      <c r="G229" s="224">
        <v>0</v>
      </c>
      <c r="H229" s="221">
        <v>17.7</v>
      </c>
    </row>
    <row r="230" spans="1:8" ht="15" thickBot="1" x14ac:dyDescent="0.35">
      <c r="A230" s="216" t="s">
        <v>336</v>
      </c>
      <c r="B230" s="215">
        <v>20.100000000000001</v>
      </c>
      <c r="C230" s="215">
        <v>13</v>
      </c>
      <c r="D230" s="215">
        <v>17.7</v>
      </c>
      <c r="E230" s="215"/>
      <c r="F230" s="224">
        <v>5</v>
      </c>
      <c r="G230" s="224">
        <v>0</v>
      </c>
      <c r="H230" s="221">
        <v>15.3</v>
      </c>
    </row>
    <row r="231" spans="1:8" ht="15" thickBot="1" x14ac:dyDescent="0.35">
      <c r="A231" s="216" t="s">
        <v>336</v>
      </c>
      <c r="B231" s="215">
        <v>24</v>
      </c>
      <c r="C231" s="215">
        <v>16</v>
      </c>
      <c r="D231" s="215">
        <v>19.399999999999999</v>
      </c>
      <c r="E231" s="215"/>
      <c r="F231" s="224">
        <v>5</v>
      </c>
      <c r="G231" s="224">
        <v>3</v>
      </c>
      <c r="H231" s="221">
        <v>17.3</v>
      </c>
    </row>
    <row r="232" spans="1:8" ht="15" thickBot="1" x14ac:dyDescent="0.35">
      <c r="A232" s="216" t="s">
        <v>336</v>
      </c>
      <c r="B232" s="215">
        <v>29</v>
      </c>
      <c r="C232" s="215">
        <v>14</v>
      </c>
      <c r="D232" s="215">
        <v>20.9</v>
      </c>
      <c r="E232" s="215"/>
      <c r="F232" s="224">
        <v>4</v>
      </c>
      <c r="G232" s="224">
        <v>0</v>
      </c>
      <c r="H232" s="221">
        <v>19.399999999999999</v>
      </c>
    </row>
    <row r="233" spans="1:8" ht="15" thickBot="1" x14ac:dyDescent="0.35">
      <c r="A233" s="216" t="s">
        <v>336</v>
      </c>
      <c r="B233" s="215">
        <v>29</v>
      </c>
      <c r="C233" s="215">
        <v>13</v>
      </c>
      <c r="D233" s="215">
        <v>19.899999999999999</v>
      </c>
      <c r="E233" s="215"/>
      <c r="F233" s="224">
        <v>3</v>
      </c>
      <c r="G233" s="224">
        <v>6</v>
      </c>
      <c r="H233" s="221">
        <v>19.3</v>
      </c>
    </row>
    <row r="234" spans="1:8" ht="15" thickBot="1" x14ac:dyDescent="0.35">
      <c r="A234" s="216" t="s">
        <v>336</v>
      </c>
      <c r="B234" s="215">
        <v>25</v>
      </c>
      <c r="C234" s="215">
        <v>13</v>
      </c>
      <c r="D234" s="215">
        <v>18.3</v>
      </c>
      <c r="E234" s="215"/>
      <c r="F234" s="224">
        <v>5</v>
      </c>
      <c r="G234" s="224">
        <v>2</v>
      </c>
      <c r="H234" s="221">
        <v>15.7</v>
      </c>
    </row>
    <row r="235" spans="1:8" ht="15" thickBot="1" x14ac:dyDescent="0.35">
      <c r="A235" s="216" t="s">
        <v>336</v>
      </c>
      <c r="B235" s="215">
        <v>25</v>
      </c>
      <c r="C235" s="215">
        <v>13</v>
      </c>
      <c r="D235" s="215">
        <v>19.3</v>
      </c>
      <c r="E235" s="215"/>
      <c r="F235" s="224">
        <v>4</v>
      </c>
      <c r="G235" s="224">
        <v>2</v>
      </c>
      <c r="H235" s="221">
        <v>17.399999999999999</v>
      </c>
    </row>
    <row r="236" spans="1:8" ht="15" thickBot="1" x14ac:dyDescent="0.35">
      <c r="A236" s="216" t="s">
        <v>336</v>
      </c>
      <c r="B236" s="215">
        <v>24</v>
      </c>
      <c r="C236" s="215">
        <v>13</v>
      </c>
      <c r="D236" s="215">
        <v>17.899999999999999</v>
      </c>
      <c r="E236" s="215"/>
      <c r="F236" s="224">
        <v>4</v>
      </c>
      <c r="G236" s="224">
        <v>4</v>
      </c>
      <c r="H236" s="221">
        <v>16.2</v>
      </c>
    </row>
    <row r="237" spans="1:8" ht="15" thickBot="1" x14ac:dyDescent="0.35">
      <c r="A237" s="216" t="s">
        <v>336</v>
      </c>
      <c r="B237" s="215">
        <v>25</v>
      </c>
      <c r="C237" s="215">
        <v>13</v>
      </c>
      <c r="D237" s="215">
        <v>19.3</v>
      </c>
      <c r="E237" s="215"/>
      <c r="F237" s="224">
        <v>3</v>
      </c>
      <c r="G237" s="224">
        <v>2</v>
      </c>
      <c r="H237" s="221">
        <v>18.100000000000001</v>
      </c>
    </row>
    <row r="238" spans="1:8" ht="15" thickBot="1" x14ac:dyDescent="0.35">
      <c r="A238" s="216" t="s">
        <v>336</v>
      </c>
      <c r="B238" s="215">
        <v>23.1</v>
      </c>
      <c r="C238" s="215">
        <v>12</v>
      </c>
      <c r="D238" s="215">
        <v>18.399999999999999</v>
      </c>
      <c r="E238" s="215"/>
      <c r="F238" s="224">
        <v>3</v>
      </c>
      <c r="G238" s="224">
        <v>4</v>
      </c>
      <c r="H238" s="221">
        <v>17.7</v>
      </c>
    </row>
    <row r="239" spans="1:8" ht="15" thickBot="1" x14ac:dyDescent="0.35">
      <c r="A239" s="216" t="s">
        <v>336</v>
      </c>
      <c r="B239" s="215">
        <v>25</v>
      </c>
      <c r="C239" s="215">
        <v>12</v>
      </c>
      <c r="D239" s="215">
        <v>18.899999999999999</v>
      </c>
      <c r="E239" s="215"/>
      <c r="F239" s="224">
        <v>3</v>
      </c>
      <c r="G239" s="224">
        <v>2</v>
      </c>
      <c r="H239" s="221">
        <v>18.100000000000001</v>
      </c>
    </row>
    <row r="240" spans="1:8" ht="15" thickBot="1" x14ac:dyDescent="0.35">
      <c r="A240" s="216" t="s">
        <v>336</v>
      </c>
      <c r="B240" s="215">
        <v>28.1</v>
      </c>
      <c r="C240" s="215">
        <v>15</v>
      </c>
      <c r="D240" s="215">
        <v>21.9</v>
      </c>
      <c r="E240" s="215"/>
      <c r="F240" s="224">
        <v>3</v>
      </c>
      <c r="G240" s="224">
        <v>0</v>
      </c>
      <c r="H240" s="221">
        <v>21.9</v>
      </c>
    </row>
    <row r="241" spans="1:8" ht="15" thickBot="1" x14ac:dyDescent="0.35">
      <c r="A241" s="216" t="s">
        <v>337</v>
      </c>
      <c r="B241" s="215">
        <v>31</v>
      </c>
      <c r="C241" s="215">
        <v>18</v>
      </c>
      <c r="D241" s="215">
        <v>25.4</v>
      </c>
      <c r="E241" s="215"/>
      <c r="F241" s="224">
        <v>5</v>
      </c>
      <c r="G241" s="224">
        <v>0</v>
      </c>
      <c r="H241" s="221">
        <v>24.3</v>
      </c>
    </row>
    <row r="242" spans="1:8" ht="15" thickBot="1" x14ac:dyDescent="0.35">
      <c r="A242" s="216" t="s">
        <v>337</v>
      </c>
      <c r="B242" s="215">
        <v>34.5</v>
      </c>
      <c r="C242" s="215">
        <v>18</v>
      </c>
      <c r="D242" s="215">
        <v>26.8</v>
      </c>
      <c r="E242" s="215"/>
      <c r="F242" s="224">
        <v>4</v>
      </c>
      <c r="G242" s="224">
        <v>0</v>
      </c>
      <c r="H242" s="221">
        <v>26.5</v>
      </c>
    </row>
    <row r="243" spans="1:8" ht="15" thickBot="1" x14ac:dyDescent="0.35">
      <c r="A243" s="216" t="s">
        <v>337</v>
      </c>
      <c r="B243" s="215">
        <v>34.4</v>
      </c>
      <c r="C243" s="215">
        <v>19</v>
      </c>
      <c r="D243" s="215">
        <v>25.7</v>
      </c>
      <c r="E243" s="215"/>
      <c r="F243" s="224">
        <v>6</v>
      </c>
      <c r="G243" s="224">
        <v>15</v>
      </c>
      <c r="H243" s="221">
        <v>24.2</v>
      </c>
    </row>
    <row r="244" spans="1:8" ht="15" thickBot="1" x14ac:dyDescent="0.35">
      <c r="A244" s="216" t="s">
        <v>337</v>
      </c>
      <c r="B244" s="215">
        <v>28.8</v>
      </c>
      <c r="C244" s="215">
        <v>16</v>
      </c>
      <c r="D244" s="215">
        <v>22.9</v>
      </c>
      <c r="E244" s="215"/>
      <c r="F244" s="224">
        <v>4</v>
      </c>
      <c r="G244" s="224">
        <v>4</v>
      </c>
      <c r="H244" s="221">
        <v>22.3</v>
      </c>
    </row>
    <row r="245" spans="1:8" ht="15" thickBot="1" x14ac:dyDescent="0.35">
      <c r="A245" s="216" t="s">
        <v>337</v>
      </c>
      <c r="B245" s="215">
        <v>21.2</v>
      </c>
      <c r="C245" s="215">
        <v>17</v>
      </c>
      <c r="D245" s="215">
        <v>18.3</v>
      </c>
      <c r="E245" s="215"/>
      <c r="F245" s="224">
        <v>3</v>
      </c>
      <c r="G245" s="224">
        <v>0</v>
      </c>
      <c r="H245" s="221">
        <v>17.899999999999999</v>
      </c>
    </row>
    <row r="246" spans="1:8" ht="15" thickBot="1" x14ac:dyDescent="0.35">
      <c r="A246" s="216" t="s">
        <v>337</v>
      </c>
      <c r="B246" s="215">
        <v>39</v>
      </c>
      <c r="C246" s="215">
        <v>16</v>
      </c>
      <c r="D246" s="215">
        <v>19.5</v>
      </c>
      <c r="E246" s="215"/>
      <c r="F246" s="224">
        <v>4</v>
      </c>
      <c r="G246" s="224">
        <v>0</v>
      </c>
      <c r="H246" s="221">
        <v>18.5</v>
      </c>
    </row>
    <row r="247" spans="1:8" ht="15" thickBot="1" x14ac:dyDescent="0.35">
      <c r="A247" s="216" t="s">
        <v>337</v>
      </c>
      <c r="B247" s="215">
        <v>28</v>
      </c>
      <c r="C247" s="215">
        <v>16</v>
      </c>
      <c r="D247" s="215">
        <v>22.4</v>
      </c>
      <c r="E247" s="215"/>
      <c r="F247" s="224">
        <v>3</v>
      </c>
      <c r="G247" s="224">
        <v>0</v>
      </c>
      <c r="H247" s="221">
        <v>22.1</v>
      </c>
    </row>
    <row r="248" spans="1:8" ht="15" thickBot="1" x14ac:dyDescent="0.35">
      <c r="A248" s="216" t="s">
        <v>337</v>
      </c>
      <c r="B248" s="215">
        <v>27.8</v>
      </c>
      <c r="C248" s="215">
        <v>15</v>
      </c>
      <c r="D248" s="215">
        <v>22.4</v>
      </c>
      <c r="E248" s="215"/>
      <c r="F248" s="224">
        <v>1</v>
      </c>
      <c r="G248" s="224">
        <v>0</v>
      </c>
      <c r="H248" s="221">
        <v>23.7</v>
      </c>
    </row>
    <row r="249" spans="1:8" ht="15" thickBot="1" x14ac:dyDescent="0.35">
      <c r="A249" s="216" t="s">
        <v>337</v>
      </c>
      <c r="B249" s="215">
        <v>39</v>
      </c>
      <c r="C249" s="215">
        <v>16</v>
      </c>
      <c r="D249" s="215">
        <v>24.3</v>
      </c>
      <c r="E249" s="215"/>
      <c r="F249" s="224">
        <v>2</v>
      </c>
      <c r="G249" s="224">
        <v>0</v>
      </c>
      <c r="H249" s="221">
        <v>25</v>
      </c>
    </row>
    <row r="250" spans="1:8" ht="15" thickBot="1" x14ac:dyDescent="0.35">
      <c r="A250" s="216" t="s">
        <v>337</v>
      </c>
      <c r="B250" s="215">
        <v>32.1</v>
      </c>
      <c r="C250" s="215">
        <v>17</v>
      </c>
      <c r="D250" s="215">
        <v>25.6</v>
      </c>
      <c r="E250" s="215"/>
      <c r="F250" s="224">
        <v>4</v>
      </c>
      <c r="G250" s="224">
        <v>0</v>
      </c>
      <c r="H250" s="221">
        <v>25.1</v>
      </c>
    </row>
    <row r="251" spans="1:8" ht="15" thickBot="1" x14ac:dyDescent="0.35">
      <c r="A251" s="216" t="s">
        <v>337</v>
      </c>
      <c r="B251" s="215">
        <v>29.5</v>
      </c>
      <c r="C251" s="215">
        <v>17</v>
      </c>
      <c r="D251" s="215">
        <v>23.7</v>
      </c>
      <c r="E251" s="215"/>
      <c r="F251" s="224">
        <v>4</v>
      </c>
      <c r="G251" s="224">
        <v>0</v>
      </c>
      <c r="H251" s="221">
        <v>22.6</v>
      </c>
    </row>
    <row r="252" spans="1:8" ht="15" thickBot="1" x14ac:dyDescent="0.35">
      <c r="A252" s="216" t="s">
        <v>337</v>
      </c>
      <c r="B252" s="215">
        <v>28.2</v>
      </c>
      <c r="C252" s="215">
        <v>17</v>
      </c>
      <c r="D252" s="215">
        <v>22.4</v>
      </c>
      <c r="E252" s="215"/>
      <c r="F252" s="224">
        <v>4</v>
      </c>
      <c r="G252" s="224">
        <v>0</v>
      </c>
      <c r="H252" s="221">
        <v>20.9</v>
      </c>
    </row>
    <row r="253" spans="1:8" ht="15" thickBot="1" x14ac:dyDescent="0.35">
      <c r="A253" s="216" t="s">
        <v>337</v>
      </c>
      <c r="B253" s="215">
        <v>28.7</v>
      </c>
      <c r="C253" s="215">
        <v>16</v>
      </c>
      <c r="D253" s="215">
        <v>22.8</v>
      </c>
      <c r="E253" s="215"/>
      <c r="F253" s="224">
        <v>4</v>
      </c>
      <c r="G253" s="224">
        <v>0</v>
      </c>
      <c r="H253" s="221">
        <v>21.2</v>
      </c>
    </row>
    <row r="254" spans="1:8" ht="15" thickBot="1" x14ac:dyDescent="0.35">
      <c r="A254" s="216" t="s">
        <v>337</v>
      </c>
      <c r="B254" s="215">
        <v>30</v>
      </c>
      <c r="C254" s="215">
        <v>13</v>
      </c>
      <c r="D254" s="215">
        <v>22.9</v>
      </c>
      <c r="E254" s="215"/>
      <c r="F254" s="224">
        <v>3</v>
      </c>
      <c r="G254" s="224">
        <v>0</v>
      </c>
      <c r="H254" s="221">
        <v>22</v>
      </c>
    </row>
    <row r="255" spans="1:8" ht="15" thickBot="1" x14ac:dyDescent="0.35">
      <c r="A255" s="216" t="s">
        <v>337</v>
      </c>
      <c r="B255" s="215">
        <v>31.7</v>
      </c>
      <c r="C255" s="215">
        <v>15</v>
      </c>
      <c r="D255" s="215">
        <v>24.7</v>
      </c>
      <c r="E255" s="215"/>
      <c r="F255" s="224">
        <v>2</v>
      </c>
      <c r="G255" s="224">
        <v>0</v>
      </c>
      <c r="H255" s="221">
        <v>24.5</v>
      </c>
    </row>
    <row r="256" spans="1:8" ht="15" thickBot="1" x14ac:dyDescent="0.35">
      <c r="A256" s="216" t="s">
        <v>337</v>
      </c>
      <c r="B256" s="215">
        <v>30.7</v>
      </c>
      <c r="C256" s="215">
        <v>17</v>
      </c>
      <c r="D256" s="215">
        <v>24.6</v>
      </c>
      <c r="E256" s="215"/>
      <c r="F256" s="224">
        <v>3</v>
      </c>
      <c r="G256" s="224">
        <v>0</v>
      </c>
      <c r="H256" s="221">
        <v>23.7</v>
      </c>
    </row>
    <row r="257" spans="1:8" ht="15" thickBot="1" x14ac:dyDescent="0.35">
      <c r="A257" s="216" t="s">
        <v>337</v>
      </c>
      <c r="B257" s="215">
        <v>29.1</v>
      </c>
      <c r="C257" s="215">
        <v>15</v>
      </c>
      <c r="D257" s="215">
        <v>22.6</v>
      </c>
      <c r="E257" s="215"/>
      <c r="F257" s="224">
        <v>3</v>
      </c>
      <c r="G257" s="224">
        <v>0</v>
      </c>
      <c r="H257" s="221">
        <v>21</v>
      </c>
    </row>
    <row r="258" spans="1:8" ht="15" thickBot="1" x14ac:dyDescent="0.35">
      <c r="A258" s="216" t="s">
        <v>337</v>
      </c>
      <c r="B258" s="215">
        <v>30.7</v>
      </c>
      <c r="C258" s="215">
        <v>16</v>
      </c>
      <c r="D258" s="215">
        <v>24.1</v>
      </c>
      <c r="E258" s="215"/>
      <c r="F258" s="224">
        <v>4</v>
      </c>
      <c r="G258" s="224">
        <v>0</v>
      </c>
      <c r="H258" s="221">
        <v>22.1</v>
      </c>
    </row>
    <row r="259" spans="1:8" ht="15" thickBot="1" x14ac:dyDescent="0.35">
      <c r="A259" s="216" t="s">
        <v>337</v>
      </c>
      <c r="B259" s="215">
        <v>26</v>
      </c>
      <c r="C259" s="215">
        <v>17</v>
      </c>
      <c r="D259" s="215">
        <v>21.8</v>
      </c>
      <c r="E259" s="215"/>
      <c r="F259" s="224">
        <v>4</v>
      </c>
      <c r="G259" s="224">
        <v>0</v>
      </c>
      <c r="H259" s="221">
        <v>20.6</v>
      </c>
    </row>
    <row r="260" spans="1:8" ht="15" thickBot="1" x14ac:dyDescent="0.35">
      <c r="A260" s="216" t="s">
        <v>337</v>
      </c>
      <c r="B260" s="215">
        <v>27</v>
      </c>
      <c r="C260" s="215">
        <v>15</v>
      </c>
      <c r="D260" s="215">
        <v>21.9</v>
      </c>
      <c r="E260" s="215"/>
      <c r="F260" s="224">
        <v>4</v>
      </c>
      <c r="G260" s="224">
        <v>0</v>
      </c>
      <c r="H260" s="221">
        <v>21.1</v>
      </c>
    </row>
    <row r="261" spans="1:8" ht="15" thickBot="1" x14ac:dyDescent="0.35">
      <c r="A261" s="216" t="s">
        <v>337</v>
      </c>
      <c r="B261" s="215">
        <v>25</v>
      </c>
      <c r="C261" s="215">
        <v>17</v>
      </c>
      <c r="D261" s="215">
        <v>20</v>
      </c>
      <c r="E261" s="215"/>
      <c r="F261" s="224">
        <v>4</v>
      </c>
      <c r="G261" s="224">
        <v>1</v>
      </c>
      <c r="H261" s="221">
        <v>19.399999999999999</v>
      </c>
    </row>
    <row r="262" spans="1:8" ht="15" thickBot="1" x14ac:dyDescent="0.35">
      <c r="A262" s="216" t="s">
        <v>337</v>
      </c>
      <c r="B262" s="215">
        <v>32</v>
      </c>
      <c r="C262" s="215">
        <v>17</v>
      </c>
      <c r="D262" s="215">
        <v>24.3</v>
      </c>
      <c r="E262" s="215"/>
      <c r="F262" s="224">
        <v>3</v>
      </c>
      <c r="G262" s="224">
        <v>0</v>
      </c>
      <c r="H262" s="221">
        <v>23.8</v>
      </c>
    </row>
    <row r="263" spans="1:8" ht="15" thickBot="1" x14ac:dyDescent="0.35">
      <c r="A263" s="216" t="s">
        <v>337</v>
      </c>
      <c r="B263" s="215">
        <v>34</v>
      </c>
      <c r="C263" s="215">
        <v>17</v>
      </c>
      <c r="D263" s="215">
        <v>26.1</v>
      </c>
      <c r="E263" s="215"/>
      <c r="F263" s="224">
        <v>3</v>
      </c>
      <c r="G263" s="224">
        <v>0</v>
      </c>
      <c r="H263" s="221">
        <v>25.5</v>
      </c>
    </row>
    <row r="264" spans="1:8" ht="15" thickBot="1" x14ac:dyDescent="0.35">
      <c r="A264" s="216" t="s">
        <v>337</v>
      </c>
      <c r="B264" s="215">
        <v>26</v>
      </c>
      <c r="C264" s="215">
        <v>10</v>
      </c>
      <c r="D264" s="215">
        <v>20.8</v>
      </c>
      <c r="E264" s="215"/>
      <c r="F264" s="224">
        <v>5</v>
      </c>
      <c r="G264" s="224">
        <v>0</v>
      </c>
      <c r="H264" s="221">
        <v>18.600000000000001</v>
      </c>
    </row>
    <row r="265" spans="1:8" ht="15" thickBot="1" x14ac:dyDescent="0.35">
      <c r="A265" s="216" t="s">
        <v>337</v>
      </c>
      <c r="B265" s="215">
        <v>23</v>
      </c>
      <c r="C265" s="215">
        <v>9</v>
      </c>
      <c r="D265" s="215">
        <v>17.399999999999999</v>
      </c>
      <c r="E265" s="215"/>
      <c r="F265" s="224">
        <v>3</v>
      </c>
      <c r="G265" s="224">
        <v>0</v>
      </c>
      <c r="H265" s="221">
        <v>15.9</v>
      </c>
    </row>
    <row r="266" spans="1:8" ht="15" thickBot="1" x14ac:dyDescent="0.35">
      <c r="A266" s="216" t="s">
        <v>337</v>
      </c>
      <c r="B266" s="215">
        <v>22.1</v>
      </c>
      <c r="C266" s="215">
        <v>11</v>
      </c>
      <c r="D266" s="215">
        <v>16.100000000000001</v>
      </c>
      <c r="E266" s="215"/>
      <c r="F266" s="224">
        <v>4</v>
      </c>
      <c r="G266" s="224">
        <v>14</v>
      </c>
      <c r="H266" s="221">
        <v>13.9</v>
      </c>
    </row>
    <row r="267" spans="1:8" ht="15" thickBot="1" x14ac:dyDescent="0.35">
      <c r="A267" s="216" t="s">
        <v>337</v>
      </c>
      <c r="B267" s="215">
        <v>20.5</v>
      </c>
      <c r="C267" s="215">
        <v>10</v>
      </c>
      <c r="D267" s="215">
        <v>15.3</v>
      </c>
      <c r="E267" s="215"/>
      <c r="F267" s="224">
        <v>2</v>
      </c>
      <c r="G267" s="224">
        <v>0</v>
      </c>
      <c r="H267" s="221">
        <v>13.9</v>
      </c>
    </row>
    <row r="268" spans="1:8" ht="15" thickBot="1" x14ac:dyDescent="0.35">
      <c r="A268" s="216" t="s">
        <v>337</v>
      </c>
      <c r="B268" s="215">
        <v>20</v>
      </c>
      <c r="C268" s="215">
        <v>11</v>
      </c>
      <c r="D268" s="215">
        <v>15.1</v>
      </c>
      <c r="E268" s="215"/>
      <c r="F268" s="224">
        <v>3</v>
      </c>
      <c r="G268" s="224">
        <v>2</v>
      </c>
      <c r="H268" s="221">
        <v>13.1</v>
      </c>
    </row>
    <row r="269" spans="1:8" ht="15" thickBot="1" x14ac:dyDescent="0.35">
      <c r="A269" s="216" t="s">
        <v>337</v>
      </c>
      <c r="B269" s="215">
        <v>19.5</v>
      </c>
      <c r="C269" s="215">
        <v>10</v>
      </c>
      <c r="D269" s="215">
        <v>14.2</v>
      </c>
      <c r="E269" s="215"/>
      <c r="F269" s="224">
        <v>3</v>
      </c>
      <c r="G269" s="224">
        <v>0</v>
      </c>
      <c r="H269" s="221">
        <v>11.8</v>
      </c>
    </row>
    <row r="270" spans="1:8" ht="15" thickBot="1" x14ac:dyDescent="0.35">
      <c r="A270" s="216" t="s">
        <v>337</v>
      </c>
      <c r="B270" s="215">
        <v>18</v>
      </c>
      <c r="C270" s="215">
        <v>10</v>
      </c>
      <c r="D270" s="215">
        <v>13.8</v>
      </c>
      <c r="E270" s="215"/>
      <c r="F270" s="224">
        <v>4</v>
      </c>
      <c r="G270" s="224">
        <v>0</v>
      </c>
      <c r="H270" s="221">
        <v>10.8</v>
      </c>
    </row>
    <row r="271" spans="1:8" ht="15" thickBot="1" x14ac:dyDescent="0.35">
      <c r="A271" s="216" t="s">
        <v>337</v>
      </c>
      <c r="B271" s="215">
        <v>18</v>
      </c>
      <c r="C271" s="215">
        <v>8</v>
      </c>
      <c r="D271" s="215">
        <v>13</v>
      </c>
      <c r="E271" s="215"/>
      <c r="F271" s="224">
        <v>4</v>
      </c>
      <c r="G271" s="224">
        <v>0</v>
      </c>
      <c r="H271" s="221">
        <v>10.199999999999999</v>
      </c>
    </row>
    <row r="272" spans="1:8" ht="15" thickBot="1" x14ac:dyDescent="0.35">
      <c r="A272" s="216" t="s">
        <v>337</v>
      </c>
      <c r="B272" s="215">
        <v>16</v>
      </c>
      <c r="C272" s="215">
        <v>6</v>
      </c>
      <c r="D272" s="215">
        <v>11.7</v>
      </c>
      <c r="E272" s="215"/>
      <c r="F272" s="224">
        <v>4</v>
      </c>
      <c r="G272" s="224">
        <v>2</v>
      </c>
      <c r="H272" s="221">
        <v>9.1</v>
      </c>
    </row>
    <row r="273" spans="1:8" ht="15" thickBot="1" x14ac:dyDescent="0.35">
      <c r="A273" s="216" t="s">
        <v>337</v>
      </c>
      <c r="B273" s="215">
        <v>13.1</v>
      </c>
      <c r="C273" s="215">
        <v>8</v>
      </c>
      <c r="D273" s="215">
        <v>10.3</v>
      </c>
      <c r="E273" s="215"/>
      <c r="F273" s="224">
        <v>8</v>
      </c>
      <c r="G273" s="224">
        <v>2</v>
      </c>
      <c r="H273" s="221">
        <v>4.8</v>
      </c>
    </row>
    <row r="274" spans="1:8" ht="15" thickBot="1" x14ac:dyDescent="0.35">
      <c r="A274" s="216" t="s">
        <v>337</v>
      </c>
      <c r="B274" s="215">
        <v>21</v>
      </c>
      <c r="C274" s="215">
        <v>8.8000000000000007</v>
      </c>
      <c r="D274" s="215">
        <v>13.9</v>
      </c>
      <c r="E274" s="215"/>
      <c r="F274" s="224">
        <v>6</v>
      </c>
      <c r="G274" s="224">
        <v>0</v>
      </c>
      <c r="H274" s="221">
        <v>9.8000000000000007</v>
      </c>
    </row>
    <row r="275" spans="1:8" ht="15" thickBot="1" x14ac:dyDescent="0.35">
      <c r="A275" s="216" t="s">
        <v>337</v>
      </c>
      <c r="B275" s="215">
        <v>19.2</v>
      </c>
      <c r="C275" s="215">
        <v>8</v>
      </c>
      <c r="D275" s="215">
        <v>13.6</v>
      </c>
      <c r="E275" s="215"/>
      <c r="F275" s="224">
        <v>5</v>
      </c>
      <c r="G275" s="224">
        <v>0</v>
      </c>
      <c r="H275" s="221">
        <v>10.1</v>
      </c>
    </row>
    <row r="276" spans="1:8" ht="15" thickBot="1" x14ac:dyDescent="0.35">
      <c r="A276" s="216" t="s">
        <v>337</v>
      </c>
      <c r="B276" s="215">
        <v>22</v>
      </c>
      <c r="C276" s="215">
        <v>7</v>
      </c>
      <c r="D276" s="215">
        <v>15.3</v>
      </c>
      <c r="E276" s="215"/>
      <c r="F276" s="224">
        <v>5</v>
      </c>
      <c r="G276" s="224">
        <v>0</v>
      </c>
      <c r="H276" s="221">
        <v>12</v>
      </c>
    </row>
    <row r="277" spans="1:8" ht="15" thickBot="1" x14ac:dyDescent="0.35">
      <c r="A277" s="216" t="s">
        <v>338</v>
      </c>
      <c r="B277" s="215">
        <v>24</v>
      </c>
      <c r="C277" s="215">
        <v>10</v>
      </c>
      <c r="D277" s="215">
        <v>17.100000000000001</v>
      </c>
      <c r="E277" s="215"/>
      <c r="F277" s="224">
        <v>5</v>
      </c>
      <c r="G277" s="224">
        <v>0</v>
      </c>
      <c r="H277" s="221">
        <v>14</v>
      </c>
    </row>
    <row r="278" spans="1:8" ht="15" thickBot="1" x14ac:dyDescent="0.35">
      <c r="A278" s="216" t="s">
        <v>338</v>
      </c>
      <c r="B278" s="215">
        <v>22.7</v>
      </c>
      <c r="C278" s="215">
        <v>8</v>
      </c>
      <c r="D278" s="215">
        <v>15.9</v>
      </c>
      <c r="E278" s="215"/>
      <c r="F278" s="224">
        <v>2</v>
      </c>
      <c r="G278" s="224">
        <v>0</v>
      </c>
      <c r="H278" s="221">
        <v>14.7</v>
      </c>
    </row>
    <row r="279" spans="1:8" ht="15" thickBot="1" x14ac:dyDescent="0.35">
      <c r="A279" s="216" t="s">
        <v>338</v>
      </c>
      <c r="B279" s="215">
        <v>23.1</v>
      </c>
      <c r="C279" s="215">
        <v>8</v>
      </c>
      <c r="D279" s="215">
        <v>16.2</v>
      </c>
      <c r="E279" s="215"/>
      <c r="F279" s="224">
        <v>2</v>
      </c>
      <c r="G279" s="224">
        <v>0</v>
      </c>
      <c r="H279" s="221">
        <v>14.8</v>
      </c>
    </row>
    <row r="280" spans="1:8" ht="15" thickBot="1" x14ac:dyDescent="0.35">
      <c r="A280" s="216" t="s">
        <v>338</v>
      </c>
      <c r="B280" s="215">
        <v>25</v>
      </c>
      <c r="C280" s="215">
        <v>8</v>
      </c>
      <c r="D280" s="215">
        <v>17.100000000000001</v>
      </c>
      <c r="E280" s="215"/>
      <c r="F280" s="224">
        <v>2</v>
      </c>
      <c r="G280" s="224">
        <v>0</v>
      </c>
      <c r="H280" s="221">
        <v>16</v>
      </c>
    </row>
    <row r="281" spans="1:8" ht="15" thickBot="1" x14ac:dyDescent="0.35">
      <c r="A281" s="216" t="s">
        <v>338</v>
      </c>
      <c r="B281" s="215">
        <v>24</v>
      </c>
      <c r="C281" s="215">
        <v>11</v>
      </c>
      <c r="D281" s="215">
        <v>17.100000000000001</v>
      </c>
      <c r="E281" s="215"/>
      <c r="F281" s="224">
        <v>2</v>
      </c>
      <c r="G281" s="224">
        <v>2</v>
      </c>
      <c r="H281" s="221">
        <v>16.600000000000001</v>
      </c>
    </row>
    <row r="282" spans="1:8" ht="15" thickBot="1" x14ac:dyDescent="0.35">
      <c r="A282" s="216" t="s">
        <v>338</v>
      </c>
      <c r="B282" s="215">
        <v>24</v>
      </c>
      <c r="C282" s="215">
        <v>10</v>
      </c>
      <c r="D282" s="215">
        <v>17.899999999999999</v>
      </c>
      <c r="E282" s="215"/>
      <c r="F282" s="224">
        <v>3</v>
      </c>
      <c r="G282" s="224">
        <v>0</v>
      </c>
      <c r="H282" s="221">
        <v>16.5</v>
      </c>
    </row>
    <row r="283" spans="1:8" ht="15" thickBot="1" x14ac:dyDescent="0.35">
      <c r="A283" s="216" t="s">
        <v>338</v>
      </c>
      <c r="B283" s="215">
        <v>15</v>
      </c>
      <c r="C283" s="215">
        <v>5</v>
      </c>
      <c r="D283" s="215">
        <v>11.4</v>
      </c>
      <c r="E283" s="215"/>
      <c r="F283" s="224">
        <v>6</v>
      </c>
      <c r="G283" s="224">
        <v>6</v>
      </c>
      <c r="H283" s="221">
        <v>7.4</v>
      </c>
    </row>
    <row r="284" spans="1:8" ht="15" thickBot="1" x14ac:dyDescent="0.35">
      <c r="A284" s="216" t="s">
        <v>338</v>
      </c>
      <c r="B284" s="215">
        <v>14</v>
      </c>
      <c r="C284" s="215">
        <v>4</v>
      </c>
      <c r="D284" s="215">
        <v>8.6999999999999993</v>
      </c>
      <c r="E284" s="215"/>
      <c r="F284" s="224">
        <v>2</v>
      </c>
      <c r="G284" s="224">
        <v>0</v>
      </c>
      <c r="H284" s="221">
        <v>6.8</v>
      </c>
    </row>
    <row r="285" spans="1:8" ht="15" thickBot="1" x14ac:dyDescent="0.35">
      <c r="A285" s="216" t="s">
        <v>338</v>
      </c>
      <c r="B285" s="215">
        <v>23</v>
      </c>
      <c r="C285" s="215">
        <v>7.2</v>
      </c>
      <c r="D285" s="215">
        <v>14.1</v>
      </c>
      <c r="E285" s="215"/>
      <c r="F285" s="224">
        <v>6</v>
      </c>
      <c r="G285" s="224">
        <v>1</v>
      </c>
      <c r="H285" s="221">
        <v>10</v>
      </c>
    </row>
    <row r="286" spans="1:8" ht="15" thickBot="1" x14ac:dyDescent="0.35">
      <c r="A286" s="216" t="s">
        <v>338</v>
      </c>
      <c r="B286" s="215">
        <v>20.5</v>
      </c>
      <c r="C286" s="215">
        <v>8</v>
      </c>
      <c r="D286" s="215">
        <v>15.4</v>
      </c>
      <c r="E286" s="215"/>
      <c r="F286" s="224">
        <v>5</v>
      </c>
      <c r="G286" s="224">
        <v>0</v>
      </c>
      <c r="H286" s="221">
        <v>11.9</v>
      </c>
    </row>
    <row r="287" spans="1:8" ht="15" thickBot="1" x14ac:dyDescent="0.35">
      <c r="A287" s="216" t="s">
        <v>338</v>
      </c>
      <c r="B287" s="215">
        <v>17.5</v>
      </c>
      <c r="C287" s="215">
        <v>8</v>
      </c>
      <c r="D287" s="215">
        <v>12.9</v>
      </c>
      <c r="E287" s="215"/>
      <c r="F287" s="224">
        <v>5</v>
      </c>
      <c r="G287" s="224">
        <v>0</v>
      </c>
      <c r="H287" s="221">
        <v>9.4</v>
      </c>
    </row>
    <row r="288" spans="1:8" ht="15" thickBot="1" x14ac:dyDescent="0.35">
      <c r="A288" s="216" t="s">
        <v>338</v>
      </c>
      <c r="B288" s="215">
        <v>20</v>
      </c>
      <c r="C288" s="215">
        <v>7</v>
      </c>
      <c r="D288" s="215">
        <v>13.7</v>
      </c>
      <c r="E288" s="215"/>
      <c r="F288" s="224">
        <v>4</v>
      </c>
      <c r="G288" s="224">
        <v>0</v>
      </c>
      <c r="H288" s="221">
        <v>11.1</v>
      </c>
    </row>
    <row r="289" spans="1:8" ht="15" thickBot="1" x14ac:dyDescent="0.35">
      <c r="A289" s="216" t="s">
        <v>338</v>
      </c>
      <c r="B289" s="215">
        <v>22.2</v>
      </c>
      <c r="C289" s="215">
        <v>8</v>
      </c>
      <c r="D289" s="215">
        <v>14.8</v>
      </c>
      <c r="E289" s="215"/>
      <c r="F289" s="224">
        <v>2</v>
      </c>
      <c r="G289" s="224">
        <v>0</v>
      </c>
      <c r="H289" s="221">
        <v>13.3</v>
      </c>
    </row>
    <row r="290" spans="1:8" ht="15" thickBot="1" x14ac:dyDescent="0.35">
      <c r="A290" s="216" t="s">
        <v>338</v>
      </c>
      <c r="B290" s="215">
        <v>22.1</v>
      </c>
      <c r="C290" s="215">
        <v>6</v>
      </c>
      <c r="D290" s="215">
        <v>13.7</v>
      </c>
      <c r="E290" s="215"/>
      <c r="F290" s="224">
        <v>1</v>
      </c>
      <c r="G290" s="224">
        <v>0</v>
      </c>
      <c r="H290" s="221">
        <v>12.8</v>
      </c>
    </row>
    <row r="291" spans="1:8" ht="15" thickBot="1" x14ac:dyDescent="0.35">
      <c r="A291" s="216" t="s">
        <v>338</v>
      </c>
      <c r="B291" s="215">
        <v>23.7</v>
      </c>
      <c r="C291" s="215">
        <v>6</v>
      </c>
      <c r="D291" s="215">
        <v>15.4</v>
      </c>
      <c r="E291" s="215"/>
      <c r="F291" s="224">
        <v>2</v>
      </c>
      <c r="G291" s="224">
        <v>0</v>
      </c>
      <c r="H291" s="221">
        <v>13.8</v>
      </c>
    </row>
    <row r="292" spans="1:8" ht="15" thickBot="1" x14ac:dyDescent="0.35">
      <c r="A292" s="216" t="s">
        <v>338</v>
      </c>
      <c r="B292" s="215">
        <v>24</v>
      </c>
      <c r="C292" s="215">
        <v>6</v>
      </c>
      <c r="D292" s="215">
        <v>14.7</v>
      </c>
      <c r="E292" s="215"/>
      <c r="F292" s="224">
        <v>2</v>
      </c>
      <c r="G292" s="224">
        <v>0</v>
      </c>
      <c r="H292" s="221">
        <v>13.3</v>
      </c>
    </row>
    <row r="293" spans="1:8" ht="15" thickBot="1" x14ac:dyDescent="0.35">
      <c r="A293" s="216" t="s">
        <v>338</v>
      </c>
      <c r="B293" s="215">
        <v>21.2</v>
      </c>
      <c r="C293" s="215">
        <v>6</v>
      </c>
      <c r="D293" s="215">
        <v>14</v>
      </c>
      <c r="E293" s="215"/>
      <c r="F293" s="224">
        <v>3</v>
      </c>
      <c r="G293" s="224">
        <v>0</v>
      </c>
      <c r="H293" s="221">
        <v>12.1</v>
      </c>
    </row>
    <row r="294" spans="1:8" ht="15" thickBot="1" x14ac:dyDescent="0.35">
      <c r="A294" s="216" t="s">
        <v>338</v>
      </c>
      <c r="B294" s="215">
        <v>19.3</v>
      </c>
      <c r="C294" s="215">
        <v>3</v>
      </c>
      <c r="D294" s="215">
        <v>13.2</v>
      </c>
      <c r="E294" s="215"/>
      <c r="F294" s="224">
        <v>3</v>
      </c>
      <c r="G294" s="224">
        <v>0</v>
      </c>
      <c r="H294" s="221">
        <v>11.1</v>
      </c>
    </row>
    <row r="295" spans="1:8" ht="15" thickBot="1" x14ac:dyDescent="0.35">
      <c r="A295" s="216" t="s">
        <v>338</v>
      </c>
      <c r="B295" s="215">
        <v>17</v>
      </c>
      <c r="C295" s="215">
        <v>9</v>
      </c>
      <c r="D295" s="215">
        <v>13.3</v>
      </c>
      <c r="E295" s="215"/>
      <c r="F295" s="224">
        <v>4</v>
      </c>
      <c r="G295" s="224">
        <v>0</v>
      </c>
      <c r="H295" s="221">
        <v>10.199999999999999</v>
      </c>
    </row>
    <row r="296" spans="1:8" ht="15" thickBot="1" x14ac:dyDescent="0.35">
      <c r="A296" s="216" t="s">
        <v>338</v>
      </c>
      <c r="B296" s="215">
        <v>22</v>
      </c>
      <c r="C296" s="215">
        <v>3</v>
      </c>
      <c r="D296" s="215">
        <v>14.1</v>
      </c>
      <c r="E296" s="215"/>
      <c r="F296" s="224">
        <v>4</v>
      </c>
      <c r="G296" s="224">
        <v>0</v>
      </c>
      <c r="H296" s="221">
        <v>11.2</v>
      </c>
    </row>
    <row r="297" spans="1:8" ht="15" thickBot="1" x14ac:dyDescent="0.35">
      <c r="A297" s="216" t="s">
        <v>338</v>
      </c>
      <c r="B297" s="215">
        <v>25.3</v>
      </c>
      <c r="C297" s="215">
        <v>10</v>
      </c>
      <c r="D297" s="215">
        <v>18.7</v>
      </c>
      <c r="E297" s="215"/>
      <c r="F297" s="224">
        <v>5</v>
      </c>
      <c r="G297" s="224">
        <v>0</v>
      </c>
      <c r="H297" s="221">
        <v>15.6</v>
      </c>
    </row>
    <row r="298" spans="1:8" ht="15" thickBot="1" x14ac:dyDescent="0.35">
      <c r="A298" s="216" t="s">
        <v>338</v>
      </c>
      <c r="B298" s="215">
        <v>23</v>
      </c>
      <c r="C298" s="215">
        <v>12</v>
      </c>
      <c r="D298" s="215">
        <v>17.3</v>
      </c>
      <c r="E298" s="215"/>
      <c r="F298" s="224">
        <v>3</v>
      </c>
      <c r="G298" s="224">
        <v>0</v>
      </c>
      <c r="H298" s="221">
        <v>15.9</v>
      </c>
    </row>
    <row r="299" spans="1:8" ht="15" thickBot="1" x14ac:dyDescent="0.35">
      <c r="A299" s="216" t="s">
        <v>338</v>
      </c>
      <c r="B299" s="215">
        <v>26</v>
      </c>
      <c r="C299" s="215">
        <v>10</v>
      </c>
      <c r="D299" s="215">
        <v>17.899999999999999</v>
      </c>
      <c r="E299" s="215"/>
      <c r="F299" s="224">
        <v>2</v>
      </c>
      <c r="G299" s="224">
        <v>0</v>
      </c>
      <c r="H299" s="221">
        <v>17.3</v>
      </c>
    </row>
    <row r="300" spans="1:8" ht="15" thickBot="1" x14ac:dyDescent="0.35">
      <c r="A300" s="216" t="s">
        <v>338</v>
      </c>
      <c r="B300" s="215">
        <v>26</v>
      </c>
      <c r="C300" s="215">
        <v>10</v>
      </c>
      <c r="D300" s="215">
        <v>17.899999999999999</v>
      </c>
      <c r="E300" s="215"/>
      <c r="F300" s="224">
        <v>3</v>
      </c>
      <c r="G300" s="224">
        <v>0</v>
      </c>
      <c r="H300" s="221">
        <v>15.9</v>
      </c>
    </row>
    <row r="301" spans="1:8" ht="15" thickBot="1" x14ac:dyDescent="0.35">
      <c r="A301" s="216" t="s">
        <v>338</v>
      </c>
      <c r="B301" s="215">
        <v>26</v>
      </c>
      <c r="C301" s="215">
        <v>11</v>
      </c>
      <c r="D301" s="215">
        <v>17.2</v>
      </c>
      <c r="E301" s="215"/>
      <c r="F301" s="224">
        <v>5</v>
      </c>
      <c r="G301" s="224">
        <v>0</v>
      </c>
      <c r="H301" s="221">
        <v>14</v>
      </c>
    </row>
    <row r="302" spans="1:8" ht="15" thickBot="1" x14ac:dyDescent="0.35">
      <c r="A302" s="216" t="s">
        <v>338</v>
      </c>
      <c r="B302" s="215">
        <v>19.3</v>
      </c>
      <c r="C302" s="215">
        <v>7</v>
      </c>
      <c r="D302" s="215">
        <v>13.3</v>
      </c>
      <c r="E302" s="215"/>
      <c r="F302" s="224">
        <v>3</v>
      </c>
      <c r="G302" s="224">
        <v>0</v>
      </c>
      <c r="H302" s="221">
        <v>11.6</v>
      </c>
    </row>
    <row r="303" spans="1:8" ht="15" thickBot="1" x14ac:dyDescent="0.35">
      <c r="A303" s="216" t="s">
        <v>338</v>
      </c>
      <c r="B303" s="215">
        <v>18</v>
      </c>
      <c r="C303" s="215">
        <v>7</v>
      </c>
      <c r="D303" s="215">
        <v>12.8</v>
      </c>
      <c r="E303" s="215"/>
      <c r="F303" s="224">
        <v>4</v>
      </c>
      <c r="G303" s="224">
        <v>0</v>
      </c>
      <c r="H303" s="221">
        <v>10</v>
      </c>
    </row>
    <row r="304" spans="1:8" ht="15" thickBot="1" x14ac:dyDescent="0.35">
      <c r="A304" s="216" t="s">
        <v>338</v>
      </c>
      <c r="B304" s="215">
        <v>19</v>
      </c>
      <c r="C304" s="215">
        <v>5</v>
      </c>
      <c r="D304" s="215">
        <v>13.6</v>
      </c>
      <c r="E304" s="215"/>
      <c r="F304" s="224">
        <v>3</v>
      </c>
      <c r="G304" s="224">
        <v>0</v>
      </c>
      <c r="H304" s="221">
        <v>11.3</v>
      </c>
    </row>
    <row r="305" spans="1:8" ht="15" thickBot="1" x14ac:dyDescent="0.35">
      <c r="A305" s="216" t="s">
        <v>338</v>
      </c>
      <c r="B305" s="215">
        <v>18</v>
      </c>
      <c r="C305" s="215">
        <v>9</v>
      </c>
      <c r="D305" s="215">
        <v>13.9</v>
      </c>
      <c r="E305" s="215"/>
      <c r="F305" s="224">
        <v>5</v>
      </c>
      <c r="G305" s="224">
        <v>1</v>
      </c>
      <c r="H305" s="221">
        <v>10.6</v>
      </c>
    </row>
    <row r="306" spans="1:8" ht="15" thickBot="1" x14ac:dyDescent="0.35">
      <c r="A306" s="216" t="s">
        <v>338</v>
      </c>
      <c r="B306" s="215">
        <v>17</v>
      </c>
      <c r="C306" s="215">
        <v>8</v>
      </c>
      <c r="D306" s="215">
        <v>12.1</v>
      </c>
      <c r="E306" s="215"/>
      <c r="F306" s="224">
        <v>2</v>
      </c>
      <c r="G306" s="224">
        <v>0</v>
      </c>
      <c r="H306" s="221">
        <v>10.4</v>
      </c>
    </row>
    <row r="307" spans="1:8" ht="15" thickBot="1" x14ac:dyDescent="0.35">
      <c r="A307" s="216" t="s">
        <v>339</v>
      </c>
      <c r="B307" s="215">
        <v>22.4</v>
      </c>
      <c r="C307" s="215">
        <v>9</v>
      </c>
      <c r="D307" s="215">
        <v>15.1</v>
      </c>
      <c r="E307" s="215"/>
      <c r="F307" s="224">
        <v>5</v>
      </c>
      <c r="G307" s="224">
        <v>0</v>
      </c>
      <c r="H307" s="221">
        <v>11.9</v>
      </c>
    </row>
    <row r="308" spans="1:8" ht="15" thickBot="1" x14ac:dyDescent="0.35">
      <c r="A308" s="216" t="s">
        <v>339</v>
      </c>
      <c r="B308" s="215">
        <v>17</v>
      </c>
      <c r="C308" s="215">
        <v>10</v>
      </c>
      <c r="D308" s="215">
        <v>13.5</v>
      </c>
      <c r="E308" s="215"/>
      <c r="F308" s="224">
        <v>2</v>
      </c>
      <c r="G308" s="224">
        <v>2</v>
      </c>
      <c r="H308" s="221">
        <v>12.6</v>
      </c>
    </row>
    <row r="309" spans="1:8" ht="15" thickBot="1" x14ac:dyDescent="0.35">
      <c r="A309" s="216" t="s">
        <v>339</v>
      </c>
      <c r="B309" s="215">
        <v>15.1</v>
      </c>
      <c r="C309" s="215">
        <v>5</v>
      </c>
      <c r="D309" s="215">
        <v>10.9</v>
      </c>
      <c r="E309" s="215"/>
      <c r="F309" s="224">
        <v>3</v>
      </c>
      <c r="G309" s="224">
        <v>2</v>
      </c>
      <c r="H309" s="221">
        <v>8.9</v>
      </c>
    </row>
    <row r="310" spans="1:8" ht="15" thickBot="1" x14ac:dyDescent="0.35">
      <c r="A310" s="216" t="s">
        <v>339</v>
      </c>
      <c r="B310" s="215">
        <v>17</v>
      </c>
      <c r="C310" s="215">
        <v>5</v>
      </c>
      <c r="D310" s="215">
        <v>11.8</v>
      </c>
      <c r="E310" s="215"/>
      <c r="F310" s="224">
        <v>5</v>
      </c>
      <c r="G310" s="224">
        <v>0</v>
      </c>
      <c r="H310" s="221">
        <v>8.1999999999999993</v>
      </c>
    </row>
    <row r="311" spans="1:8" ht="15" thickBot="1" x14ac:dyDescent="0.35">
      <c r="A311" s="216" t="s">
        <v>339</v>
      </c>
      <c r="B311" s="215">
        <v>17</v>
      </c>
      <c r="C311" s="215">
        <v>5</v>
      </c>
      <c r="D311" s="215">
        <v>12.1</v>
      </c>
      <c r="E311" s="215"/>
      <c r="F311" s="224">
        <v>3</v>
      </c>
      <c r="G311" s="224">
        <v>0</v>
      </c>
      <c r="H311" s="221">
        <v>9.6999999999999993</v>
      </c>
    </row>
    <row r="312" spans="1:8" ht="15" thickBot="1" x14ac:dyDescent="0.35">
      <c r="A312" s="216" t="s">
        <v>339</v>
      </c>
      <c r="B312" s="215">
        <v>16</v>
      </c>
      <c r="C312" s="215">
        <v>5</v>
      </c>
      <c r="D312" s="215">
        <v>11.1</v>
      </c>
      <c r="E312" s="215"/>
      <c r="F312" s="224">
        <v>3</v>
      </c>
      <c r="G312" s="224">
        <v>0</v>
      </c>
      <c r="H312" s="221">
        <v>8.6999999999999993</v>
      </c>
    </row>
    <row r="313" spans="1:8" ht="15" thickBot="1" x14ac:dyDescent="0.35">
      <c r="A313" s="216" t="s">
        <v>339</v>
      </c>
      <c r="B313" s="215">
        <v>12</v>
      </c>
      <c r="C313" s="215">
        <v>3</v>
      </c>
      <c r="D313" s="215">
        <v>8.3000000000000007</v>
      </c>
      <c r="E313" s="215"/>
      <c r="F313" s="224">
        <v>3</v>
      </c>
      <c r="G313" s="224">
        <v>2</v>
      </c>
      <c r="H313" s="221">
        <v>5.9</v>
      </c>
    </row>
    <row r="314" spans="1:8" ht="15" thickBot="1" x14ac:dyDescent="0.35">
      <c r="A314" s="216" t="s">
        <v>339</v>
      </c>
      <c r="B314" s="215">
        <v>10</v>
      </c>
      <c r="C314" s="215">
        <v>3.8</v>
      </c>
      <c r="D314" s="215">
        <v>5.7</v>
      </c>
      <c r="E314" s="215"/>
      <c r="F314" s="224">
        <v>6</v>
      </c>
      <c r="G314" s="224">
        <v>9</v>
      </c>
      <c r="H314" s="221">
        <v>0.9</v>
      </c>
    </row>
    <row r="315" spans="1:8" ht="15" thickBot="1" x14ac:dyDescent="0.35">
      <c r="A315" s="216" t="s">
        <v>339</v>
      </c>
      <c r="B315" s="215">
        <v>6</v>
      </c>
      <c r="C315" s="215">
        <v>1</v>
      </c>
      <c r="D315" s="215">
        <v>2.9</v>
      </c>
      <c r="E315" s="215"/>
      <c r="F315" s="224">
        <v>4</v>
      </c>
      <c r="G315" s="224">
        <v>0</v>
      </c>
      <c r="H315" s="221">
        <v>-1</v>
      </c>
    </row>
    <row r="316" spans="1:8" ht="15" thickBot="1" x14ac:dyDescent="0.35">
      <c r="A316" s="216" t="s">
        <v>339</v>
      </c>
      <c r="B316" s="215">
        <v>6</v>
      </c>
      <c r="C316" s="215">
        <v>1.6</v>
      </c>
      <c r="D316" s="215">
        <v>4.0999999999999996</v>
      </c>
      <c r="E316" s="215"/>
      <c r="F316" s="224">
        <v>4</v>
      </c>
      <c r="G316" s="224">
        <v>4</v>
      </c>
      <c r="H316" s="221">
        <v>0.4</v>
      </c>
    </row>
    <row r="317" spans="1:8" ht="15" thickBot="1" x14ac:dyDescent="0.35">
      <c r="A317" s="216" t="s">
        <v>339</v>
      </c>
      <c r="B317" s="215">
        <v>5</v>
      </c>
      <c r="C317" s="215">
        <v>0</v>
      </c>
      <c r="D317" s="215">
        <v>2.7</v>
      </c>
      <c r="E317" s="215"/>
      <c r="F317" s="224">
        <v>4</v>
      </c>
      <c r="G317" s="224">
        <v>2</v>
      </c>
      <c r="H317" s="221">
        <v>-1.1000000000000001</v>
      </c>
    </row>
    <row r="318" spans="1:8" ht="15" thickBot="1" x14ac:dyDescent="0.35">
      <c r="A318" s="216" t="s">
        <v>339</v>
      </c>
      <c r="B318" s="215">
        <v>8.1999999999999993</v>
      </c>
      <c r="C318" s="215">
        <v>0.2</v>
      </c>
      <c r="D318" s="215">
        <v>5.7</v>
      </c>
      <c r="E318" s="215"/>
      <c r="F318" s="224">
        <v>8</v>
      </c>
      <c r="G318" s="224">
        <v>1</v>
      </c>
      <c r="H318" s="221">
        <v>-0.6</v>
      </c>
    </row>
    <row r="319" spans="1:8" ht="15" thickBot="1" x14ac:dyDescent="0.35">
      <c r="A319" s="216" t="s">
        <v>339</v>
      </c>
      <c r="B319" s="215">
        <v>11.8</v>
      </c>
      <c r="C319" s="215">
        <v>6</v>
      </c>
      <c r="D319" s="215">
        <v>8.9</v>
      </c>
      <c r="E319" s="215"/>
      <c r="F319" s="224">
        <v>6</v>
      </c>
      <c r="G319" s="224">
        <v>7</v>
      </c>
      <c r="H319" s="221">
        <v>4.4000000000000004</v>
      </c>
    </row>
    <row r="320" spans="1:8" ht="15" thickBot="1" x14ac:dyDescent="0.35">
      <c r="A320" s="216" t="s">
        <v>339</v>
      </c>
      <c r="B320" s="215">
        <v>12</v>
      </c>
      <c r="C320" s="215">
        <v>4</v>
      </c>
      <c r="D320" s="215">
        <v>8.1999999999999993</v>
      </c>
      <c r="E320" s="215"/>
      <c r="F320" s="224">
        <v>5</v>
      </c>
      <c r="G320" s="224">
        <v>0</v>
      </c>
      <c r="H320" s="221">
        <v>4.2</v>
      </c>
    </row>
    <row r="321" spans="1:8" ht="15" thickBot="1" x14ac:dyDescent="0.35">
      <c r="A321" s="216" t="s">
        <v>339</v>
      </c>
      <c r="B321" s="215">
        <v>16.100000000000001</v>
      </c>
      <c r="C321" s="215">
        <v>7.3</v>
      </c>
      <c r="D321" s="215">
        <v>12.8</v>
      </c>
      <c r="E321" s="215"/>
      <c r="F321" s="224">
        <v>5</v>
      </c>
      <c r="G321" s="224">
        <v>4</v>
      </c>
      <c r="H321" s="221">
        <v>9.6999999999999993</v>
      </c>
    </row>
    <row r="322" spans="1:8" ht="15" thickBot="1" x14ac:dyDescent="0.35">
      <c r="A322" s="216" t="s">
        <v>339</v>
      </c>
      <c r="B322" s="215">
        <v>17</v>
      </c>
      <c r="C322" s="215">
        <v>9</v>
      </c>
      <c r="D322" s="215">
        <v>12.5</v>
      </c>
      <c r="E322" s="215"/>
      <c r="F322" s="224">
        <v>6</v>
      </c>
      <c r="G322" s="224">
        <v>0</v>
      </c>
      <c r="H322" s="221">
        <v>8.3000000000000007</v>
      </c>
    </row>
    <row r="323" spans="1:8" ht="15" thickBot="1" x14ac:dyDescent="0.35">
      <c r="A323" s="216" t="s">
        <v>339</v>
      </c>
      <c r="B323" s="215">
        <v>10.3</v>
      </c>
      <c r="C323" s="215">
        <v>3</v>
      </c>
      <c r="D323" s="215">
        <v>6.7</v>
      </c>
      <c r="E323" s="215"/>
      <c r="F323" s="224">
        <v>9</v>
      </c>
      <c r="G323" s="224">
        <v>0</v>
      </c>
      <c r="H323" s="221">
        <v>-0.2</v>
      </c>
    </row>
    <row r="324" spans="1:8" ht="15" thickBot="1" x14ac:dyDescent="0.35">
      <c r="A324" s="216" t="s">
        <v>339</v>
      </c>
      <c r="B324" s="215">
        <v>6.6</v>
      </c>
      <c r="C324" s="215">
        <v>1</v>
      </c>
      <c r="D324" s="215">
        <v>4.0999999999999996</v>
      </c>
      <c r="E324" s="215"/>
      <c r="F324" s="224">
        <v>6</v>
      </c>
      <c r="G324" s="224">
        <v>1</v>
      </c>
      <c r="H324" s="221">
        <v>-1</v>
      </c>
    </row>
    <row r="325" spans="1:8" ht="15" thickBot="1" x14ac:dyDescent="0.35">
      <c r="A325" s="216" t="s">
        <v>339</v>
      </c>
      <c r="B325" s="215">
        <v>8.1999999999999993</v>
      </c>
      <c r="C325" s="215">
        <v>1</v>
      </c>
      <c r="D325" s="215">
        <v>4.7</v>
      </c>
      <c r="E325" s="215"/>
      <c r="F325" s="224">
        <v>3</v>
      </c>
      <c r="G325" s="224">
        <v>2</v>
      </c>
      <c r="H325" s="221">
        <v>1.8</v>
      </c>
    </row>
    <row r="326" spans="1:8" ht="15" thickBot="1" x14ac:dyDescent="0.35">
      <c r="A326" s="216" t="s">
        <v>339</v>
      </c>
      <c r="B326" s="215">
        <v>7</v>
      </c>
      <c r="C326" s="215">
        <v>3</v>
      </c>
      <c r="D326" s="215">
        <v>4.5999999999999996</v>
      </c>
      <c r="E326" s="215"/>
      <c r="F326" s="224">
        <v>2</v>
      </c>
      <c r="G326" s="224">
        <v>1</v>
      </c>
      <c r="H326" s="221">
        <v>2.2999999999999998</v>
      </c>
    </row>
    <row r="327" spans="1:8" ht="15" thickBot="1" x14ac:dyDescent="0.35">
      <c r="A327" s="216" t="s">
        <v>339</v>
      </c>
      <c r="B327" s="215">
        <v>4.0999999999999996</v>
      </c>
      <c r="C327" s="215">
        <v>-2</v>
      </c>
      <c r="D327" s="215">
        <v>1.7</v>
      </c>
      <c r="E327" s="215"/>
      <c r="F327" s="224">
        <v>6</v>
      </c>
      <c r="G327" s="224">
        <v>1</v>
      </c>
      <c r="H327" s="221">
        <v>-3.7</v>
      </c>
    </row>
    <row r="328" spans="1:8" ht="15" thickBot="1" x14ac:dyDescent="0.35">
      <c r="A328" s="216" t="s">
        <v>339</v>
      </c>
      <c r="B328" s="215">
        <v>3.6</v>
      </c>
      <c r="C328" s="215">
        <v>-3</v>
      </c>
      <c r="D328" s="215">
        <v>0</v>
      </c>
      <c r="E328" s="215"/>
      <c r="F328" s="224">
        <v>5</v>
      </c>
      <c r="G328" s="224">
        <v>0</v>
      </c>
      <c r="H328" s="221">
        <v>-5</v>
      </c>
    </row>
    <row r="329" spans="1:8" ht="15" thickBot="1" x14ac:dyDescent="0.35">
      <c r="A329" s="216" t="s">
        <v>339</v>
      </c>
      <c r="B329" s="215">
        <v>7</v>
      </c>
      <c r="C329" s="215">
        <v>-0.4</v>
      </c>
      <c r="D329" s="215">
        <v>2.7</v>
      </c>
      <c r="E329" s="215"/>
      <c r="F329" s="224">
        <v>3</v>
      </c>
      <c r="G329" s="224">
        <v>8</v>
      </c>
      <c r="H329" s="221">
        <v>-0.5</v>
      </c>
    </row>
    <row r="330" spans="1:8" ht="15" thickBot="1" x14ac:dyDescent="0.35">
      <c r="A330" s="216" t="s">
        <v>339</v>
      </c>
      <c r="B330" s="215">
        <v>7</v>
      </c>
      <c r="C330" s="215">
        <v>-2</v>
      </c>
      <c r="D330" s="215">
        <v>1.1000000000000001</v>
      </c>
      <c r="E330" s="215"/>
      <c r="F330" s="224">
        <v>5</v>
      </c>
      <c r="G330" s="224">
        <v>13</v>
      </c>
      <c r="H330" s="221">
        <v>-3.5</v>
      </c>
    </row>
    <row r="331" spans="1:8" ht="15" thickBot="1" x14ac:dyDescent="0.35">
      <c r="A331" s="216" t="s">
        <v>339</v>
      </c>
      <c r="B331" s="215">
        <v>-0.2</v>
      </c>
      <c r="C331" s="215">
        <v>-2</v>
      </c>
      <c r="D331" s="215">
        <v>-1.4</v>
      </c>
      <c r="E331" s="215"/>
      <c r="F331" s="224">
        <v>4</v>
      </c>
      <c r="G331" s="224">
        <v>0</v>
      </c>
      <c r="H331" s="221">
        <v>-5.9</v>
      </c>
    </row>
    <row r="332" spans="1:8" ht="15" thickBot="1" x14ac:dyDescent="0.35">
      <c r="A332" s="216" t="s">
        <v>339</v>
      </c>
      <c r="B332" s="215">
        <v>1</v>
      </c>
      <c r="C332" s="215">
        <v>-4</v>
      </c>
      <c r="D332" s="215">
        <v>-1.3</v>
      </c>
      <c r="E332" s="215"/>
      <c r="F332" s="224">
        <v>3</v>
      </c>
      <c r="G332" s="224">
        <v>1</v>
      </c>
      <c r="H332" s="221">
        <v>-5.0999999999999996</v>
      </c>
    </row>
    <row r="333" spans="1:8" ht="15" thickBot="1" x14ac:dyDescent="0.35">
      <c r="A333" s="216" t="s">
        <v>339</v>
      </c>
      <c r="B333" s="215">
        <v>0</v>
      </c>
      <c r="C333" s="215">
        <v>-3</v>
      </c>
      <c r="D333" s="215">
        <v>-1.4</v>
      </c>
      <c r="E333" s="215"/>
      <c r="F333" s="224">
        <v>7</v>
      </c>
      <c r="G333" s="224">
        <v>0</v>
      </c>
      <c r="H333" s="221">
        <v>-7.9</v>
      </c>
    </row>
    <row r="334" spans="1:8" ht="15" thickBot="1" x14ac:dyDescent="0.35">
      <c r="A334" s="216" t="s">
        <v>339</v>
      </c>
      <c r="B334" s="215">
        <v>0</v>
      </c>
      <c r="C334" s="215">
        <v>-2.5</v>
      </c>
      <c r="D334" s="215">
        <v>-0.8</v>
      </c>
      <c r="E334" s="215"/>
      <c r="F334" s="224">
        <v>5</v>
      </c>
      <c r="G334" s="224">
        <v>3</v>
      </c>
      <c r="H334" s="221">
        <v>-5.7</v>
      </c>
    </row>
    <row r="335" spans="1:8" ht="15" thickBot="1" x14ac:dyDescent="0.35">
      <c r="A335" s="216" t="s">
        <v>339</v>
      </c>
      <c r="B335" s="215">
        <v>2</v>
      </c>
      <c r="C335" s="215">
        <v>-1</v>
      </c>
      <c r="D335" s="215">
        <v>0.6</v>
      </c>
      <c r="E335" s="215"/>
      <c r="F335" s="224">
        <v>6</v>
      </c>
      <c r="G335" s="224">
        <v>8</v>
      </c>
      <c r="H335" s="221">
        <v>-4.7</v>
      </c>
    </row>
    <row r="336" spans="1:8" ht="15" thickBot="1" x14ac:dyDescent="0.35">
      <c r="A336" s="216" t="s">
        <v>339</v>
      </c>
      <c r="B336" s="215">
        <v>0.4</v>
      </c>
      <c r="C336" s="215">
        <v>-1</v>
      </c>
      <c r="D336" s="215">
        <v>-0.4</v>
      </c>
      <c r="E336" s="215"/>
      <c r="F336" s="224">
        <v>6</v>
      </c>
      <c r="G336" s="224">
        <v>0</v>
      </c>
      <c r="H336" s="221">
        <v>-5.9</v>
      </c>
    </row>
    <row r="337" spans="1:8" ht="15" thickBot="1" x14ac:dyDescent="0.35">
      <c r="A337" s="216" t="s">
        <v>339</v>
      </c>
      <c r="B337" s="215">
        <v>5</v>
      </c>
      <c r="C337" s="215">
        <v>-1</v>
      </c>
      <c r="D337" s="215">
        <v>2.7</v>
      </c>
      <c r="E337" s="215"/>
      <c r="F337" s="224">
        <v>3</v>
      </c>
      <c r="G337" s="224">
        <v>7</v>
      </c>
      <c r="H337" s="221">
        <v>-0.4</v>
      </c>
    </row>
    <row r="338" spans="1:8" ht="15" thickBot="1" x14ac:dyDescent="0.35">
      <c r="A338" s="216" t="s">
        <v>340</v>
      </c>
      <c r="B338" s="215">
        <v>9</v>
      </c>
      <c r="C338" s="215">
        <v>1.7</v>
      </c>
      <c r="D338" s="215">
        <v>5.3</v>
      </c>
      <c r="E338" s="215"/>
      <c r="F338" s="224">
        <v>5</v>
      </c>
      <c r="G338" s="224">
        <v>0</v>
      </c>
      <c r="H338" s="221">
        <v>1.3</v>
      </c>
    </row>
    <row r="339" spans="1:8" ht="15" thickBot="1" x14ac:dyDescent="0.35">
      <c r="A339" s="216" t="s">
        <v>340</v>
      </c>
      <c r="B339" s="215">
        <v>11.4</v>
      </c>
      <c r="C339" s="215">
        <v>6</v>
      </c>
      <c r="D339" s="215">
        <v>8.9</v>
      </c>
      <c r="E339" s="215"/>
      <c r="F339" s="224">
        <v>6</v>
      </c>
      <c r="G339" s="224">
        <v>0</v>
      </c>
      <c r="H339" s="221">
        <v>4.7</v>
      </c>
    </row>
    <row r="340" spans="1:8" ht="15" thickBot="1" x14ac:dyDescent="0.35">
      <c r="A340" s="216" t="s">
        <v>340</v>
      </c>
      <c r="B340" s="215">
        <v>10</v>
      </c>
      <c r="C340" s="215">
        <v>-2</v>
      </c>
      <c r="D340" s="215">
        <v>4.4000000000000004</v>
      </c>
      <c r="E340" s="215"/>
      <c r="F340" s="224">
        <v>6</v>
      </c>
      <c r="G340" s="224">
        <v>0</v>
      </c>
      <c r="H340" s="221">
        <v>-0.7</v>
      </c>
    </row>
    <row r="341" spans="1:8" ht="15" thickBot="1" x14ac:dyDescent="0.35">
      <c r="A341" s="216" t="s">
        <v>340</v>
      </c>
      <c r="B341" s="215">
        <v>4</v>
      </c>
      <c r="C341" s="215">
        <v>-3</v>
      </c>
      <c r="D341" s="215">
        <v>-0.6</v>
      </c>
      <c r="E341" s="215"/>
      <c r="F341" s="224">
        <v>3</v>
      </c>
      <c r="G341" s="224">
        <v>0</v>
      </c>
      <c r="H341" s="221">
        <v>-4.3</v>
      </c>
    </row>
    <row r="342" spans="1:8" ht="15" thickBot="1" x14ac:dyDescent="0.35">
      <c r="A342" s="216" t="s">
        <v>340</v>
      </c>
      <c r="B342" s="215">
        <v>4.0999999999999996</v>
      </c>
      <c r="C342" s="215">
        <v>-3</v>
      </c>
      <c r="D342" s="215">
        <v>1.1000000000000001</v>
      </c>
      <c r="E342" s="215"/>
      <c r="F342" s="224">
        <v>5</v>
      </c>
      <c r="G342" s="224">
        <v>0</v>
      </c>
      <c r="H342" s="221">
        <v>-3.6</v>
      </c>
    </row>
    <row r="343" spans="1:8" ht="15" thickBot="1" x14ac:dyDescent="0.35">
      <c r="A343" s="216" t="s">
        <v>340</v>
      </c>
      <c r="B343" s="215">
        <v>7.5</v>
      </c>
      <c r="C343" s="215">
        <v>2</v>
      </c>
      <c r="D343" s="215">
        <v>6</v>
      </c>
      <c r="E343" s="215"/>
      <c r="F343" s="224">
        <v>7</v>
      </c>
      <c r="G343" s="224">
        <v>0</v>
      </c>
      <c r="H343" s="221">
        <v>0.7</v>
      </c>
    </row>
    <row r="344" spans="1:8" ht="15" thickBot="1" x14ac:dyDescent="0.35">
      <c r="A344" s="216" t="s">
        <v>340</v>
      </c>
      <c r="B344" s="215">
        <v>7</v>
      </c>
      <c r="C344" s="215">
        <v>5</v>
      </c>
      <c r="D344" s="215">
        <v>5.7</v>
      </c>
      <c r="E344" s="215"/>
      <c r="F344" s="224">
        <v>4</v>
      </c>
      <c r="G344" s="224">
        <v>12</v>
      </c>
      <c r="H344" s="221">
        <v>2.4</v>
      </c>
    </row>
    <row r="345" spans="1:8" ht="15" thickBot="1" x14ac:dyDescent="0.35">
      <c r="A345" s="216" t="s">
        <v>340</v>
      </c>
      <c r="B345" s="215">
        <v>9</v>
      </c>
      <c r="C345" s="215">
        <v>5.6</v>
      </c>
      <c r="D345" s="215">
        <v>7.1</v>
      </c>
      <c r="E345" s="215"/>
      <c r="F345" s="224">
        <v>4</v>
      </c>
      <c r="G345" s="224">
        <v>3</v>
      </c>
      <c r="H345" s="221">
        <v>4</v>
      </c>
    </row>
    <row r="346" spans="1:8" ht="15" thickBot="1" x14ac:dyDescent="0.35">
      <c r="A346" s="216" t="s">
        <v>340</v>
      </c>
      <c r="B346" s="215">
        <v>7.3</v>
      </c>
      <c r="C346" s="215">
        <v>5</v>
      </c>
      <c r="D346" s="215">
        <v>6</v>
      </c>
      <c r="E346" s="215"/>
      <c r="F346" s="224">
        <v>4</v>
      </c>
      <c r="G346" s="224">
        <v>3</v>
      </c>
      <c r="H346" s="221">
        <v>2.7</v>
      </c>
    </row>
    <row r="347" spans="1:8" ht="15" thickBot="1" x14ac:dyDescent="0.35">
      <c r="A347" s="216" t="s">
        <v>340</v>
      </c>
      <c r="B347" s="215">
        <v>5.2</v>
      </c>
      <c r="C347" s="215">
        <v>2</v>
      </c>
      <c r="D347" s="215">
        <v>4.4000000000000004</v>
      </c>
      <c r="E347" s="215"/>
      <c r="F347" s="224">
        <v>7</v>
      </c>
      <c r="G347" s="224">
        <v>17</v>
      </c>
      <c r="H347" s="221">
        <v>-1.1000000000000001</v>
      </c>
    </row>
    <row r="348" spans="1:8" ht="15" thickBot="1" x14ac:dyDescent="0.35">
      <c r="A348" s="216" t="s">
        <v>340</v>
      </c>
      <c r="B348" s="215">
        <v>1.6</v>
      </c>
      <c r="C348" s="215">
        <v>-3</v>
      </c>
      <c r="D348" s="215">
        <v>-0.8</v>
      </c>
      <c r="E348" s="215"/>
      <c r="F348" s="224">
        <v>4</v>
      </c>
      <c r="G348" s="224">
        <v>0</v>
      </c>
      <c r="H348" s="221">
        <v>-5.0999999999999996</v>
      </c>
    </row>
    <row r="349" spans="1:8" ht="15" thickBot="1" x14ac:dyDescent="0.35">
      <c r="A349" s="216" t="s">
        <v>340</v>
      </c>
      <c r="B349" s="215">
        <v>1.5</v>
      </c>
      <c r="C349" s="215">
        <v>-1.9</v>
      </c>
      <c r="D349" s="215">
        <v>0.4</v>
      </c>
      <c r="E349" s="215"/>
      <c r="F349" s="224">
        <v>5</v>
      </c>
      <c r="G349" s="224">
        <v>0</v>
      </c>
      <c r="H349" s="221">
        <v>-4.3</v>
      </c>
    </row>
    <row r="350" spans="1:8" ht="15" thickBot="1" x14ac:dyDescent="0.35">
      <c r="A350" s="216" t="s">
        <v>340</v>
      </c>
      <c r="B350" s="215">
        <v>7.2</v>
      </c>
      <c r="C350" s="215">
        <v>0.5</v>
      </c>
      <c r="D350" s="215">
        <v>5.0999999999999996</v>
      </c>
      <c r="E350" s="215"/>
      <c r="F350" s="224">
        <v>7</v>
      </c>
      <c r="G350" s="224">
        <v>9</v>
      </c>
      <c r="H350" s="221">
        <v>-0.3</v>
      </c>
    </row>
    <row r="351" spans="1:8" ht="15" thickBot="1" x14ac:dyDescent="0.35">
      <c r="A351" s="216" t="s">
        <v>340</v>
      </c>
      <c r="B351" s="215">
        <v>6.4</v>
      </c>
      <c r="C351" s="215">
        <v>2</v>
      </c>
      <c r="D351" s="215">
        <v>4.2</v>
      </c>
      <c r="E351" s="215"/>
      <c r="F351" s="224">
        <v>4</v>
      </c>
      <c r="G351" s="224">
        <v>1</v>
      </c>
      <c r="H351" s="221">
        <v>0.6</v>
      </c>
    </row>
    <row r="352" spans="1:8" ht="15" thickBot="1" x14ac:dyDescent="0.35">
      <c r="A352" s="216" t="s">
        <v>340</v>
      </c>
      <c r="B352" s="215">
        <v>4.4000000000000004</v>
      </c>
      <c r="C352" s="215">
        <v>2</v>
      </c>
      <c r="D352" s="215">
        <v>2.9</v>
      </c>
      <c r="E352" s="215"/>
      <c r="F352" s="224">
        <v>3</v>
      </c>
      <c r="G352" s="224">
        <v>0</v>
      </c>
      <c r="H352" s="221">
        <v>-0.3</v>
      </c>
    </row>
    <row r="353" spans="1:8" ht="15" thickBot="1" x14ac:dyDescent="0.35">
      <c r="A353" s="216" t="s">
        <v>340</v>
      </c>
      <c r="B353" s="215">
        <v>3</v>
      </c>
      <c r="C353" s="215">
        <v>0</v>
      </c>
      <c r="D353" s="215">
        <v>1.5</v>
      </c>
      <c r="E353" s="215"/>
      <c r="F353" s="224">
        <v>2</v>
      </c>
      <c r="G353" s="224">
        <v>0</v>
      </c>
      <c r="H353" s="221">
        <v>-1.2</v>
      </c>
    </row>
    <row r="354" spans="1:8" ht="15" thickBot="1" x14ac:dyDescent="0.35">
      <c r="A354" s="216" t="s">
        <v>340</v>
      </c>
      <c r="B354" s="215">
        <v>0.6</v>
      </c>
      <c r="C354" s="215">
        <v>-6</v>
      </c>
      <c r="D354" s="215">
        <v>-2.2000000000000002</v>
      </c>
      <c r="E354" s="215"/>
      <c r="F354" s="224">
        <v>4</v>
      </c>
      <c r="G354" s="224">
        <v>0</v>
      </c>
      <c r="H354" s="221">
        <v>-6.7</v>
      </c>
    </row>
    <row r="355" spans="1:8" ht="15" thickBot="1" x14ac:dyDescent="0.35">
      <c r="A355" s="216" t="s">
        <v>340</v>
      </c>
      <c r="B355" s="215">
        <v>-4.8</v>
      </c>
      <c r="C355" s="215">
        <v>-9</v>
      </c>
      <c r="D355" s="215">
        <v>-6.8</v>
      </c>
      <c r="E355" s="215"/>
      <c r="F355" s="224">
        <v>4</v>
      </c>
      <c r="G355" s="224">
        <v>0</v>
      </c>
      <c r="H355" s="221">
        <v>-11.8</v>
      </c>
    </row>
    <row r="356" spans="1:8" ht="15" thickBot="1" x14ac:dyDescent="0.35">
      <c r="A356" s="216" t="s">
        <v>340</v>
      </c>
      <c r="B356" s="215">
        <v>-4</v>
      </c>
      <c r="C356" s="215">
        <v>-10</v>
      </c>
      <c r="D356" s="215">
        <v>-7.4</v>
      </c>
      <c r="E356" s="215"/>
      <c r="F356" s="224">
        <v>3</v>
      </c>
      <c r="G356" s="224">
        <v>0</v>
      </c>
      <c r="H356" s="221">
        <v>-11.8</v>
      </c>
    </row>
    <row r="357" spans="1:8" ht="15" thickBot="1" x14ac:dyDescent="0.35">
      <c r="A357" s="216" t="s">
        <v>340</v>
      </c>
      <c r="B357" s="215">
        <v>-3</v>
      </c>
      <c r="C357" s="215">
        <v>-8.6999999999999993</v>
      </c>
      <c r="D357" s="215">
        <v>-5.7</v>
      </c>
      <c r="E357" s="215"/>
      <c r="F357" s="224">
        <v>5</v>
      </c>
      <c r="G357" s="224">
        <v>1</v>
      </c>
      <c r="H357" s="221">
        <v>-11.2</v>
      </c>
    </row>
    <row r="358" spans="1:8" ht="15" thickBot="1" x14ac:dyDescent="0.35">
      <c r="A358" s="216" t="s">
        <v>340</v>
      </c>
      <c r="B358" s="215">
        <v>-2</v>
      </c>
      <c r="C358" s="215">
        <v>-6</v>
      </c>
      <c r="D358" s="215">
        <v>-3.6</v>
      </c>
      <c r="E358" s="215"/>
      <c r="F358" s="224">
        <v>5</v>
      </c>
      <c r="G358" s="224">
        <v>10</v>
      </c>
      <c r="H358" s="221">
        <v>-8.8000000000000007</v>
      </c>
    </row>
    <row r="359" spans="1:8" ht="15" thickBot="1" x14ac:dyDescent="0.35">
      <c r="A359" s="216" t="s">
        <v>340</v>
      </c>
      <c r="B359" s="215">
        <v>-6</v>
      </c>
      <c r="C359" s="215">
        <v>-11</v>
      </c>
      <c r="D359" s="215">
        <v>-8.1999999999999993</v>
      </c>
      <c r="E359" s="215"/>
      <c r="F359" s="224">
        <v>8</v>
      </c>
      <c r="G359" s="224">
        <v>7</v>
      </c>
      <c r="H359" s="221">
        <v>-15.9</v>
      </c>
    </row>
    <row r="360" spans="1:8" ht="15" thickBot="1" x14ac:dyDescent="0.35">
      <c r="A360" s="216" t="s">
        <v>340</v>
      </c>
      <c r="B360" s="215">
        <v>-9</v>
      </c>
      <c r="C360" s="215">
        <v>-16</v>
      </c>
      <c r="D360" s="215">
        <v>-11.4</v>
      </c>
      <c r="E360" s="215"/>
      <c r="F360" s="224">
        <v>6</v>
      </c>
      <c r="G360" s="224">
        <v>1</v>
      </c>
      <c r="H360" s="221">
        <v>-18.100000000000001</v>
      </c>
    </row>
    <row r="361" spans="1:8" ht="15" thickBot="1" x14ac:dyDescent="0.35">
      <c r="A361" s="216" t="s">
        <v>340</v>
      </c>
      <c r="B361" s="215">
        <v>-6</v>
      </c>
      <c r="C361" s="215">
        <v>-14</v>
      </c>
      <c r="D361" s="215">
        <v>-10.1</v>
      </c>
      <c r="E361" s="215"/>
      <c r="F361" s="224">
        <v>6</v>
      </c>
      <c r="G361" s="224">
        <v>1</v>
      </c>
      <c r="H361" s="221">
        <v>-16.600000000000001</v>
      </c>
    </row>
    <row r="362" spans="1:8" ht="15" thickBot="1" x14ac:dyDescent="0.35">
      <c r="A362" s="216" t="s">
        <v>340</v>
      </c>
      <c r="B362" s="215">
        <v>2</v>
      </c>
      <c r="C362" s="215">
        <v>-9.9</v>
      </c>
      <c r="D362" s="215">
        <v>-1.3</v>
      </c>
      <c r="E362" s="215"/>
      <c r="F362" s="224">
        <v>4</v>
      </c>
      <c r="G362" s="224">
        <v>5</v>
      </c>
      <c r="H362" s="221">
        <v>-5.6</v>
      </c>
    </row>
    <row r="363" spans="1:8" ht="15" thickBot="1" x14ac:dyDescent="0.35">
      <c r="A363" s="216" t="s">
        <v>340</v>
      </c>
      <c r="B363" s="222">
        <v>2</v>
      </c>
      <c r="C363" s="222">
        <v>-4</v>
      </c>
      <c r="D363" s="222">
        <v>-0.4</v>
      </c>
      <c r="E363" s="222"/>
      <c r="F363" s="225">
        <v>5</v>
      </c>
      <c r="G363" s="225">
        <v>10</v>
      </c>
      <c r="H363" s="223">
        <v>-5.2</v>
      </c>
    </row>
    <row r="364" spans="1:8" ht="15" thickBot="1" x14ac:dyDescent="0.35">
      <c r="A364" s="216" t="s">
        <v>340</v>
      </c>
      <c r="B364" s="222">
        <v>3.3</v>
      </c>
      <c r="C364" s="222">
        <v>-3</v>
      </c>
      <c r="D364" s="222">
        <v>-0.4</v>
      </c>
      <c r="E364" s="222"/>
      <c r="F364" s="222">
        <v>6</v>
      </c>
      <c r="G364" s="222">
        <v>3</v>
      </c>
      <c r="H364" s="222">
        <v>-6</v>
      </c>
    </row>
    <row r="365" spans="1:8" ht="15" thickBot="1" x14ac:dyDescent="0.35">
      <c r="A365" s="216" t="s">
        <v>340</v>
      </c>
      <c r="B365" s="222">
        <v>1.5</v>
      </c>
      <c r="C365" s="222">
        <v>-3</v>
      </c>
      <c r="D365" s="222">
        <v>-0.6</v>
      </c>
      <c r="E365" s="222"/>
      <c r="F365" s="222">
        <v>3</v>
      </c>
      <c r="G365" s="222">
        <v>0</v>
      </c>
      <c r="H365" s="222">
        <v>-4.2</v>
      </c>
    </row>
    <row r="366" spans="1:8" ht="15" thickBot="1" x14ac:dyDescent="0.35">
      <c r="A366" s="216" t="s">
        <v>340</v>
      </c>
      <c r="B366" s="222">
        <v>-0.9</v>
      </c>
      <c r="C366" s="222">
        <v>-13</v>
      </c>
      <c r="D366" s="222">
        <v>-5.6</v>
      </c>
      <c r="E366" s="222"/>
      <c r="F366" s="222">
        <v>2</v>
      </c>
      <c r="G366" s="222">
        <v>0</v>
      </c>
      <c r="H366" s="222">
        <v>-9.1999999999999993</v>
      </c>
    </row>
    <row r="367" spans="1:8" ht="15" thickBot="1" x14ac:dyDescent="0.35">
      <c r="A367" s="216" t="s">
        <v>340</v>
      </c>
      <c r="B367" s="222">
        <v>-2.8</v>
      </c>
      <c r="C367" s="222">
        <v>-13</v>
      </c>
      <c r="D367" s="222">
        <v>-5.9</v>
      </c>
      <c r="E367" s="222"/>
      <c r="F367" s="222">
        <v>6</v>
      </c>
      <c r="G367" s="222">
        <v>0</v>
      </c>
      <c r="H367" s="222">
        <v>-12</v>
      </c>
    </row>
    <row r="368" spans="1:8" ht="15" thickBot="1" x14ac:dyDescent="0.35">
      <c r="A368" s="217"/>
      <c r="B368" s="222"/>
      <c r="C368" s="222"/>
      <c r="D368" s="222"/>
      <c r="E368" s="222"/>
      <c r="F368" s="222"/>
      <c r="G368" s="222"/>
      <c r="H368" s="222"/>
    </row>
    <row r="369" ht="15" thickTop="1" x14ac:dyDescent="0.3"/>
  </sheetData>
  <mergeCells count="2">
    <mergeCell ref="A1:A2"/>
    <mergeCell ref="G1:G2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6FAE5-E0A0-45AD-AD68-82A5648682C2}">
  <sheetPr>
    <tabColor theme="0" tint="-0.34998626667073579"/>
  </sheetPr>
  <dimension ref="A1:M9"/>
  <sheetViews>
    <sheetView zoomScale="70" zoomScaleNormal="70" workbookViewId="0">
      <selection activeCell="D12" sqref="D12"/>
    </sheetView>
  </sheetViews>
  <sheetFormatPr defaultRowHeight="14.4" x14ac:dyDescent="0.3"/>
  <cols>
    <col min="1" max="1" width="11.88671875" customWidth="1"/>
    <col min="2" max="2" width="20.5546875" customWidth="1"/>
    <col min="3" max="3" width="23.6640625" customWidth="1"/>
    <col min="4" max="4" width="30.33203125" customWidth="1"/>
    <col min="5" max="5" width="34.33203125" customWidth="1"/>
    <col min="6" max="6" width="24.5546875" customWidth="1"/>
    <col min="8" max="8" width="11.88671875" customWidth="1"/>
    <col min="9" max="9" width="20.5546875" customWidth="1"/>
    <col min="10" max="10" width="23.6640625" customWidth="1"/>
    <col min="11" max="11" width="30.33203125" customWidth="1"/>
    <col min="12" max="12" width="34.33203125" customWidth="1"/>
    <col min="13" max="13" width="24.5546875" customWidth="1"/>
  </cols>
  <sheetData>
    <row r="1" spans="1:13" ht="23.4" thickBot="1" x14ac:dyDescent="0.35">
      <c r="A1" s="206" t="s">
        <v>262</v>
      </c>
      <c r="B1" s="207" t="s">
        <v>263</v>
      </c>
      <c r="C1" s="207" t="s">
        <v>264</v>
      </c>
      <c r="D1" s="207" t="s">
        <v>265</v>
      </c>
      <c r="E1" s="207" t="s">
        <v>266</v>
      </c>
      <c r="F1" s="207" t="s">
        <v>267</v>
      </c>
      <c r="H1" s="206" t="s">
        <v>262</v>
      </c>
      <c r="I1" s="207" t="s">
        <v>263</v>
      </c>
      <c r="J1" s="207" t="s">
        <v>264</v>
      </c>
      <c r="K1" s="207" t="s">
        <v>265</v>
      </c>
      <c r="L1" s="207" t="s">
        <v>266</v>
      </c>
      <c r="M1" s="207" t="s">
        <v>267</v>
      </c>
    </row>
    <row r="2" spans="1:13" ht="48.6" thickBot="1" x14ac:dyDescent="0.35">
      <c r="A2" s="209">
        <v>2</v>
      </c>
      <c r="B2" s="210" t="s">
        <v>312</v>
      </c>
      <c r="C2" s="210" t="s">
        <v>268</v>
      </c>
      <c r="D2" s="211" t="s">
        <v>308</v>
      </c>
      <c r="E2" s="211" t="s">
        <v>307</v>
      </c>
      <c r="F2" s="211" t="s">
        <v>269</v>
      </c>
      <c r="H2" s="210">
        <v>2</v>
      </c>
      <c r="I2" s="211" t="s">
        <v>303</v>
      </c>
      <c r="J2" s="211" t="s">
        <v>282</v>
      </c>
      <c r="K2" s="211" t="s">
        <v>283</v>
      </c>
      <c r="L2" s="211" t="s">
        <v>284</v>
      </c>
      <c r="M2" s="211" t="s">
        <v>46</v>
      </c>
    </row>
    <row r="3" spans="1:13" ht="96.6" thickBot="1" x14ac:dyDescent="0.35">
      <c r="A3" s="209">
        <v>3</v>
      </c>
      <c r="B3" s="210" t="s">
        <v>313</v>
      </c>
      <c r="C3" s="210" t="s">
        <v>270</v>
      </c>
      <c r="D3" s="211" t="s">
        <v>309</v>
      </c>
      <c r="E3" s="211" t="s">
        <v>271</v>
      </c>
      <c r="F3" s="211" t="s">
        <v>272</v>
      </c>
      <c r="H3" s="210">
        <v>3</v>
      </c>
      <c r="I3" s="211" t="s">
        <v>302</v>
      </c>
      <c r="J3" s="211" t="s">
        <v>281</v>
      </c>
      <c r="K3" s="211" t="s">
        <v>285</v>
      </c>
      <c r="L3" s="211" t="s">
        <v>286</v>
      </c>
      <c r="M3" s="211" t="s">
        <v>287</v>
      </c>
    </row>
    <row r="4" spans="1:13" ht="60.6" thickBot="1" x14ac:dyDescent="0.35">
      <c r="A4" s="209">
        <v>4</v>
      </c>
      <c r="B4" s="209" t="s">
        <v>314</v>
      </c>
      <c r="C4" s="209" t="s">
        <v>273</v>
      </c>
      <c r="D4" s="208" t="s">
        <v>274</v>
      </c>
      <c r="E4" s="208" t="s">
        <v>275</v>
      </c>
      <c r="F4" s="208" t="s">
        <v>46</v>
      </c>
      <c r="H4" s="209">
        <v>4</v>
      </c>
      <c r="I4" s="211" t="s">
        <v>301</v>
      </c>
      <c r="J4" s="211" t="s">
        <v>288</v>
      </c>
      <c r="K4" s="211" t="s">
        <v>289</v>
      </c>
      <c r="L4" s="211" t="s">
        <v>290</v>
      </c>
      <c r="M4" s="211" t="s">
        <v>46</v>
      </c>
    </row>
    <row r="5" spans="1:13" ht="96.6" thickBot="1" x14ac:dyDescent="0.35">
      <c r="A5" s="209">
        <v>5</v>
      </c>
      <c r="B5" s="211" t="s">
        <v>315</v>
      </c>
      <c r="C5" s="211" t="s">
        <v>268</v>
      </c>
      <c r="D5" s="211" t="s">
        <v>310</v>
      </c>
      <c r="E5" s="211" t="s">
        <v>46</v>
      </c>
      <c r="F5" s="211" t="s">
        <v>269</v>
      </c>
      <c r="H5" s="209">
        <v>5</v>
      </c>
      <c r="I5" s="211" t="s">
        <v>300</v>
      </c>
      <c r="J5" s="211" t="s">
        <v>291</v>
      </c>
      <c r="K5" s="211" t="s">
        <v>292</v>
      </c>
      <c r="L5" s="211" t="s">
        <v>293</v>
      </c>
      <c r="M5" s="211" t="s">
        <v>46</v>
      </c>
    </row>
    <row r="6" spans="1:13" ht="84.6" thickBot="1" x14ac:dyDescent="0.35">
      <c r="A6" s="209">
        <v>6</v>
      </c>
      <c r="B6" s="211" t="s">
        <v>316</v>
      </c>
      <c r="C6" s="211" t="s">
        <v>270</v>
      </c>
      <c r="D6" s="211" t="s">
        <v>276</v>
      </c>
      <c r="E6" s="211" t="s">
        <v>46</v>
      </c>
      <c r="F6" s="211" t="s">
        <v>278</v>
      </c>
      <c r="H6" s="209">
        <v>6</v>
      </c>
      <c r="I6" s="211" t="s">
        <v>299</v>
      </c>
      <c r="J6" s="211" t="s">
        <v>281</v>
      </c>
      <c r="K6" s="211" t="s">
        <v>294</v>
      </c>
      <c r="L6" s="211" t="s">
        <v>293</v>
      </c>
      <c r="M6" s="211" t="s">
        <v>46</v>
      </c>
    </row>
    <row r="7" spans="1:13" ht="120.6" thickBot="1" x14ac:dyDescent="0.35">
      <c r="A7" s="209">
        <v>7</v>
      </c>
      <c r="B7" s="211" t="s">
        <v>317</v>
      </c>
      <c r="C7" s="210" t="s">
        <v>277</v>
      </c>
      <c r="D7" s="212" t="s">
        <v>279</v>
      </c>
      <c r="E7" s="211" t="s">
        <v>271</v>
      </c>
      <c r="F7" s="211" t="s">
        <v>306</v>
      </c>
      <c r="H7" s="209">
        <v>7</v>
      </c>
      <c r="I7" s="211" t="s">
        <v>298</v>
      </c>
      <c r="J7" s="211" t="s">
        <v>288</v>
      </c>
      <c r="K7" s="211" t="s">
        <v>295</v>
      </c>
      <c r="L7" s="211" t="s">
        <v>46</v>
      </c>
      <c r="M7" s="211" t="s">
        <v>296</v>
      </c>
    </row>
    <row r="8" spans="1:13" ht="72.599999999999994" thickBot="1" x14ac:dyDescent="0.35">
      <c r="A8" s="209">
        <v>8</v>
      </c>
      <c r="B8" s="210" t="s">
        <v>280</v>
      </c>
      <c r="C8" s="211" t="s">
        <v>273</v>
      </c>
      <c r="D8" s="212" t="s">
        <v>311</v>
      </c>
      <c r="E8" s="211" t="s">
        <v>46</v>
      </c>
      <c r="F8" s="211" t="s">
        <v>46</v>
      </c>
      <c r="H8" s="209">
        <v>8</v>
      </c>
      <c r="I8" s="210" t="s">
        <v>297</v>
      </c>
      <c r="J8" s="211" t="s">
        <v>282</v>
      </c>
      <c r="K8" s="212" t="s">
        <v>304</v>
      </c>
      <c r="L8" s="211" t="s">
        <v>305</v>
      </c>
      <c r="M8" s="211" t="s">
        <v>293</v>
      </c>
    </row>
    <row r="9" spans="1:13" ht="96.6" thickBot="1" x14ac:dyDescent="0.35">
      <c r="A9" s="209">
        <v>8</v>
      </c>
      <c r="B9" s="210" t="s">
        <v>463</v>
      </c>
      <c r="C9" s="211" t="s">
        <v>464</v>
      </c>
      <c r="D9" s="212" t="s">
        <v>465</v>
      </c>
      <c r="E9" s="211" t="s">
        <v>461</v>
      </c>
      <c r="F9" s="211" t="s">
        <v>462</v>
      </c>
      <c r="H9" s="209">
        <v>8</v>
      </c>
      <c r="I9" s="210" t="s">
        <v>458</v>
      </c>
      <c r="J9" s="211" t="s">
        <v>282</v>
      </c>
      <c r="K9" s="212" t="s">
        <v>459</v>
      </c>
      <c r="L9" s="211" t="s">
        <v>460</v>
      </c>
      <c r="M9" s="211" t="s">
        <v>293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DB</vt:lpstr>
      <vt:lpstr>Масса ОВ</vt:lpstr>
      <vt:lpstr>Расчет</vt:lpstr>
      <vt:lpstr>FN_FG</vt:lpstr>
      <vt:lpstr>Масса исп.</vt:lpstr>
      <vt:lpstr>Сценарии</vt:lpstr>
      <vt:lpstr>Частоты аварий</vt:lpstr>
      <vt:lpstr>дБR, ppm</vt:lpstr>
      <vt:lpstr>Погода 2023 (Казань)</vt:lpstr>
      <vt:lpstr>Статистика аварий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2024-05-08T06:23:17Z</cp:lastPrinted>
  <dcterms:created xsi:type="dcterms:W3CDTF">2023-05-30T04:30:41Z</dcterms:created>
  <dcterms:modified xsi:type="dcterms:W3CDTF">2025-04-08T03:01:32Z</dcterms:modified>
</cp:coreProperties>
</file>