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3A8D4D6A-1061-4B2A-A158-2C2E65C56777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3" i="40" l="1"/>
  <c r="AU243" i="40" s="1"/>
  <c r="L242" i="40"/>
  <c r="AS247" i="40"/>
  <c r="AN247" i="40"/>
  <c r="AM247" i="40"/>
  <c r="AL247" i="40"/>
  <c r="O247" i="40"/>
  <c r="M247" i="40"/>
  <c r="I247" i="40"/>
  <c r="H247" i="40"/>
  <c r="B247" i="40"/>
  <c r="N247" i="40" s="1"/>
  <c r="AS246" i="40"/>
  <c r="AN246" i="40"/>
  <c r="AM246" i="40"/>
  <c r="AL246" i="40"/>
  <c r="O246" i="40"/>
  <c r="M246" i="40"/>
  <c r="I246" i="40"/>
  <c r="H246" i="40"/>
  <c r="B246" i="40"/>
  <c r="N246" i="40" s="1"/>
  <c r="AS245" i="40"/>
  <c r="AN245" i="40"/>
  <c r="AM245" i="40"/>
  <c r="AL245" i="40"/>
  <c r="O245" i="40"/>
  <c r="M245" i="40"/>
  <c r="I245" i="40"/>
  <c r="H245" i="40"/>
  <c r="B245" i="40"/>
  <c r="N245" i="40" s="1"/>
  <c r="AS244" i="40"/>
  <c r="AN244" i="40"/>
  <c r="AM244" i="40"/>
  <c r="AL244" i="40"/>
  <c r="O244" i="40"/>
  <c r="M244" i="40"/>
  <c r="I244" i="40"/>
  <c r="H244" i="40"/>
  <c r="B244" i="40"/>
  <c r="N244" i="40" s="1"/>
  <c r="AS243" i="40"/>
  <c r="AN243" i="40"/>
  <c r="AM243" i="40"/>
  <c r="AL243" i="40"/>
  <c r="O243" i="40"/>
  <c r="M243" i="40"/>
  <c r="I243" i="40"/>
  <c r="H243" i="40"/>
  <c r="B243" i="40"/>
  <c r="N243" i="40" s="1"/>
  <c r="AS242" i="40"/>
  <c r="AQ242" i="40"/>
  <c r="AR242" i="40" s="1"/>
  <c r="O242" i="40"/>
  <c r="N242" i="40"/>
  <c r="M242" i="40"/>
  <c r="J242" i="40"/>
  <c r="AU242" i="40" s="1"/>
  <c r="H242" i="40"/>
  <c r="AW242" i="40" s="1"/>
  <c r="AZ242" i="40" s="1"/>
  <c r="AS257" i="2"/>
  <c r="AN257" i="2"/>
  <c r="AM257" i="2"/>
  <c r="AL257" i="2"/>
  <c r="O257" i="2"/>
  <c r="N257" i="2"/>
  <c r="M257" i="2"/>
  <c r="I257" i="2"/>
  <c r="AQ257" i="2" s="1"/>
  <c r="F257" i="2"/>
  <c r="H257" i="2" s="1"/>
  <c r="E257" i="2"/>
  <c r="B257" i="2"/>
  <c r="AS256" i="2"/>
  <c r="AN256" i="2"/>
  <c r="AM256" i="2"/>
  <c r="AQ256" i="2" s="1"/>
  <c r="AL256" i="2"/>
  <c r="O256" i="2"/>
  <c r="N256" i="2"/>
  <c r="M256" i="2"/>
  <c r="J256" i="2"/>
  <c r="AU256" i="2" s="1"/>
  <c r="I256" i="2"/>
  <c r="F256" i="2"/>
  <c r="E256" i="2"/>
  <c r="H256" i="2" s="1"/>
  <c r="B256" i="2"/>
  <c r="AS255" i="2"/>
  <c r="AN255" i="2"/>
  <c r="AM255" i="2"/>
  <c r="AL255" i="2"/>
  <c r="O255" i="2"/>
  <c r="N255" i="2"/>
  <c r="M255" i="2"/>
  <c r="I255" i="2"/>
  <c r="J255" i="2" s="1"/>
  <c r="AU255" i="2" s="1"/>
  <c r="F255" i="2"/>
  <c r="H255" i="2" s="1"/>
  <c r="B255" i="2"/>
  <c r="AU254" i="2"/>
  <c r="AS254" i="2"/>
  <c r="AN254" i="2"/>
  <c r="AM254" i="2"/>
  <c r="AQ254" i="2" s="1"/>
  <c r="AL254" i="2"/>
  <c r="O254" i="2"/>
  <c r="M254" i="2"/>
  <c r="I254" i="2"/>
  <c r="F254" i="2"/>
  <c r="E254" i="2"/>
  <c r="H254" i="2" s="1"/>
  <c r="B254" i="2"/>
  <c r="N254" i="2" s="1"/>
  <c r="AU253" i="2"/>
  <c r="AS253" i="2"/>
  <c r="AN253" i="2"/>
  <c r="AM253" i="2"/>
  <c r="AL253" i="2"/>
  <c r="O253" i="2"/>
  <c r="M253" i="2"/>
  <c r="J253" i="2"/>
  <c r="I253" i="2"/>
  <c r="AQ253" i="2" s="1"/>
  <c r="F253" i="2"/>
  <c r="E253" i="2"/>
  <c r="H253" i="2" s="1"/>
  <c r="B253" i="2"/>
  <c r="N253" i="2" s="1"/>
  <c r="AT252" i="2"/>
  <c r="AS252" i="2"/>
  <c r="AR252" i="2"/>
  <c r="AQ252" i="2"/>
  <c r="O252" i="2"/>
  <c r="N252" i="2"/>
  <c r="M252" i="2"/>
  <c r="J252" i="2"/>
  <c r="AU252" i="2" s="1"/>
  <c r="AV252" i="2" s="1"/>
  <c r="H252" i="2"/>
  <c r="AW252" i="2" s="1"/>
  <c r="AZ252" i="2" s="1"/>
  <c r="AQ245" i="40" l="1"/>
  <c r="AT242" i="40"/>
  <c r="AV242" i="40" s="1"/>
  <c r="AY242" i="40" s="1"/>
  <c r="AQ243" i="40"/>
  <c r="AU244" i="40"/>
  <c r="J246" i="40"/>
  <c r="AU246" i="40" s="1"/>
  <c r="AQ247" i="40"/>
  <c r="AQ244" i="40"/>
  <c r="AR244" i="40" s="1"/>
  <c r="AQ246" i="40"/>
  <c r="AX245" i="40"/>
  <c r="BA245" i="40" s="1"/>
  <c r="AW245" i="40"/>
  <c r="AZ245" i="40" s="1"/>
  <c r="AR245" i="40"/>
  <c r="AT245" i="40" s="1"/>
  <c r="AR247" i="40"/>
  <c r="AT247" i="40"/>
  <c r="AX243" i="40"/>
  <c r="BA243" i="40" s="1"/>
  <c r="AW243" i="40"/>
  <c r="AZ243" i="40" s="1"/>
  <c r="AW244" i="40"/>
  <c r="AZ244" i="40" s="1"/>
  <c r="AX244" i="40"/>
  <c r="BA244" i="40" s="1"/>
  <c r="AX246" i="40"/>
  <c r="BA246" i="40" s="1"/>
  <c r="AW246" i="40"/>
  <c r="AZ246" i="40" s="1"/>
  <c r="AR246" i="40"/>
  <c r="AT246" i="40"/>
  <c r="AV246" i="40" s="1"/>
  <c r="AY246" i="40" s="1"/>
  <c r="AW247" i="40"/>
  <c r="AZ247" i="40" s="1"/>
  <c r="AX247" i="40"/>
  <c r="BA247" i="40" s="1"/>
  <c r="J245" i="40"/>
  <c r="AU245" i="40" s="1"/>
  <c r="AU247" i="40"/>
  <c r="AX242" i="40"/>
  <c r="BA242" i="40" s="1"/>
  <c r="AX253" i="2"/>
  <c r="BA253" i="2" s="1"/>
  <c r="AW253" i="2"/>
  <c r="AZ253" i="2" s="1"/>
  <c r="AX254" i="2"/>
  <c r="BA254" i="2" s="1"/>
  <c r="AW254" i="2"/>
  <c r="AZ254" i="2" s="1"/>
  <c r="AT257" i="2"/>
  <c r="AR257" i="2"/>
  <c r="AX256" i="2"/>
  <c r="BA256" i="2" s="1"/>
  <c r="AW256" i="2"/>
  <c r="AZ256" i="2" s="1"/>
  <c r="AR256" i="2"/>
  <c r="AT256" i="2" s="1"/>
  <c r="AV256" i="2" s="1"/>
  <c r="AY256" i="2" s="1"/>
  <c r="AX255" i="2"/>
  <c r="BA255" i="2" s="1"/>
  <c r="AW255" i="2"/>
  <c r="AZ255" i="2" s="1"/>
  <c r="AT253" i="2"/>
  <c r="AV253" i="2" s="1"/>
  <c r="AY253" i="2" s="1"/>
  <c r="AR253" i="2"/>
  <c r="AR254" i="2"/>
  <c r="AT254" i="2"/>
  <c r="AV254" i="2" s="1"/>
  <c r="AY254" i="2" s="1"/>
  <c r="AW257" i="2"/>
  <c r="AZ257" i="2" s="1"/>
  <c r="AX257" i="2"/>
  <c r="BA257" i="2" s="1"/>
  <c r="AQ255" i="2"/>
  <c r="AY252" i="2"/>
  <c r="AU257" i="2"/>
  <c r="AV257" i="2" s="1"/>
  <c r="AY257" i="2" s="1"/>
  <c r="AX252" i="2"/>
  <c r="BA252" i="2" s="1"/>
  <c r="AR243" i="40" l="1"/>
  <c r="AT243" i="40" s="1"/>
  <c r="AV243" i="40" s="1"/>
  <c r="AY243" i="40" s="1"/>
  <c r="AT244" i="40"/>
  <c r="AV244" i="40" s="1"/>
  <c r="AY244" i="40" s="1"/>
  <c r="AV247" i="40"/>
  <c r="AY247" i="40" s="1"/>
  <c r="AV245" i="40"/>
  <c r="AY245" i="40" s="1"/>
  <c r="AR255" i="2"/>
  <c r="AT255" i="2" s="1"/>
  <c r="AV255" i="2" s="1"/>
  <c r="AY255" i="2" s="1"/>
  <c r="J63" i="40" l="1"/>
  <c r="J66" i="40" s="1"/>
  <c r="AU67" i="40" s="1"/>
  <c r="J53" i="40"/>
  <c r="J23" i="40"/>
  <c r="J13" i="40"/>
  <c r="J3" i="40"/>
  <c r="L1" i="40"/>
  <c r="J163" i="40" s="1"/>
  <c r="AU166" i="40" s="1"/>
  <c r="AS170" i="40"/>
  <c r="AM170" i="40"/>
  <c r="AL170" i="40"/>
  <c r="M170" i="40"/>
  <c r="I170" i="40"/>
  <c r="H170" i="40"/>
  <c r="AW170" i="40" s="1"/>
  <c r="AZ170" i="40" s="1"/>
  <c r="B170" i="40"/>
  <c r="AS169" i="40"/>
  <c r="AN169" i="40"/>
  <c r="AM169" i="40"/>
  <c r="AL169" i="40"/>
  <c r="O169" i="40"/>
  <c r="M169" i="40"/>
  <c r="I169" i="40"/>
  <c r="B169" i="40"/>
  <c r="N169" i="40" s="1"/>
  <c r="AS168" i="40"/>
  <c r="AN168" i="40"/>
  <c r="AM168" i="40"/>
  <c r="AL168" i="40"/>
  <c r="O168" i="40"/>
  <c r="M168" i="40"/>
  <c r="B168" i="40"/>
  <c r="N168" i="40" s="1"/>
  <c r="AS167" i="40"/>
  <c r="AM167" i="40"/>
  <c r="AL167" i="40"/>
  <c r="O167" i="40"/>
  <c r="N167" i="40"/>
  <c r="M167" i="40"/>
  <c r="B167" i="40"/>
  <c r="AS166" i="40"/>
  <c r="AN166" i="40"/>
  <c r="AN167" i="40" s="1"/>
  <c r="AM166" i="40"/>
  <c r="AL166" i="40"/>
  <c r="O166" i="40"/>
  <c r="M166" i="40"/>
  <c r="I166" i="40"/>
  <c r="E166" i="40"/>
  <c r="E167" i="40" s="1"/>
  <c r="B166" i="40"/>
  <c r="N166" i="40" s="1"/>
  <c r="AS165" i="40"/>
  <c r="AN165" i="40"/>
  <c r="AL165" i="40"/>
  <c r="O165" i="40"/>
  <c r="N165" i="40"/>
  <c r="M165" i="40"/>
  <c r="I165" i="40"/>
  <c r="I167" i="40" s="1"/>
  <c r="J167" i="40" s="1"/>
  <c r="B165" i="40"/>
  <c r="AU164" i="40"/>
  <c r="AS164" i="40"/>
  <c r="AN164" i="40"/>
  <c r="AM164" i="40"/>
  <c r="AL164" i="40"/>
  <c r="O164" i="40"/>
  <c r="M164" i="40"/>
  <c r="I164" i="40"/>
  <c r="E164" i="40"/>
  <c r="H164" i="40" s="1"/>
  <c r="B164" i="40"/>
  <c r="N164" i="40" s="1"/>
  <c r="AS163" i="40"/>
  <c r="AN163" i="40"/>
  <c r="AM163" i="40"/>
  <c r="AM165" i="40" s="1"/>
  <c r="AQ165" i="40" s="1"/>
  <c r="AL163" i="40"/>
  <c r="O163" i="40"/>
  <c r="M163" i="40"/>
  <c r="I163" i="40"/>
  <c r="F163" i="40"/>
  <c r="F164" i="40" s="1"/>
  <c r="F165" i="40" s="1"/>
  <c r="E163" i="40"/>
  <c r="H163" i="40" s="1"/>
  <c r="AW163" i="40" s="1"/>
  <c r="AZ163" i="40" s="1"/>
  <c r="B163" i="40"/>
  <c r="N163" i="40" s="1"/>
  <c r="AS162" i="40"/>
  <c r="AQ162" i="40"/>
  <c r="AR162" i="40" s="1"/>
  <c r="O162" i="40"/>
  <c r="N162" i="40"/>
  <c r="M162" i="40"/>
  <c r="J162" i="40"/>
  <c r="AU162" i="40" s="1"/>
  <c r="H162" i="40"/>
  <c r="V166" i="24"/>
  <c r="U171" i="24"/>
  <c r="X213" i="24"/>
  <c r="E111" i="24"/>
  <c r="AU97" i="2"/>
  <c r="AU96" i="2"/>
  <c r="AU95" i="2"/>
  <c r="AU94" i="2"/>
  <c r="AU93" i="2"/>
  <c r="AU92" i="2"/>
  <c r="AU83" i="2"/>
  <c r="E197" i="40"/>
  <c r="E196" i="40"/>
  <c r="E194" i="40"/>
  <c r="E193" i="40"/>
  <c r="J233" i="40"/>
  <c r="AU234" i="40" s="1"/>
  <c r="AS237" i="40"/>
  <c r="AN237" i="40"/>
  <c r="AM237" i="40"/>
  <c r="AL237" i="40"/>
  <c r="O237" i="40"/>
  <c r="M237" i="40"/>
  <c r="I237" i="40"/>
  <c r="F237" i="40"/>
  <c r="E237" i="40"/>
  <c r="B237" i="40"/>
  <c r="N237" i="40" s="1"/>
  <c r="AS236" i="40"/>
  <c r="AN236" i="40"/>
  <c r="AM236" i="40"/>
  <c r="AL236" i="40"/>
  <c r="O236" i="40"/>
  <c r="M236" i="40"/>
  <c r="I236" i="40"/>
  <c r="F236" i="40"/>
  <c r="E236" i="40"/>
  <c r="B236" i="40"/>
  <c r="N236" i="40" s="1"/>
  <c r="AS235" i="40"/>
  <c r="AN235" i="40"/>
  <c r="AM235" i="40"/>
  <c r="AL235" i="40"/>
  <c r="O235" i="40"/>
  <c r="M235" i="40"/>
  <c r="I235" i="40"/>
  <c r="J235" i="40" s="1"/>
  <c r="AU235" i="40" s="1"/>
  <c r="F235" i="40"/>
  <c r="H235" i="40" s="1"/>
  <c r="B235" i="40"/>
  <c r="N235" i="40" s="1"/>
  <c r="AS234" i="40"/>
  <c r="AN234" i="40"/>
  <c r="AM234" i="40"/>
  <c r="AL234" i="40"/>
  <c r="O234" i="40"/>
  <c r="M234" i="40"/>
  <c r="I234" i="40"/>
  <c r="F234" i="40"/>
  <c r="E234" i="40"/>
  <c r="H234" i="40" s="1"/>
  <c r="B234" i="40"/>
  <c r="N234" i="40" s="1"/>
  <c r="AS233" i="40"/>
  <c r="AN233" i="40"/>
  <c r="AM233" i="40"/>
  <c r="AL233" i="40"/>
  <c r="O233" i="40"/>
  <c r="M233" i="40"/>
  <c r="I233" i="40"/>
  <c r="F233" i="40"/>
  <c r="E233" i="40"/>
  <c r="B233" i="40"/>
  <c r="N233" i="40" s="1"/>
  <c r="AS232" i="40"/>
  <c r="AQ232" i="40"/>
  <c r="AR232" i="40" s="1"/>
  <c r="O232" i="40"/>
  <c r="N232" i="40"/>
  <c r="M232" i="40"/>
  <c r="J232" i="40"/>
  <c r="AU232" i="40" s="1"/>
  <c r="H232" i="40"/>
  <c r="AW232" i="40" s="1"/>
  <c r="AZ232" i="40" s="1"/>
  <c r="E147" i="40"/>
  <c r="E146" i="40"/>
  <c r="E144" i="40"/>
  <c r="E143" i="40"/>
  <c r="F222" i="40"/>
  <c r="F229" i="40" s="1"/>
  <c r="AS229" i="40"/>
  <c r="AN229" i="40"/>
  <c r="AM229" i="40"/>
  <c r="AL229" i="40"/>
  <c r="O229" i="40"/>
  <c r="M229" i="40"/>
  <c r="I229" i="40"/>
  <c r="E229" i="40"/>
  <c r="B229" i="40"/>
  <c r="N229" i="40" s="1"/>
  <c r="AS228" i="40"/>
  <c r="AN228" i="40"/>
  <c r="AM228" i="40"/>
  <c r="AL228" i="40"/>
  <c r="O228" i="40"/>
  <c r="M228" i="40"/>
  <c r="I228" i="40"/>
  <c r="F228" i="40"/>
  <c r="E228" i="40"/>
  <c r="B228" i="40"/>
  <c r="N228" i="40" s="1"/>
  <c r="AS227" i="40"/>
  <c r="AM227" i="40"/>
  <c r="AL227" i="40"/>
  <c r="O227" i="40"/>
  <c r="M227" i="40"/>
  <c r="E227" i="40"/>
  <c r="B227" i="40"/>
  <c r="N227" i="40" s="1"/>
  <c r="AS226" i="40"/>
  <c r="AN226" i="40"/>
  <c r="AN227" i="40" s="1"/>
  <c r="AM226" i="40"/>
  <c r="AL226" i="40"/>
  <c r="O226" i="40"/>
  <c r="M226" i="40"/>
  <c r="I226" i="40"/>
  <c r="B226" i="40"/>
  <c r="N226" i="40" s="1"/>
  <c r="AS225" i="40"/>
  <c r="AN225" i="40"/>
  <c r="AM225" i="40"/>
  <c r="AL225" i="40"/>
  <c r="O225" i="40"/>
  <c r="M225" i="40"/>
  <c r="I225" i="40"/>
  <c r="E225" i="40"/>
  <c r="B225" i="40"/>
  <c r="N225" i="40" s="1"/>
  <c r="AS224" i="40"/>
  <c r="AN224" i="40"/>
  <c r="AM224" i="40"/>
  <c r="AL224" i="40"/>
  <c r="O224" i="40"/>
  <c r="M224" i="40"/>
  <c r="J224" i="40"/>
  <c r="J228" i="40" s="1"/>
  <c r="I224" i="40"/>
  <c r="E224" i="40"/>
  <c r="B224" i="40"/>
  <c r="N224" i="40" s="1"/>
  <c r="AS223" i="40"/>
  <c r="AN223" i="40"/>
  <c r="AM223" i="40"/>
  <c r="AL223" i="40"/>
  <c r="O223" i="40"/>
  <c r="M223" i="40"/>
  <c r="J223" i="40"/>
  <c r="I223" i="40"/>
  <c r="E223" i="40"/>
  <c r="B223" i="40"/>
  <c r="N223" i="40" s="1"/>
  <c r="AS222" i="40"/>
  <c r="AQ222" i="40"/>
  <c r="AR222" i="40" s="1"/>
  <c r="O222" i="40"/>
  <c r="N222" i="40"/>
  <c r="M222" i="40"/>
  <c r="J222" i="40"/>
  <c r="AU224" i="40" s="1"/>
  <c r="I189" i="40"/>
  <c r="I188" i="40"/>
  <c r="I186" i="40"/>
  <c r="J186" i="40" s="1"/>
  <c r="AU186" i="40" s="1"/>
  <c r="I185" i="40"/>
  <c r="J184" i="40"/>
  <c r="J188" i="40" s="1"/>
  <c r="AU188" i="40" s="1"/>
  <c r="I184" i="40"/>
  <c r="J183" i="40"/>
  <c r="AU183" i="40" s="1"/>
  <c r="I183" i="40"/>
  <c r="J182" i="40"/>
  <c r="AU182" i="40" s="1"/>
  <c r="AS249" i="2"/>
  <c r="AQ249" i="2"/>
  <c r="AR249" i="2" s="1"/>
  <c r="AT249" i="2" s="1"/>
  <c r="AN249" i="2"/>
  <c r="AM249" i="2"/>
  <c r="AL249" i="2"/>
  <c r="O249" i="2"/>
  <c r="N249" i="2"/>
  <c r="M249" i="2"/>
  <c r="I249" i="2"/>
  <c r="F249" i="2"/>
  <c r="H249" i="2" s="1"/>
  <c r="E249" i="2"/>
  <c r="B249" i="2"/>
  <c r="AS248" i="2"/>
  <c r="AN248" i="2"/>
  <c r="AM248" i="2"/>
  <c r="AQ248" i="2" s="1"/>
  <c r="AL248" i="2"/>
  <c r="O248" i="2"/>
  <c r="N248" i="2"/>
  <c r="M248" i="2"/>
  <c r="J248" i="2"/>
  <c r="AU248" i="2" s="1"/>
  <c r="I248" i="2"/>
  <c r="F248" i="2"/>
  <c r="E248" i="2"/>
  <c r="H248" i="2" s="1"/>
  <c r="B248" i="2"/>
  <c r="AU247" i="2"/>
  <c r="AS247" i="2"/>
  <c r="AM247" i="2"/>
  <c r="AL247" i="2"/>
  <c r="O247" i="2"/>
  <c r="M247" i="2"/>
  <c r="J247" i="2"/>
  <c r="I247" i="2"/>
  <c r="AQ247" i="2" s="1"/>
  <c r="F247" i="2"/>
  <c r="E247" i="2"/>
  <c r="H247" i="2" s="1"/>
  <c r="B247" i="2"/>
  <c r="N247" i="2" s="1"/>
  <c r="AS246" i="2"/>
  <c r="AN246" i="2"/>
  <c r="AN247" i="2" s="1"/>
  <c r="AM246" i="2"/>
  <c r="AL246" i="2"/>
  <c r="O246" i="2"/>
  <c r="N246" i="2"/>
  <c r="M246" i="2"/>
  <c r="I246" i="2"/>
  <c r="AQ246" i="2" s="1"/>
  <c r="B246" i="2"/>
  <c r="AS245" i="2"/>
  <c r="AN245" i="2"/>
  <c r="AM245" i="2"/>
  <c r="AQ245" i="2" s="1"/>
  <c r="AL245" i="2"/>
  <c r="O245" i="2"/>
  <c r="M245" i="2"/>
  <c r="I245" i="2"/>
  <c r="F245" i="2"/>
  <c r="E245" i="2"/>
  <c r="H245" i="2" s="1"/>
  <c r="B245" i="2"/>
  <c r="N245" i="2" s="1"/>
  <c r="AU244" i="2"/>
  <c r="AV244" i="2" s="1"/>
  <c r="AS244" i="2"/>
  <c r="AQ244" i="2"/>
  <c r="AR244" i="2" s="1"/>
  <c r="AT244" i="2" s="1"/>
  <c r="AN244" i="2"/>
  <c r="AM244" i="2"/>
  <c r="AL244" i="2"/>
  <c r="O244" i="2"/>
  <c r="N244" i="2"/>
  <c r="M244" i="2"/>
  <c r="J244" i="2"/>
  <c r="I244" i="2"/>
  <c r="H244" i="2"/>
  <c r="AW244" i="2" s="1"/>
  <c r="AZ244" i="2" s="1"/>
  <c r="F244" i="2"/>
  <c r="E244" i="2"/>
  <c r="B244" i="2"/>
  <c r="AU243" i="2"/>
  <c r="AS243" i="2"/>
  <c r="AN243" i="2"/>
  <c r="AM243" i="2"/>
  <c r="AQ243" i="2" s="1"/>
  <c r="AL243" i="2"/>
  <c r="O243" i="2"/>
  <c r="N243" i="2"/>
  <c r="M243" i="2"/>
  <c r="J243" i="2"/>
  <c r="AU245" i="2" s="1"/>
  <c r="I243" i="2"/>
  <c r="F243" i="2"/>
  <c r="F246" i="2" s="1"/>
  <c r="H246" i="2" s="1"/>
  <c r="E243" i="2"/>
  <c r="B243" i="2"/>
  <c r="AZ242" i="2"/>
  <c r="AW242" i="2"/>
  <c r="AS242" i="2"/>
  <c r="AR242" i="2"/>
  <c r="AT242" i="2" s="1"/>
  <c r="AQ242" i="2"/>
  <c r="O242" i="2"/>
  <c r="N242" i="2"/>
  <c r="M242" i="2"/>
  <c r="J242" i="2"/>
  <c r="AU242" i="2" s="1"/>
  <c r="AV242" i="2" s="1"/>
  <c r="H242" i="2"/>
  <c r="AY242" i="2" s="1"/>
  <c r="AS219" i="40"/>
  <c r="AN219" i="40"/>
  <c r="AM219" i="40"/>
  <c r="AL219" i="40"/>
  <c r="O219" i="40"/>
  <c r="M219" i="40"/>
  <c r="I219" i="40"/>
  <c r="F219" i="40"/>
  <c r="E219" i="40"/>
  <c r="B219" i="40"/>
  <c r="N219" i="40" s="1"/>
  <c r="AS218" i="40"/>
  <c r="AN218" i="40"/>
  <c r="AM218" i="40"/>
  <c r="AL218" i="40"/>
  <c r="O218" i="40"/>
  <c r="M218" i="40"/>
  <c r="I218" i="40"/>
  <c r="E218" i="40"/>
  <c r="B218" i="40"/>
  <c r="N218" i="40" s="1"/>
  <c r="AS217" i="40"/>
  <c r="AM217" i="40"/>
  <c r="AL217" i="40"/>
  <c r="O217" i="40"/>
  <c r="M217" i="40"/>
  <c r="E217" i="40"/>
  <c r="B217" i="40"/>
  <c r="N217" i="40" s="1"/>
  <c r="AS216" i="40"/>
  <c r="AN216" i="40"/>
  <c r="AN217" i="40" s="1"/>
  <c r="AM216" i="40"/>
  <c r="AL216" i="40"/>
  <c r="O216" i="40"/>
  <c r="M216" i="40"/>
  <c r="I216" i="40"/>
  <c r="J216" i="40" s="1"/>
  <c r="AU216" i="40" s="1"/>
  <c r="B216" i="40"/>
  <c r="N216" i="40" s="1"/>
  <c r="AS215" i="40"/>
  <c r="AN215" i="40"/>
  <c r="AM215" i="40"/>
  <c r="AL215" i="40"/>
  <c r="O215" i="40"/>
  <c r="M215" i="40"/>
  <c r="I215" i="40"/>
  <c r="F215" i="40"/>
  <c r="F218" i="40" s="1"/>
  <c r="H218" i="40" s="1"/>
  <c r="E215" i="40"/>
  <c r="B215" i="40"/>
  <c r="N215" i="40" s="1"/>
  <c r="AS214" i="40"/>
  <c r="AN214" i="40"/>
  <c r="AM214" i="40"/>
  <c r="AL214" i="40"/>
  <c r="O214" i="40"/>
  <c r="M214" i="40"/>
  <c r="J214" i="40"/>
  <c r="J218" i="40" s="1"/>
  <c r="AU218" i="40" s="1"/>
  <c r="I214" i="40"/>
  <c r="F214" i="40"/>
  <c r="F217" i="40" s="1"/>
  <c r="E214" i="40"/>
  <c r="B214" i="40"/>
  <c r="N214" i="40" s="1"/>
  <c r="AS213" i="40"/>
  <c r="AN213" i="40"/>
  <c r="AM213" i="40"/>
  <c r="AL213" i="40"/>
  <c r="O213" i="40"/>
  <c r="M213" i="40"/>
  <c r="J213" i="40"/>
  <c r="AU213" i="40" s="1"/>
  <c r="I213" i="40"/>
  <c r="F213" i="40"/>
  <c r="F216" i="40" s="1"/>
  <c r="H216" i="40" s="1"/>
  <c r="E213" i="40"/>
  <c r="B213" i="40"/>
  <c r="N213" i="40" s="1"/>
  <c r="AS212" i="40"/>
  <c r="AQ212" i="40"/>
  <c r="O212" i="40"/>
  <c r="N212" i="40"/>
  <c r="M212" i="40"/>
  <c r="J212" i="40"/>
  <c r="AU212" i="40" s="1"/>
  <c r="H212" i="40"/>
  <c r="AX212" i="40" s="1"/>
  <c r="BA212" i="40" s="1"/>
  <c r="AS207" i="40"/>
  <c r="AN207" i="40"/>
  <c r="AM207" i="40"/>
  <c r="AL207" i="40"/>
  <c r="O207" i="40"/>
  <c r="M207" i="40"/>
  <c r="I207" i="40"/>
  <c r="F207" i="40"/>
  <c r="E207" i="40"/>
  <c r="B207" i="40"/>
  <c r="N207" i="40" s="1"/>
  <c r="AS206" i="40"/>
  <c r="AN206" i="40"/>
  <c r="AM206" i="40"/>
  <c r="AL206" i="40"/>
  <c r="O206" i="40"/>
  <c r="M206" i="40"/>
  <c r="I206" i="40"/>
  <c r="F206" i="40"/>
  <c r="E206" i="40"/>
  <c r="B206" i="40"/>
  <c r="N206" i="40" s="1"/>
  <c r="AS205" i="40"/>
  <c r="AN205" i="40"/>
  <c r="AM205" i="40"/>
  <c r="AL205" i="40"/>
  <c r="O205" i="40"/>
  <c r="M205" i="40"/>
  <c r="I205" i="40"/>
  <c r="J206" i="40" s="1"/>
  <c r="F205" i="40"/>
  <c r="H205" i="40" s="1"/>
  <c r="B205" i="40"/>
  <c r="N205" i="40" s="1"/>
  <c r="AS204" i="40"/>
  <c r="AN204" i="40"/>
  <c r="AM204" i="40"/>
  <c r="AL204" i="40"/>
  <c r="O204" i="40"/>
  <c r="M204" i="40"/>
  <c r="I204" i="40"/>
  <c r="F204" i="40"/>
  <c r="E204" i="40"/>
  <c r="B204" i="40"/>
  <c r="N204" i="40" s="1"/>
  <c r="AS203" i="40"/>
  <c r="AN203" i="40"/>
  <c r="AM203" i="40"/>
  <c r="AL203" i="40"/>
  <c r="O203" i="40"/>
  <c r="M203" i="40"/>
  <c r="J203" i="40"/>
  <c r="AU204" i="40" s="1"/>
  <c r="I203" i="40"/>
  <c r="F203" i="40"/>
  <c r="E203" i="40"/>
  <c r="B203" i="40"/>
  <c r="N203" i="40" s="1"/>
  <c r="AS202" i="40"/>
  <c r="AQ202" i="40"/>
  <c r="AR202" i="40" s="1"/>
  <c r="O202" i="40"/>
  <c r="N202" i="40"/>
  <c r="M202" i="40"/>
  <c r="J202" i="40"/>
  <c r="AU202" i="40" s="1"/>
  <c r="H202" i="40"/>
  <c r="AW202" i="40" s="1"/>
  <c r="AZ202" i="40" s="1"/>
  <c r="AS197" i="40"/>
  <c r="AN197" i="40"/>
  <c r="AM197" i="40"/>
  <c r="AL197" i="40"/>
  <c r="O197" i="40"/>
  <c r="M197" i="40"/>
  <c r="I197" i="40"/>
  <c r="F197" i="40"/>
  <c r="B197" i="40"/>
  <c r="N197" i="40" s="1"/>
  <c r="AS196" i="40"/>
  <c r="AN196" i="40"/>
  <c r="AM196" i="40"/>
  <c r="AL196" i="40"/>
  <c r="O196" i="40"/>
  <c r="M196" i="40"/>
  <c r="I196" i="40"/>
  <c r="F196" i="40"/>
  <c r="H196" i="40" s="1"/>
  <c r="B196" i="40"/>
  <c r="N196" i="40" s="1"/>
  <c r="AS195" i="40"/>
  <c r="AN195" i="40"/>
  <c r="AM195" i="40"/>
  <c r="AL195" i="40"/>
  <c r="O195" i="40"/>
  <c r="M195" i="40"/>
  <c r="I195" i="40"/>
  <c r="J195" i="40" s="1"/>
  <c r="AU195" i="40" s="1"/>
  <c r="F195" i="40"/>
  <c r="H195" i="40" s="1"/>
  <c r="AX195" i="40" s="1"/>
  <c r="BA195" i="40" s="1"/>
  <c r="B195" i="40"/>
  <c r="N195" i="40" s="1"/>
  <c r="AS194" i="40"/>
  <c r="AN194" i="40"/>
  <c r="AM194" i="40"/>
  <c r="AL194" i="40"/>
  <c r="O194" i="40"/>
  <c r="M194" i="40"/>
  <c r="I194" i="40"/>
  <c r="F194" i="40"/>
  <c r="B194" i="40"/>
  <c r="N194" i="40" s="1"/>
  <c r="AS193" i="40"/>
  <c r="AN193" i="40"/>
  <c r="AM193" i="40"/>
  <c r="AL193" i="40"/>
  <c r="O193" i="40"/>
  <c r="M193" i="40"/>
  <c r="J193" i="40"/>
  <c r="AU194" i="40" s="1"/>
  <c r="I193" i="40"/>
  <c r="F193" i="40"/>
  <c r="B193" i="40"/>
  <c r="N193" i="40" s="1"/>
  <c r="AS192" i="40"/>
  <c r="AQ192" i="40"/>
  <c r="AR192" i="40" s="1"/>
  <c r="O192" i="40"/>
  <c r="N192" i="40"/>
  <c r="M192" i="40"/>
  <c r="J192" i="40"/>
  <c r="AU192" i="40" s="1"/>
  <c r="H192" i="40"/>
  <c r="AW192" i="40" s="1"/>
  <c r="AZ192" i="40" s="1"/>
  <c r="AS189" i="40"/>
  <c r="AN189" i="40"/>
  <c r="AM189" i="40"/>
  <c r="AL189" i="40"/>
  <c r="O189" i="40"/>
  <c r="M189" i="40"/>
  <c r="F189" i="40"/>
  <c r="E189" i="40"/>
  <c r="B189" i="40"/>
  <c r="N189" i="40" s="1"/>
  <c r="AS188" i="40"/>
  <c r="AN188" i="40"/>
  <c r="AM188" i="40"/>
  <c r="AL188" i="40"/>
  <c r="O188" i="40"/>
  <c r="M188" i="40"/>
  <c r="F188" i="40"/>
  <c r="E188" i="40"/>
  <c r="B188" i="40"/>
  <c r="N188" i="40" s="1"/>
  <c r="AS187" i="40"/>
  <c r="AM187" i="40"/>
  <c r="AL187" i="40"/>
  <c r="O187" i="40"/>
  <c r="M187" i="40"/>
  <c r="E187" i="40"/>
  <c r="H187" i="40" s="1"/>
  <c r="B187" i="40"/>
  <c r="N187" i="40" s="1"/>
  <c r="AS186" i="40"/>
  <c r="AN186" i="40"/>
  <c r="AN187" i="40" s="1"/>
  <c r="AM186" i="40"/>
  <c r="AL186" i="40"/>
  <c r="O186" i="40"/>
  <c r="M186" i="40"/>
  <c r="F186" i="40"/>
  <c r="H186" i="40" s="1"/>
  <c r="B186" i="40"/>
  <c r="N186" i="40" s="1"/>
  <c r="AS185" i="40"/>
  <c r="AN185" i="40"/>
  <c r="AM185" i="40"/>
  <c r="AL185" i="40"/>
  <c r="O185" i="40"/>
  <c r="M185" i="40"/>
  <c r="F185" i="40"/>
  <c r="E185" i="40"/>
  <c r="B185" i="40"/>
  <c r="N185" i="40" s="1"/>
  <c r="AS184" i="40"/>
  <c r="AN184" i="40"/>
  <c r="AM184" i="40"/>
  <c r="AL184" i="40"/>
  <c r="O184" i="40"/>
  <c r="M184" i="40"/>
  <c r="F184" i="40"/>
  <c r="E184" i="40"/>
  <c r="B184" i="40"/>
  <c r="N184" i="40" s="1"/>
  <c r="AS183" i="40"/>
  <c r="AN183" i="40"/>
  <c r="AM183" i="40"/>
  <c r="AL183" i="40"/>
  <c r="O183" i="40"/>
  <c r="M183" i="40"/>
  <c r="F183" i="40"/>
  <c r="E183" i="40"/>
  <c r="B183" i="40"/>
  <c r="N183" i="40" s="1"/>
  <c r="AS182" i="40"/>
  <c r="AQ182" i="40"/>
  <c r="O182" i="40"/>
  <c r="N182" i="40"/>
  <c r="M182" i="40"/>
  <c r="H182" i="40"/>
  <c r="AX182" i="40" s="1"/>
  <c r="BA182" i="40" s="1"/>
  <c r="AS179" i="40"/>
  <c r="AN179" i="40"/>
  <c r="AM179" i="40"/>
  <c r="AL179" i="40"/>
  <c r="O179" i="40"/>
  <c r="M179" i="40"/>
  <c r="I179" i="40"/>
  <c r="F179" i="40"/>
  <c r="E179" i="40"/>
  <c r="B179" i="40"/>
  <c r="N179" i="40" s="1"/>
  <c r="AS178" i="40"/>
  <c r="AN178" i="40"/>
  <c r="AM178" i="40"/>
  <c r="AL178" i="40"/>
  <c r="O178" i="40"/>
  <c r="M178" i="40"/>
  <c r="I178" i="40"/>
  <c r="F178" i="40"/>
  <c r="E178" i="40"/>
  <c r="B178" i="40"/>
  <c r="N178" i="40" s="1"/>
  <c r="AS177" i="40"/>
  <c r="AM177" i="40"/>
  <c r="AL177" i="40"/>
  <c r="O177" i="40"/>
  <c r="M177" i="40"/>
  <c r="E177" i="40"/>
  <c r="H177" i="40" s="1"/>
  <c r="B177" i="40"/>
  <c r="N177" i="40" s="1"/>
  <c r="AS176" i="40"/>
  <c r="AN176" i="40"/>
  <c r="AN177" i="40" s="1"/>
  <c r="AM176" i="40"/>
  <c r="AL176" i="40"/>
  <c r="O176" i="40"/>
  <c r="M176" i="40"/>
  <c r="I176" i="40"/>
  <c r="J176" i="40" s="1"/>
  <c r="AU176" i="40" s="1"/>
  <c r="F176" i="40"/>
  <c r="H176" i="40" s="1"/>
  <c r="B176" i="40"/>
  <c r="N176" i="40" s="1"/>
  <c r="AS175" i="40"/>
  <c r="AN175" i="40"/>
  <c r="AM175" i="40"/>
  <c r="AL175" i="40"/>
  <c r="O175" i="40"/>
  <c r="M175" i="40"/>
  <c r="I175" i="40"/>
  <c r="F175" i="40"/>
  <c r="E175" i="40"/>
  <c r="B175" i="40"/>
  <c r="N175" i="40" s="1"/>
  <c r="AS174" i="40"/>
  <c r="AN174" i="40"/>
  <c r="AM174" i="40"/>
  <c r="AL174" i="40"/>
  <c r="O174" i="40"/>
  <c r="M174" i="40"/>
  <c r="J174" i="40"/>
  <c r="J178" i="40" s="1"/>
  <c r="AU178" i="40" s="1"/>
  <c r="I174" i="40"/>
  <c r="F174" i="40"/>
  <c r="E174" i="40"/>
  <c r="B174" i="40"/>
  <c r="N174" i="40" s="1"/>
  <c r="AS173" i="40"/>
  <c r="AN173" i="40"/>
  <c r="AM173" i="40"/>
  <c r="AL173" i="40"/>
  <c r="O173" i="40"/>
  <c r="M173" i="40"/>
  <c r="J173" i="40"/>
  <c r="AU173" i="40" s="1"/>
  <c r="I173" i="40"/>
  <c r="F173" i="40"/>
  <c r="E173" i="40"/>
  <c r="B173" i="40"/>
  <c r="N173" i="40" s="1"/>
  <c r="AS172" i="40"/>
  <c r="AQ172" i="40"/>
  <c r="O172" i="40"/>
  <c r="N172" i="40"/>
  <c r="M172" i="40"/>
  <c r="J172" i="40"/>
  <c r="AU174" i="40" s="1"/>
  <c r="H172" i="40"/>
  <c r="AX172" i="40" s="1"/>
  <c r="BA172" i="40" s="1"/>
  <c r="AQ62" i="40"/>
  <c r="AR62" i="40" s="1"/>
  <c r="AQ52" i="40"/>
  <c r="AS157" i="40"/>
  <c r="AN157" i="40"/>
  <c r="AM157" i="40"/>
  <c r="AL157" i="40"/>
  <c r="O157" i="40"/>
  <c r="M157" i="40"/>
  <c r="I157" i="40"/>
  <c r="F157" i="40"/>
  <c r="E157" i="40"/>
  <c r="B157" i="40"/>
  <c r="N157" i="40" s="1"/>
  <c r="AS156" i="40"/>
  <c r="AN156" i="40"/>
  <c r="AM156" i="40"/>
  <c r="AL156" i="40"/>
  <c r="O156" i="40"/>
  <c r="M156" i="40"/>
  <c r="I156" i="40"/>
  <c r="F156" i="40"/>
  <c r="E156" i="40"/>
  <c r="B156" i="40"/>
  <c r="N156" i="40" s="1"/>
  <c r="AS155" i="40"/>
  <c r="AN155" i="40"/>
  <c r="AM155" i="40"/>
  <c r="AL155" i="40"/>
  <c r="O155" i="40"/>
  <c r="M155" i="40"/>
  <c r="I155" i="40"/>
  <c r="J155" i="40" s="1"/>
  <c r="AU155" i="40" s="1"/>
  <c r="F155" i="40"/>
  <c r="H155" i="40" s="1"/>
  <c r="AX155" i="40" s="1"/>
  <c r="BA155" i="40" s="1"/>
  <c r="B155" i="40"/>
  <c r="N155" i="40" s="1"/>
  <c r="AS154" i="40"/>
  <c r="AN154" i="40"/>
  <c r="AM154" i="40"/>
  <c r="AL154" i="40"/>
  <c r="O154" i="40"/>
  <c r="M154" i="40"/>
  <c r="I154" i="40"/>
  <c r="F154" i="40"/>
  <c r="E154" i="40"/>
  <c r="B154" i="40"/>
  <c r="N154" i="40" s="1"/>
  <c r="AS153" i="40"/>
  <c r="AN153" i="40"/>
  <c r="AM153" i="40"/>
  <c r="AL153" i="40"/>
  <c r="O153" i="40"/>
  <c r="M153" i="40"/>
  <c r="I153" i="40"/>
  <c r="F153" i="40"/>
  <c r="E153" i="40"/>
  <c r="B153" i="40"/>
  <c r="N153" i="40" s="1"/>
  <c r="AS152" i="40"/>
  <c r="AQ152" i="40"/>
  <c r="AR152" i="40" s="1"/>
  <c r="O152" i="40"/>
  <c r="N152" i="40"/>
  <c r="M152" i="40"/>
  <c r="L152" i="40"/>
  <c r="J153" i="40" s="1"/>
  <c r="AU154" i="40" s="1"/>
  <c r="J152" i="40"/>
  <c r="AU152" i="40" s="1"/>
  <c r="H152" i="40"/>
  <c r="L142" i="40"/>
  <c r="J143" i="40" s="1"/>
  <c r="J146" i="40" s="1"/>
  <c r="AS147" i="40"/>
  <c r="AN147" i="40"/>
  <c r="AM147" i="40"/>
  <c r="AL147" i="40"/>
  <c r="O147" i="40"/>
  <c r="M147" i="40"/>
  <c r="I147" i="40"/>
  <c r="F147" i="40"/>
  <c r="B147" i="40"/>
  <c r="N147" i="40" s="1"/>
  <c r="AS146" i="40"/>
  <c r="AN146" i="40"/>
  <c r="AM146" i="40"/>
  <c r="AL146" i="40"/>
  <c r="O146" i="40"/>
  <c r="M146" i="40"/>
  <c r="I146" i="40"/>
  <c r="F146" i="40"/>
  <c r="B146" i="40"/>
  <c r="N146" i="40" s="1"/>
  <c r="AS145" i="40"/>
  <c r="AN145" i="40"/>
  <c r="AM145" i="40"/>
  <c r="AL145" i="40"/>
  <c r="O145" i="40"/>
  <c r="M145" i="40"/>
  <c r="I145" i="40"/>
  <c r="J145" i="40" s="1"/>
  <c r="AU145" i="40" s="1"/>
  <c r="F145" i="40"/>
  <c r="H145" i="40" s="1"/>
  <c r="AX145" i="40" s="1"/>
  <c r="BA145" i="40" s="1"/>
  <c r="B145" i="40"/>
  <c r="N145" i="40" s="1"/>
  <c r="AS144" i="40"/>
  <c r="AN144" i="40"/>
  <c r="AM144" i="40"/>
  <c r="AL144" i="40"/>
  <c r="O144" i="40"/>
  <c r="M144" i="40"/>
  <c r="I144" i="40"/>
  <c r="F144" i="40"/>
  <c r="B144" i="40"/>
  <c r="N144" i="40" s="1"/>
  <c r="AS143" i="40"/>
  <c r="AN143" i="40"/>
  <c r="AM143" i="40"/>
  <c r="AL143" i="40"/>
  <c r="O143" i="40"/>
  <c r="M143" i="40"/>
  <c r="I143" i="40"/>
  <c r="F143" i="40"/>
  <c r="B143" i="40"/>
  <c r="N143" i="40" s="1"/>
  <c r="AS142" i="40"/>
  <c r="AQ142" i="40"/>
  <c r="AR142" i="40" s="1"/>
  <c r="O142" i="40"/>
  <c r="N142" i="40"/>
  <c r="M142" i="40"/>
  <c r="J142" i="40"/>
  <c r="AU142" i="40" s="1"/>
  <c r="H142" i="40"/>
  <c r="AX142" i="40" s="1"/>
  <c r="BA142" i="40" s="1"/>
  <c r="AU137" i="40"/>
  <c r="AS137" i="40"/>
  <c r="AN137" i="40"/>
  <c r="AM137" i="40"/>
  <c r="AL137" i="40"/>
  <c r="O137" i="40"/>
  <c r="M137" i="40"/>
  <c r="I137" i="40"/>
  <c r="F137" i="40"/>
  <c r="B137" i="40"/>
  <c r="N137" i="40" s="1"/>
  <c r="AU136" i="40"/>
  <c r="AS136" i="40"/>
  <c r="AN136" i="40"/>
  <c r="AM136" i="40"/>
  <c r="AL136" i="40"/>
  <c r="O136" i="40"/>
  <c r="M136" i="40"/>
  <c r="I136" i="40"/>
  <c r="F136" i="40"/>
  <c r="B136" i="40"/>
  <c r="N136" i="40" s="1"/>
  <c r="AS135" i="40"/>
  <c r="AN135" i="40"/>
  <c r="AM135" i="40"/>
  <c r="AL135" i="40"/>
  <c r="O135" i="40"/>
  <c r="M135" i="40"/>
  <c r="I135" i="40"/>
  <c r="J135" i="40" s="1"/>
  <c r="AU135" i="40" s="1"/>
  <c r="F135" i="40"/>
  <c r="B135" i="40"/>
  <c r="N135" i="40" s="1"/>
  <c r="AS134" i="40"/>
  <c r="AN134" i="40"/>
  <c r="AM134" i="40"/>
  <c r="AL134" i="40"/>
  <c r="O134" i="40"/>
  <c r="M134" i="40"/>
  <c r="I134" i="40"/>
  <c r="F134" i="40"/>
  <c r="E134" i="40"/>
  <c r="E136" i="40" s="1"/>
  <c r="B134" i="40"/>
  <c r="N134" i="40" s="1"/>
  <c r="AS133" i="40"/>
  <c r="AN133" i="40"/>
  <c r="AM133" i="40"/>
  <c r="AL133" i="40"/>
  <c r="O133" i="40"/>
  <c r="M133" i="40"/>
  <c r="J133" i="40"/>
  <c r="AU134" i="40" s="1"/>
  <c r="I133" i="40"/>
  <c r="F133" i="40"/>
  <c r="E133" i="40"/>
  <c r="E135" i="40" s="1"/>
  <c r="B133" i="40"/>
  <c r="N133" i="40" s="1"/>
  <c r="AS132" i="40"/>
  <c r="AQ132" i="40"/>
  <c r="AR132" i="40" s="1"/>
  <c r="O132" i="40"/>
  <c r="N132" i="40"/>
  <c r="M132" i="40"/>
  <c r="J132" i="40"/>
  <c r="AU132" i="40" s="1"/>
  <c r="H132" i="40"/>
  <c r="AX132" i="40" s="1"/>
  <c r="BA132" i="40" s="1"/>
  <c r="AS129" i="40"/>
  <c r="AN129" i="40"/>
  <c r="AM129" i="40"/>
  <c r="AL129" i="40"/>
  <c r="O129" i="40"/>
  <c r="M129" i="40"/>
  <c r="I129" i="40"/>
  <c r="E129" i="40"/>
  <c r="B129" i="40"/>
  <c r="N129" i="40" s="1"/>
  <c r="AS128" i="40"/>
  <c r="AN128" i="40"/>
  <c r="AM128" i="40"/>
  <c r="AL128" i="40"/>
  <c r="O128" i="40"/>
  <c r="M128" i="40"/>
  <c r="I128" i="40"/>
  <c r="E128" i="40"/>
  <c r="B128" i="40"/>
  <c r="N128" i="40" s="1"/>
  <c r="AS127" i="40"/>
  <c r="AM127" i="40"/>
  <c r="AL127" i="40"/>
  <c r="O127" i="40"/>
  <c r="M127" i="40"/>
  <c r="E127" i="40"/>
  <c r="B127" i="40"/>
  <c r="N127" i="40" s="1"/>
  <c r="AS126" i="40"/>
  <c r="AN126" i="40"/>
  <c r="AN127" i="40" s="1"/>
  <c r="AM126" i="40"/>
  <c r="AL126" i="40"/>
  <c r="O126" i="40"/>
  <c r="M126" i="40"/>
  <c r="I126" i="40"/>
  <c r="I127" i="40" s="1"/>
  <c r="B126" i="40"/>
  <c r="N126" i="40" s="1"/>
  <c r="AS125" i="40"/>
  <c r="AN125" i="40"/>
  <c r="AM125" i="40"/>
  <c r="AL125" i="40"/>
  <c r="O125" i="40"/>
  <c r="M125" i="40"/>
  <c r="I125" i="40"/>
  <c r="E125" i="40"/>
  <c r="B125" i="40"/>
  <c r="N125" i="40" s="1"/>
  <c r="AS124" i="40"/>
  <c r="AN124" i="40"/>
  <c r="AM124" i="40"/>
  <c r="AL124" i="40"/>
  <c r="O124" i="40"/>
  <c r="M124" i="40"/>
  <c r="J124" i="40"/>
  <c r="J128" i="40" s="1"/>
  <c r="I124" i="40"/>
  <c r="E124" i="40"/>
  <c r="B124" i="40"/>
  <c r="N124" i="40" s="1"/>
  <c r="AS123" i="40"/>
  <c r="AN123" i="40"/>
  <c r="AM123" i="40"/>
  <c r="AL123" i="40"/>
  <c r="O123" i="40"/>
  <c r="M123" i="40"/>
  <c r="J123" i="40"/>
  <c r="AU125" i="40" s="1"/>
  <c r="I123" i="40"/>
  <c r="F123" i="40"/>
  <c r="F124" i="40" s="1"/>
  <c r="F125" i="40" s="1"/>
  <c r="F126" i="40" s="1"/>
  <c r="E123" i="40"/>
  <c r="B123" i="40"/>
  <c r="N123" i="40" s="1"/>
  <c r="AS122" i="40"/>
  <c r="AQ122" i="40"/>
  <c r="O122" i="40"/>
  <c r="N122" i="40"/>
  <c r="M122" i="40"/>
  <c r="J122" i="40"/>
  <c r="AU122" i="40" s="1"/>
  <c r="H122" i="40"/>
  <c r="AU117" i="40"/>
  <c r="AS117" i="40"/>
  <c r="AN117" i="40"/>
  <c r="AM117" i="40"/>
  <c r="AL117" i="40"/>
  <c r="O117" i="40"/>
  <c r="M117" i="40"/>
  <c r="I117" i="40"/>
  <c r="F117" i="40"/>
  <c r="B117" i="40"/>
  <c r="N117" i="40" s="1"/>
  <c r="AU116" i="40"/>
  <c r="AS116" i="40"/>
  <c r="AN116" i="40"/>
  <c r="AM116" i="40"/>
  <c r="AL116" i="40"/>
  <c r="O116" i="40"/>
  <c r="M116" i="40"/>
  <c r="I116" i="40"/>
  <c r="F116" i="40"/>
  <c r="B116" i="40"/>
  <c r="N116" i="40" s="1"/>
  <c r="AS115" i="40"/>
  <c r="AN115" i="40"/>
  <c r="AM115" i="40"/>
  <c r="AL115" i="40"/>
  <c r="O115" i="40"/>
  <c r="M115" i="40"/>
  <c r="I115" i="40"/>
  <c r="J115" i="40" s="1"/>
  <c r="AU115" i="40" s="1"/>
  <c r="F115" i="40"/>
  <c r="B115" i="40"/>
  <c r="N115" i="40" s="1"/>
  <c r="AS114" i="40"/>
  <c r="AN114" i="40"/>
  <c r="AM114" i="40"/>
  <c r="AL114" i="40"/>
  <c r="O114" i="40"/>
  <c r="M114" i="40"/>
  <c r="I114" i="40"/>
  <c r="F114" i="40"/>
  <c r="E114" i="40"/>
  <c r="E116" i="40" s="1"/>
  <c r="B114" i="40"/>
  <c r="N114" i="40" s="1"/>
  <c r="AS113" i="40"/>
  <c r="AN113" i="40"/>
  <c r="AM113" i="40"/>
  <c r="AL113" i="40"/>
  <c r="O113" i="40"/>
  <c r="M113" i="40"/>
  <c r="I113" i="40"/>
  <c r="F113" i="40"/>
  <c r="E113" i="40"/>
  <c r="B113" i="40"/>
  <c r="N113" i="40" s="1"/>
  <c r="AS112" i="40"/>
  <c r="AQ112" i="40"/>
  <c r="AR112" i="40" s="1"/>
  <c r="O112" i="40"/>
  <c r="N112" i="40"/>
  <c r="M112" i="40"/>
  <c r="J112" i="40"/>
  <c r="AU112" i="40" s="1"/>
  <c r="H112" i="40"/>
  <c r="AW112" i="40" s="1"/>
  <c r="AZ112" i="40" s="1"/>
  <c r="AU107" i="40"/>
  <c r="AS107" i="40"/>
  <c r="AN107" i="40"/>
  <c r="AM107" i="40"/>
  <c r="AL107" i="40"/>
  <c r="O107" i="40"/>
  <c r="M107" i="40"/>
  <c r="I107" i="40"/>
  <c r="F107" i="40"/>
  <c r="B107" i="40"/>
  <c r="N107" i="40" s="1"/>
  <c r="AU106" i="40"/>
  <c r="AS106" i="40"/>
  <c r="AN106" i="40"/>
  <c r="AM106" i="40"/>
  <c r="AL106" i="40"/>
  <c r="O106" i="40"/>
  <c r="M106" i="40"/>
  <c r="I106" i="40"/>
  <c r="F106" i="40"/>
  <c r="B106" i="40"/>
  <c r="N106" i="40" s="1"/>
  <c r="AS105" i="40"/>
  <c r="AN105" i="40"/>
  <c r="AM105" i="40"/>
  <c r="AL105" i="40"/>
  <c r="O105" i="40"/>
  <c r="M105" i="40"/>
  <c r="I105" i="40"/>
  <c r="J105" i="40" s="1"/>
  <c r="AU105" i="40" s="1"/>
  <c r="F105" i="40"/>
  <c r="B105" i="40"/>
  <c r="N105" i="40" s="1"/>
  <c r="AS104" i="40"/>
  <c r="AN104" i="40"/>
  <c r="AM104" i="40"/>
  <c r="AL104" i="40"/>
  <c r="O104" i="40"/>
  <c r="M104" i="40"/>
  <c r="I104" i="40"/>
  <c r="F104" i="40"/>
  <c r="E104" i="40"/>
  <c r="E106" i="40" s="1"/>
  <c r="B104" i="40"/>
  <c r="N104" i="40" s="1"/>
  <c r="AS103" i="40"/>
  <c r="AN103" i="40"/>
  <c r="AM103" i="40"/>
  <c r="AL103" i="40"/>
  <c r="O103" i="40"/>
  <c r="M103" i="40"/>
  <c r="J103" i="40"/>
  <c r="AU104" i="40" s="1"/>
  <c r="I103" i="40"/>
  <c r="F103" i="40"/>
  <c r="E103" i="40"/>
  <c r="E105" i="40" s="1"/>
  <c r="B103" i="40"/>
  <c r="N103" i="40" s="1"/>
  <c r="AS102" i="40"/>
  <c r="AQ102" i="40"/>
  <c r="AR102" i="40" s="1"/>
  <c r="O102" i="40"/>
  <c r="N102" i="40"/>
  <c r="M102" i="40"/>
  <c r="J102" i="40"/>
  <c r="AU102" i="40" s="1"/>
  <c r="H102" i="40"/>
  <c r="AU97" i="40"/>
  <c r="AS97" i="40"/>
  <c r="AN97" i="40"/>
  <c r="AM97" i="40"/>
  <c r="AL97" i="40"/>
  <c r="O97" i="40"/>
  <c r="M97" i="40"/>
  <c r="I97" i="40"/>
  <c r="F97" i="40"/>
  <c r="B97" i="40"/>
  <c r="N97" i="40" s="1"/>
  <c r="AU96" i="40"/>
  <c r="AS96" i="40"/>
  <c r="AN96" i="40"/>
  <c r="AM96" i="40"/>
  <c r="AL96" i="40"/>
  <c r="O96" i="40"/>
  <c r="M96" i="40"/>
  <c r="I96" i="40"/>
  <c r="F96" i="40"/>
  <c r="B96" i="40"/>
  <c r="N96" i="40" s="1"/>
  <c r="AS95" i="40"/>
  <c r="AN95" i="40"/>
  <c r="AM95" i="40"/>
  <c r="AL95" i="40"/>
  <c r="O95" i="40"/>
  <c r="M95" i="40"/>
  <c r="I95" i="40"/>
  <c r="J95" i="40" s="1"/>
  <c r="AU95" i="40" s="1"/>
  <c r="F95" i="40"/>
  <c r="B95" i="40"/>
  <c r="N95" i="40" s="1"/>
  <c r="AS94" i="40"/>
  <c r="AN94" i="40"/>
  <c r="AM94" i="40"/>
  <c r="AL94" i="40"/>
  <c r="O94" i="40"/>
  <c r="M94" i="40"/>
  <c r="I94" i="40"/>
  <c r="F94" i="40"/>
  <c r="E94" i="40"/>
  <c r="B94" i="40"/>
  <c r="N94" i="40" s="1"/>
  <c r="AS93" i="40"/>
  <c r="AN93" i="40"/>
  <c r="AM93" i="40"/>
  <c r="AL93" i="40"/>
  <c r="O93" i="40"/>
  <c r="M93" i="40"/>
  <c r="J93" i="40"/>
  <c r="AU94" i="40" s="1"/>
  <c r="I93" i="40"/>
  <c r="F93" i="40"/>
  <c r="E93" i="40"/>
  <c r="E95" i="40" s="1"/>
  <c r="B93" i="40"/>
  <c r="N93" i="40" s="1"/>
  <c r="AS92" i="40"/>
  <c r="AQ92" i="40"/>
  <c r="AR92" i="40" s="1"/>
  <c r="O92" i="40"/>
  <c r="N92" i="40"/>
  <c r="M92" i="40"/>
  <c r="J92" i="40"/>
  <c r="AU92" i="40" s="1"/>
  <c r="H92" i="40"/>
  <c r="AU87" i="40"/>
  <c r="AS87" i="40"/>
  <c r="AN87" i="40"/>
  <c r="AM87" i="40"/>
  <c r="AL87" i="40"/>
  <c r="O87" i="40"/>
  <c r="M87" i="40"/>
  <c r="I87" i="40"/>
  <c r="F87" i="40"/>
  <c r="B87" i="40"/>
  <c r="N87" i="40" s="1"/>
  <c r="AU86" i="40"/>
  <c r="AS86" i="40"/>
  <c r="AN86" i="40"/>
  <c r="AM86" i="40"/>
  <c r="AL86" i="40"/>
  <c r="O86" i="40"/>
  <c r="M86" i="40"/>
  <c r="I86" i="40"/>
  <c r="F86" i="40"/>
  <c r="B86" i="40"/>
  <c r="N86" i="40" s="1"/>
  <c r="AS85" i="40"/>
  <c r="AN85" i="40"/>
  <c r="AM85" i="40"/>
  <c r="AL85" i="40"/>
  <c r="O85" i="40"/>
  <c r="M85" i="40"/>
  <c r="I85" i="40"/>
  <c r="J85" i="40" s="1"/>
  <c r="AU85" i="40" s="1"/>
  <c r="F85" i="40"/>
  <c r="B85" i="40"/>
  <c r="N85" i="40" s="1"/>
  <c r="AS84" i="40"/>
  <c r="AN84" i="40"/>
  <c r="AM84" i="40"/>
  <c r="AL84" i="40"/>
  <c r="O84" i="40"/>
  <c r="M84" i="40"/>
  <c r="I84" i="40"/>
  <c r="F84" i="40"/>
  <c r="E84" i="40"/>
  <c r="E86" i="40" s="1"/>
  <c r="B84" i="40"/>
  <c r="N84" i="40" s="1"/>
  <c r="AS83" i="40"/>
  <c r="AN83" i="40"/>
  <c r="AM83" i="40"/>
  <c r="AL83" i="40"/>
  <c r="O83" i="40"/>
  <c r="M83" i="40"/>
  <c r="J83" i="40"/>
  <c r="AU84" i="40" s="1"/>
  <c r="I83" i="40"/>
  <c r="F83" i="40"/>
  <c r="E83" i="40"/>
  <c r="B83" i="40"/>
  <c r="N83" i="40" s="1"/>
  <c r="AS82" i="40"/>
  <c r="AQ82" i="40"/>
  <c r="AR82" i="40" s="1"/>
  <c r="O82" i="40"/>
  <c r="N82" i="40"/>
  <c r="M82" i="40"/>
  <c r="J82" i="40"/>
  <c r="AU82" i="40" s="1"/>
  <c r="H82" i="40"/>
  <c r="AX82" i="40" s="1"/>
  <c r="BA82" i="40" s="1"/>
  <c r="AU77" i="40"/>
  <c r="AS77" i="40"/>
  <c r="AN77" i="40"/>
  <c r="AM77" i="40"/>
  <c r="AL77" i="40"/>
  <c r="O77" i="40"/>
  <c r="M77" i="40"/>
  <c r="I77" i="40"/>
  <c r="F77" i="40"/>
  <c r="B77" i="40"/>
  <c r="N77" i="40" s="1"/>
  <c r="AU76" i="40"/>
  <c r="AS76" i="40"/>
  <c r="AN76" i="40"/>
  <c r="AM76" i="40"/>
  <c r="AL76" i="40"/>
  <c r="O76" i="40"/>
  <c r="M76" i="40"/>
  <c r="I76" i="40"/>
  <c r="F76" i="40"/>
  <c r="B76" i="40"/>
  <c r="N76" i="40" s="1"/>
  <c r="AS75" i="40"/>
  <c r="AN75" i="40"/>
  <c r="AM75" i="40"/>
  <c r="AL75" i="40"/>
  <c r="O75" i="40"/>
  <c r="M75" i="40"/>
  <c r="I75" i="40"/>
  <c r="J75" i="40" s="1"/>
  <c r="AU75" i="40" s="1"/>
  <c r="F75" i="40"/>
  <c r="B75" i="40"/>
  <c r="N75" i="40" s="1"/>
  <c r="AS74" i="40"/>
  <c r="AN74" i="40"/>
  <c r="AM74" i="40"/>
  <c r="AL74" i="40"/>
  <c r="O74" i="40"/>
  <c r="M74" i="40"/>
  <c r="I74" i="40"/>
  <c r="F74" i="40"/>
  <c r="E74" i="40"/>
  <c r="E76" i="40" s="1"/>
  <c r="B74" i="40"/>
  <c r="N74" i="40" s="1"/>
  <c r="AS73" i="40"/>
  <c r="AN73" i="40"/>
  <c r="AM73" i="40"/>
  <c r="AL73" i="40"/>
  <c r="O73" i="40"/>
  <c r="M73" i="40"/>
  <c r="I73" i="40"/>
  <c r="F73" i="40"/>
  <c r="E73" i="40"/>
  <c r="B73" i="40"/>
  <c r="N73" i="40" s="1"/>
  <c r="AS72" i="40"/>
  <c r="AQ72" i="40"/>
  <c r="AR72" i="40" s="1"/>
  <c r="O72" i="40"/>
  <c r="N72" i="40"/>
  <c r="M72" i="40"/>
  <c r="J72" i="40"/>
  <c r="L72" i="40" s="1"/>
  <c r="H72" i="40"/>
  <c r="AW72" i="40" s="1"/>
  <c r="AZ72" i="40" s="1"/>
  <c r="AS67" i="40"/>
  <c r="AN67" i="40"/>
  <c r="AM67" i="40"/>
  <c r="AL67" i="40"/>
  <c r="O67" i="40"/>
  <c r="M67" i="40"/>
  <c r="I67" i="40"/>
  <c r="F67" i="40"/>
  <c r="E67" i="40"/>
  <c r="B67" i="40"/>
  <c r="N67" i="40" s="1"/>
  <c r="AS66" i="40"/>
  <c r="AN66" i="40"/>
  <c r="AM66" i="40"/>
  <c r="AL66" i="40"/>
  <c r="O66" i="40"/>
  <c r="M66" i="40"/>
  <c r="I66" i="40"/>
  <c r="F66" i="40"/>
  <c r="E66" i="40"/>
  <c r="B66" i="40"/>
  <c r="N66" i="40" s="1"/>
  <c r="AS65" i="40"/>
  <c r="AN65" i="40"/>
  <c r="AM65" i="40"/>
  <c r="AL65" i="40"/>
  <c r="O65" i="40"/>
  <c r="M65" i="40"/>
  <c r="I65" i="40"/>
  <c r="J65" i="40" s="1"/>
  <c r="AU65" i="40" s="1"/>
  <c r="F65" i="40"/>
  <c r="H65" i="40" s="1"/>
  <c r="B65" i="40"/>
  <c r="N65" i="40" s="1"/>
  <c r="AS64" i="40"/>
  <c r="AN64" i="40"/>
  <c r="AM64" i="40"/>
  <c r="AL64" i="40"/>
  <c r="O64" i="40"/>
  <c r="M64" i="40"/>
  <c r="I64" i="40"/>
  <c r="F64" i="40"/>
  <c r="E64" i="40"/>
  <c r="B64" i="40"/>
  <c r="N64" i="40" s="1"/>
  <c r="AS63" i="40"/>
  <c r="AN63" i="40"/>
  <c r="AM63" i="40"/>
  <c r="AL63" i="40"/>
  <c r="O63" i="40"/>
  <c r="M63" i="40"/>
  <c r="I63" i="40"/>
  <c r="F63" i="40"/>
  <c r="E63" i="40"/>
  <c r="B63" i="40"/>
  <c r="N63" i="40" s="1"/>
  <c r="AS62" i="40"/>
  <c r="O62" i="40"/>
  <c r="N62" i="40"/>
  <c r="M62" i="40"/>
  <c r="J62" i="40"/>
  <c r="AU62" i="40" s="1"/>
  <c r="H62" i="40"/>
  <c r="AX62" i="40" s="1"/>
  <c r="BA62" i="40" s="1"/>
  <c r="AS50" i="40"/>
  <c r="AM50" i="40"/>
  <c r="AL50" i="40"/>
  <c r="M50" i="40"/>
  <c r="I50" i="40"/>
  <c r="H50" i="40"/>
  <c r="B50" i="40"/>
  <c r="AS49" i="40"/>
  <c r="AN49" i="40"/>
  <c r="AM49" i="40"/>
  <c r="AL49" i="40"/>
  <c r="O49" i="40"/>
  <c r="M49" i="40"/>
  <c r="B49" i="40"/>
  <c r="N49" i="40" s="1"/>
  <c r="AS48" i="40"/>
  <c r="AN48" i="40"/>
  <c r="AM48" i="40"/>
  <c r="AL48" i="40"/>
  <c r="O48" i="40"/>
  <c r="M48" i="40"/>
  <c r="B48" i="40"/>
  <c r="N48" i="40" s="1"/>
  <c r="AS47" i="40"/>
  <c r="AM47" i="40"/>
  <c r="AL47" i="40"/>
  <c r="O47" i="40"/>
  <c r="M47" i="40"/>
  <c r="B47" i="40"/>
  <c r="N47" i="40" s="1"/>
  <c r="AS46" i="40"/>
  <c r="AN46" i="40"/>
  <c r="AN47" i="40" s="1"/>
  <c r="AM46" i="40"/>
  <c r="AL46" i="40"/>
  <c r="O46" i="40"/>
  <c r="M46" i="40"/>
  <c r="I46" i="40"/>
  <c r="E46" i="40"/>
  <c r="E47" i="40" s="1"/>
  <c r="B46" i="40"/>
  <c r="N46" i="40" s="1"/>
  <c r="AS45" i="40"/>
  <c r="AN45" i="40"/>
  <c r="AL45" i="40"/>
  <c r="O45" i="40"/>
  <c r="M45" i="40"/>
  <c r="I45" i="40"/>
  <c r="J45" i="40" s="1"/>
  <c r="AU45" i="40" s="1"/>
  <c r="B45" i="40"/>
  <c r="N45" i="40" s="1"/>
  <c r="AS44" i="40"/>
  <c r="AN44" i="40"/>
  <c r="AM44" i="40"/>
  <c r="AL44" i="40"/>
  <c r="O44" i="40"/>
  <c r="M44" i="40"/>
  <c r="I44" i="40"/>
  <c r="E44" i="40"/>
  <c r="B44" i="40"/>
  <c r="N44" i="40" s="1"/>
  <c r="AS43" i="40"/>
  <c r="AN43" i="40"/>
  <c r="AM43" i="40"/>
  <c r="AM45" i="40" s="1"/>
  <c r="AL43" i="40"/>
  <c r="O43" i="40"/>
  <c r="M43" i="40"/>
  <c r="I43" i="40"/>
  <c r="F43" i="40"/>
  <c r="F44" i="40" s="1"/>
  <c r="F45" i="40" s="1"/>
  <c r="E43" i="40"/>
  <c r="B43" i="40"/>
  <c r="N43" i="40" s="1"/>
  <c r="AS42" i="40"/>
  <c r="AQ42" i="40"/>
  <c r="O42" i="40"/>
  <c r="N42" i="40"/>
  <c r="M42" i="40"/>
  <c r="J42" i="40"/>
  <c r="J50" i="40" s="1"/>
  <c r="AU50" i="40" s="1"/>
  <c r="H42" i="40"/>
  <c r="AW42" i="40" s="1"/>
  <c r="AZ42" i="40" s="1"/>
  <c r="AS39" i="40"/>
  <c r="AN39" i="40"/>
  <c r="AM39" i="40"/>
  <c r="AL39" i="40"/>
  <c r="O39" i="40"/>
  <c r="M39" i="40"/>
  <c r="I39" i="40"/>
  <c r="F39" i="40"/>
  <c r="E39" i="40"/>
  <c r="B39" i="40"/>
  <c r="N39" i="40" s="1"/>
  <c r="AS38" i="40"/>
  <c r="AN38" i="40"/>
  <c r="AM38" i="40"/>
  <c r="AL38" i="40"/>
  <c r="O38" i="40"/>
  <c r="M38" i="40"/>
  <c r="I38" i="40"/>
  <c r="F38" i="40"/>
  <c r="E38" i="40"/>
  <c r="B38" i="40"/>
  <c r="N38" i="40" s="1"/>
  <c r="AS37" i="40"/>
  <c r="AM37" i="40"/>
  <c r="AL37" i="40"/>
  <c r="O37" i="40"/>
  <c r="M37" i="40"/>
  <c r="E37" i="40"/>
  <c r="H37" i="40" s="1"/>
  <c r="B37" i="40"/>
  <c r="N37" i="40" s="1"/>
  <c r="AS36" i="40"/>
  <c r="AN36" i="40"/>
  <c r="AN37" i="40" s="1"/>
  <c r="AM36" i="40"/>
  <c r="AL36" i="40"/>
  <c r="O36" i="40"/>
  <c r="M36" i="40"/>
  <c r="I36" i="40"/>
  <c r="J36" i="40" s="1"/>
  <c r="AU36" i="40" s="1"/>
  <c r="F36" i="40"/>
  <c r="H36" i="40" s="1"/>
  <c r="AX36" i="40" s="1"/>
  <c r="BA36" i="40" s="1"/>
  <c r="B36" i="40"/>
  <c r="N36" i="40" s="1"/>
  <c r="AS35" i="40"/>
  <c r="AN35" i="40"/>
  <c r="AM35" i="40"/>
  <c r="AL35" i="40"/>
  <c r="O35" i="40"/>
  <c r="M35" i="40"/>
  <c r="I35" i="40"/>
  <c r="F35" i="40"/>
  <c r="E35" i="40"/>
  <c r="B35" i="40"/>
  <c r="N35" i="40" s="1"/>
  <c r="AS34" i="40"/>
  <c r="AN34" i="40"/>
  <c r="AM34" i="40"/>
  <c r="AL34" i="40"/>
  <c r="O34" i="40"/>
  <c r="M34" i="40"/>
  <c r="J34" i="40"/>
  <c r="J38" i="40" s="1"/>
  <c r="I34" i="40"/>
  <c r="F34" i="40"/>
  <c r="E34" i="40"/>
  <c r="B34" i="40"/>
  <c r="N34" i="40" s="1"/>
  <c r="AS33" i="40"/>
  <c r="AN33" i="40"/>
  <c r="AM33" i="40"/>
  <c r="AL33" i="40"/>
  <c r="O33" i="40"/>
  <c r="M33" i="40"/>
  <c r="J33" i="40"/>
  <c r="J37" i="40" s="1"/>
  <c r="AU37" i="40" s="1"/>
  <c r="I33" i="40"/>
  <c r="F33" i="40"/>
  <c r="E33" i="40"/>
  <c r="B33" i="40"/>
  <c r="N33" i="40" s="1"/>
  <c r="AS32" i="40"/>
  <c r="AQ32" i="40"/>
  <c r="O32" i="40"/>
  <c r="N32" i="40"/>
  <c r="M32" i="40"/>
  <c r="J32" i="40"/>
  <c r="AU34" i="40" s="1"/>
  <c r="H32" i="40"/>
  <c r="AW32" i="40" s="1"/>
  <c r="AZ32" i="40" s="1"/>
  <c r="AS30" i="40"/>
  <c r="AM30" i="40"/>
  <c r="AL30" i="40"/>
  <c r="M30" i="40"/>
  <c r="I30" i="40"/>
  <c r="H30" i="40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M26" i="40"/>
  <c r="I26" i="40"/>
  <c r="E26" i="40"/>
  <c r="E27" i="40" s="1"/>
  <c r="B26" i="40"/>
  <c r="N26" i="40" s="1"/>
  <c r="AS25" i="40"/>
  <c r="AN25" i="40"/>
  <c r="AL25" i="40"/>
  <c r="O25" i="40"/>
  <c r="M25" i="40"/>
  <c r="I25" i="40"/>
  <c r="J25" i="40" s="1"/>
  <c r="AU25" i="40" s="1"/>
  <c r="B25" i="40"/>
  <c r="N25" i="40" s="1"/>
  <c r="AS24" i="40"/>
  <c r="AN24" i="40"/>
  <c r="AM24" i="40"/>
  <c r="AL24" i="40"/>
  <c r="O24" i="40"/>
  <c r="M24" i="40"/>
  <c r="I24" i="40"/>
  <c r="E24" i="40"/>
  <c r="B24" i="40"/>
  <c r="N24" i="40" s="1"/>
  <c r="AS23" i="40"/>
  <c r="AN23" i="40"/>
  <c r="AM23" i="40"/>
  <c r="AM25" i="40" s="1"/>
  <c r="AL23" i="40"/>
  <c r="O23" i="40"/>
  <c r="M23" i="40"/>
  <c r="AU23" i="40"/>
  <c r="I23" i="40"/>
  <c r="F23" i="40"/>
  <c r="F24" i="40" s="1"/>
  <c r="F25" i="40" s="1"/>
  <c r="E23" i="40"/>
  <c r="B23" i="40"/>
  <c r="N23" i="40" s="1"/>
  <c r="AS22" i="40"/>
  <c r="AQ22" i="40"/>
  <c r="AR22" i="40" s="1"/>
  <c r="O22" i="40"/>
  <c r="N22" i="40"/>
  <c r="M22" i="40"/>
  <c r="J22" i="40"/>
  <c r="J30" i="40" s="1"/>
  <c r="AU30" i="40" s="1"/>
  <c r="H22" i="40"/>
  <c r="AX22" i="40" s="1"/>
  <c r="BA22" i="40" s="1"/>
  <c r="AS20" i="40"/>
  <c r="AM20" i="40"/>
  <c r="AL20" i="40"/>
  <c r="M20" i="40"/>
  <c r="I20" i="40"/>
  <c r="H20" i="40"/>
  <c r="AX20" i="40" s="1"/>
  <c r="BA20" i="40" s="1"/>
  <c r="B20" i="40"/>
  <c r="AS19" i="40"/>
  <c r="AN19" i="40"/>
  <c r="AM19" i="40"/>
  <c r="AL19" i="40"/>
  <c r="O19" i="40"/>
  <c r="M19" i="40"/>
  <c r="B19" i="40"/>
  <c r="N19" i="40" s="1"/>
  <c r="AS18" i="40"/>
  <c r="AN18" i="40"/>
  <c r="AM18" i="40"/>
  <c r="AL18" i="40"/>
  <c r="O18" i="40"/>
  <c r="M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E16" i="40"/>
  <c r="E17" i="40" s="1"/>
  <c r="B16" i="40"/>
  <c r="N16" i="40" s="1"/>
  <c r="AS15" i="40"/>
  <c r="AN15" i="40"/>
  <c r="AL15" i="40"/>
  <c r="O15" i="40"/>
  <c r="M15" i="40"/>
  <c r="I15" i="40"/>
  <c r="I17" i="40" s="1"/>
  <c r="J17" i="40" s="1"/>
  <c r="B15" i="40"/>
  <c r="N15" i="40" s="1"/>
  <c r="AS14" i="40"/>
  <c r="AN14" i="40"/>
  <c r="AM14" i="40"/>
  <c r="AL14" i="40"/>
  <c r="O14" i="40"/>
  <c r="M14" i="40"/>
  <c r="I14" i="40"/>
  <c r="E14" i="40"/>
  <c r="B14" i="40"/>
  <c r="N14" i="40" s="1"/>
  <c r="AS13" i="40"/>
  <c r="AN13" i="40"/>
  <c r="AM13" i="40"/>
  <c r="AM15" i="40" s="1"/>
  <c r="AL13" i="40"/>
  <c r="O13" i="40"/>
  <c r="M13" i="40"/>
  <c r="AU13" i="40"/>
  <c r="I13" i="40"/>
  <c r="F13" i="40"/>
  <c r="F14" i="40" s="1"/>
  <c r="E13" i="40"/>
  <c r="B13" i="40"/>
  <c r="N13" i="40" s="1"/>
  <c r="AS12" i="40"/>
  <c r="AQ12" i="40"/>
  <c r="O12" i="40"/>
  <c r="N12" i="40"/>
  <c r="M12" i="40"/>
  <c r="J12" i="40"/>
  <c r="AU12" i="40" s="1"/>
  <c r="H12" i="40"/>
  <c r="AX12" i="40" s="1"/>
  <c r="BA12" i="40" s="1"/>
  <c r="U199" i="24"/>
  <c r="U198" i="24"/>
  <c r="U170" i="24"/>
  <c r="U4" i="24"/>
  <c r="U5" i="24"/>
  <c r="U6" i="24"/>
  <c r="U7" i="24"/>
  <c r="U8" i="24"/>
  <c r="U9" i="24"/>
  <c r="U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I191" i="24"/>
  <c r="I192" i="24"/>
  <c r="I193" i="24"/>
  <c r="I194" i="24"/>
  <c r="I195" i="24"/>
  <c r="I196" i="24"/>
  <c r="I197" i="24"/>
  <c r="I198" i="24"/>
  <c r="I199" i="24"/>
  <c r="I200" i="24"/>
  <c r="I201" i="24"/>
  <c r="I202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3" i="24"/>
  <c r="BA233" i="2"/>
  <c r="AZ233" i="2"/>
  <c r="BA232" i="2"/>
  <c r="AZ232" i="2"/>
  <c r="AZ223" i="2"/>
  <c r="BA223" i="2"/>
  <c r="AZ224" i="2"/>
  <c r="BA224" i="2"/>
  <c r="AZ225" i="2"/>
  <c r="BA225" i="2"/>
  <c r="AZ226" i="2"/>
  <c r="BA226" i="2"/>
  <c r="AZ227" i="2"/>
  <c r="BA227" i="2"/>
  <c r="BA222" i="2"/>
  <c r="AZ222" i="2"/>
  <c r="AZ214" i="2"/>
  <c r="BA214" i="2"/>
  <c r="AZ215" i="2"/>
  <c r="BA215" i="2"/>
  <c r="AZ216" i="2"/>
  <c r="BA216" i="2"/>
  <c r="AZ217" i="2"/>
  <c r="BA217" i="2"/>
  <c r="AZ218" i="2"/>
  <c r="BA218" i="2"/>
  <c r="AZ219" i="2"/>
  <c r="BA219" i="2"/>
  <c r="AZ220" i="2"/>
  <c r="BA220" i="2"/>
  <c r="BA213" i="2"/>
  <c r="AZ213" i="2"/>
  <c r="BA212" i="2"/>
  <c r="AZ212" i="2"/>
  <c r="AZ210" i="2"/>
  <c r="BA210" i="2"/>
  <c r="BA209" i="2"/>
  <c r="AZ209" i="2"/>
  <c r="BA208" i="2"/>
  <c r="AZ208" i="2"/>
  <c r="BA207" i="2"/>
  <c r="AZ207" i="2"/>
  <c r="BA206" i="2"/>
  <c r="AZ206" i="2"/>
  <c r="BA205" i="2"/>
  <c r="AZ205" i="2"/>
  <c r="BA204" i="2"/>
  <c r="AZ204" i="2"/>
  <c r="BA203" i="2"/>
  <c r="AZ203" i="2"/>
  <c r="BA202" i="2"/>
  <c r="AZ202" i="2"/>
  <c r="BA199" i="2"/>
  <c r="AZ199" i="2"/>
  <c r="BA198" i="2"/>
  <c r="AZ198" i="2"/>
  <c r="BA197" i="2"/>
  <c r="AZ197" i="2"/>
  <c r="BA196" i="2"/>
  <c r="AZ196" i="2"/>
  <c r="BA195" i="2"/>
  <c r="AZ195" i="2"/>
  <c r="BA194" i="2"/>
  <c r="AZ194" i="2"/>
  <c r="BA193" i="2"/>
  <c r="AZ193" i="2"/>
  <c r="BA192" i="2"/>
  <c r="AZ192" i="2"/>
  <c r="AZ183" i="2"/>
  <c r="BA183" i="2"/>
  <c r="AZ184" i="2"/>
  <c r="BA184" i="2"/>
  <c r="AZ185" i="2"/>
  <c r="BA185" i="2"/>
  <c r="AZ186" i="2"/>
  <c r="BA186" i="2"/>
  <c r="AZ187" i="2"/>
  <c r="BA187" i="2"/>
  <c r="AZ188" i="2"/>
  <c r="BA188" i="2"/>
  <c r="AZ189" i="2"/>
  <c r="BA189" i="2"/>
  <c r="AZ173" i="2"/>
  <c r="BA173" i="2"/>
  <c r="AZ174" i="2"/>
  <c r="BA174" i="2"/>
  <c r="AZ175" i="2"/>
  <c r="BA175" i="2"/>
  <c r="AZ176" i="2"/>
  <c r="BA176" i="2"/>
  <c r="AZ177" i="2"/>
  <c r="BA177" i="2"/>
  <c r="AZ163" i="2"/>
  <c r="BA163" i="2"/>
  <c r="AZ164" i="2"/>
  <c r="BA164" i="2"/>
  <c r="AZ165" i="2"/>
  <c r="BA165" i="2"/>
  <c r="AZ166" i="2"/>
  <c r="BA166" i="2"/>
  <c r="AZ167" i="2"/>
  <c r="BA167" i="2"/>
  <c r="BA182" i="2"/>
  <c r="AZ182" i="2"/>
  <c r="BA172" i="2"/>
  <c r="AZ172" i="2"/>
  <c r="BA162" i="2"/>
  <c r="AZ162" i="2"/>
  <c r="AZ153" i="2"/>
  <c r="BA153" i="2"/>
  <c r="AZ154" i="2"/>
  <c r="BA154" i="2"/>
  <c r="AZ155" i="2"/>
  <c r="BA155" i="2"/>
  <c r="AZ156" i="2"/>
  <c r="BA156" i="2"/>
  <c r="AZ157" i="2"/>
  <c r="BA157" i="2"/>
  <c r="BA152" i="2"/>
  <c r="AZ152" i="2"/>
  <c r="AZ143" i="2"/>
  <c r="BA143" i="2"/>
  <c r="AZ144" i="2"/>
  <c r="BA144" i="2"/>
  <c r="AZ133" i="2"/>
  <c r="BA133" i="2"/>
  <c r="AZ134" i="2"/>
  <c r="BA134" i="2"/>
  <c r="AZ123" i="2"/>
  <c r="BA123" i="2"/>
  <c r="AZ124" i="2"/>
  <c r="BA124" i="2"/>
  <c r="AZ125" i="2"/>
  <c r="BA125" i="2"/>
  <c r="AZ126" i="2"/>
  <c r="BA126" i="2"/>
  <c r="AZ127" i="2"/>
  <c r="BA127" i="2"/>
  <c r="AZ128" i="2"/>
  <c r="BA128" i="2"/>
  <c r="AZ129" i="2"/>
  <c r="BA129" i="2"/>
  <c r="AZ130" i="2"/>
  <c r="BA130" i="2"/>
  <c r="BA142" i="2"/>
  <c r="AZ142" i="2"/>
  <c r="BA132" i="2"/>
  <c r="AZ132" i="2"/>
  <c r="BA122" i="2"/>
  <c r="AZ122" i="2"/>
  <c r="AZ113" i="2"/>
  <c r="BA113" i="2"/>
  <c r="AZ114" i="2"/>
  <c r="BA114" i="2"/>
  <c r="AZ115" i="2"/>
  <c r="BA115" i="2"/>
  <c r="AZ116" i="2"/>
  <c r="BA116" i="2"/>
  <c r="AZ117" i="2"/>
  <c r="BA117" i="2"/>
  <c r="AZ118" i="2"/>
  <c r="BA118" i="2"/>
  <c r="AZ119" i="2"/>
  <c r="BA119" i="2"/>
  <c r="AZ120" i="2"/>
  <c r="BA120" i="2"/>
  <c r="AZ103" i="2"/>
  <c r="BA103" i="2"/>
  <c r="AZ104" i="2"/>
  <c r="BA104" i="2"/>
  <c r="AZ105" i="2"/>
  <c r="BA105" i="2"/>
  <c r="AZ106" i="2"/>
  <c r="BA106" i="2"/>
  <c r="AZ107" i="2"/>
  <c r="BA107" i="2"/>
  <c r="AZ93" i="2"/>
  <c r="BA93" i="2"/>
  <c r="AZ94" i="2"/>
  <c r="BA94" i="2"/>
  <c r="AZ95" i="2"/>
  <c r="BA95" i="2"/>
  <c r="AZ96" i="2"/>
  <c r="BA96" i="2"/>
  <c r="AZ97" i="2"/>
  <c r="BA97" i="2"/>
  <c r="AZ83" i="2"/>
  <c r="BA83" i="2"/>
  <c r="AZ84" i="2"/>
  <c r="BA84" i="2"/>
  <c r="AZ85" i="2"/>
  <c r="BA85" i="2"/>
  <c r="AZ86" i="2"/>
  <c r="BA86" i="2"/>
  <c r="AZ87" i="2"/>
  <c r="BA87" i="2"/>
  <c r="AZ73" i="2"/>
  <c r="BA73" i="2"/>
  <c r="AZ74" i="2"/>
  <c r="BA74" i="2"/>
  <c r="AZ75" i="2"/>
  <c r="BA75" i="2"/>
  <c r="AZ76" i="2"/>
  <c r="BA76" i="2"/>
  <c r="AZ77" i="2"/>
  <c r="BA77" i="2"/>
  <c r="AZ63" i="2"/>
  <c r="BA63" i="2"/>
  <c r="AZ64" i="2"/>
  <c r="BA64" i="2"/>
  <c r="AZ65" i="2"/>
  <c r="BA65" i="2"/>
  <c r="AZ66" i="2"/>
  <c r="BA66" i="2"/>
  <c r="AZ67" i="2"/>
  <c r="BA67" i="2"/>
  <c r="AZ53" i="2"/>
  <c r="BA53" i="2"/>
  <c r="AZ54" i="2"/>
  <c r="BA54" i="2"/>
  <c r="AZ55" i="2"/>
  <c r="BA55" i="2"/>
  <c r="AZ56" i="2"/>
  <c r="BA56" i="2"/>
  <c r="AZ57" i="2"/>
  <c r="BA57" i="2"/>
  <c r="AZ43" i="2"/>
  <c r="BA43" i="2"/>
  <c r="AZ44" i="2"/>
  <c r="BA44" i="2"/>
  <c r="AZ45" i="2"/>
  <c r="BA45" i="2"/>
  <c r="AZ46" i="2"/>
  <c r="BA46" i="2"/>
  <c r="AZ47" i="2"/>
  <c r="BA47" i="2"/>
  <c r="AZ48" i="2"/>
  <c r="BA48" i="2"/>
  <c r="AZ49" i="2"/>
  <c r="BA49" i="2"/>
  <c r="BA112" i="2"/>
  <c r="AZ112" i="2"/>
  <c r="BA102" i="2"/>
  <c r="AZ102" i="2"/>
  <c r="BA92" i="2"/>
  <c r="AZ92" i="2"/>
  <c r="BA82" i="2"/>
  <c r="AZ82" i="2"/>
  <c r="BA72" i="2"/>
  <c r="AZ72" i="2"/>
  <c r="BA62" i="2"/>
  <c r="AZ62" i="2"/>
  <c r="BA52" i="2"/>
  <c r="AZ52" i="2"/>
  <c r="BA42" i="2"/>
  <c r="AZ42" i="2"/>
  <c r="AZ33" i="2"/>
  <c r="BA33" i="2"/>
  <c r="AZ34" i="2"/>
  <c r="BA34" i="2"/>
  <c r="AZ35" i="2"/>
  <c r="BA35" i="2"/>
  <c r="AZ36" i="2"/>
  <c r="BA36" i="2"/>
  <c r="AZ37" i="2"/>
  <c r="BA37" i="2"/>
  <c r="AZ38" i="2"/>
  <c r="BA38" i="2"/>
  <c r="AZ39" i="2"/>
  <c r="BA39" i="2"/>
  <c r="BA32" i="2"/>
  <c r="AZ32" i="2"/>
  <c r="AZ23" i="2"/>
  <c r="BA23" i="2"/>
  <c r="AZ24" i="2"/>
  <c r="BA24" i="2"/>
  <c r="AZ25" i="2"/>
  <c r="BA25" i="2"/>
  <c r="AZ26" i="2"/>
  <c r="BA26" i="2"/>
  <c r="AZ27" i="2"/>
  <c r="BA27" i="2"/>
  <c r="BA22" i="2"/>
  <c r="AZ22" i="2"/>
  <c r="AZ13" i="2"/>
  <c r="BA13" i="2"/>
  <c r="AZ14" i="2"/>
  <c r="BA14" i="2"/>
  <c r="AZ15" i="2"/>
  <c r="BA15" i="2"/>
  <c r="AZ16" i="2"/>
  <c r="BA16" i="2"/>
  <c r="AZ17" i="2"/>
  <c r="BA17" i="2"/>
  <c r="BA12" i="2"/>
  <c r="AZ12" i="2"/>
  <c r="AZ3" i="2"/>
  <c r="BA3" i="2"/>
  <c r="AZ4" i="2"/>
  <c r="BA4" i="2"/>
  <c r="AZ5" i="2"/>
  <c r="BA5" i="2"/>
  <c r="AZ6" i="2"/>
  <c r="BA6" i="2"/>
  <c r="AZ7" i="2"/>
  <c r="BA7" i="2"/>
  <c r="BA2" i="2"/>
  <c r="AZ2" i="2"/>
  <c r="E19" i="24"/>
  <c r="E20" i="24"/>
  <c r="E22" i="24"/>
  <c r="E21" i="24"/>
  <c r="E18" i="24"/>
  <c r="E17" i="24"/>
  <c r="E16" i="24"/>
  <c r="E15" i="24"/>
  <c r="J73" i="40" l="1"/>
  <c r="AU74" i="40" s="1"/>
  <c r="H94" i="40"/>
  <c r="AW94" i="40" s="1"/>
  <c r="AZ94" i="40" s="1"/>
  <c r="H197" i="40"/>
  <c r="AW197" i="40" s="1"/>
  <c r="AZ197" i="40" s="1"/>
  <c r="AQ163" i="40"/>
  <c r="AQ167" i="40"/>
  <c r="J43" i="40"/>
  <c r="AU43" i="40" s="1"/>
  <c r="AQ169" i="40"/>
  <c r="AR169" i="40" s="1"/>
  <c r="AT169" i="40" s="1"/>
  <c r="AW162" i="40"/>
  <c r="AZ162" i="40" s="1"/>
  <c r="AQ164" i="40"/>
  <c r="AR164" i="40" s="1"/>
  <c r="AT164" i="40" s="1"/>
  <c r="AV164" i="40" s="1"/>
  <c r="AY164" i="40" s="1"/>
  <c r="AQ170" i="40"/>
  <c r="AU163" i="40"/>
  <c r="J170" i="40"/>
  <c r="AU170" i="40" s="1"/>
  <c r="AT162" i="40"/>
  <c r="AV162" i="40" s="1"/>
  <c r="AY162" i="40" s="1"/>
  <c r="AQ166" i="40"/>
  <c r="AR166" i="40" s="1"/>
  <c r="AT166" i="40" s="1"/>
  <c r="AV166" i="40" s="1"/>
  <c r="AX170" i="40"/>
  <c r="BA170" i="40" s="1"/>
  <c r="AR167" i="40"/>
  <c r="AT167" i="40"/>
  <c r="AU169" i="40"/>
  <c r="AU167" i="40"/>
  <c r="AX164" i="40"/>
  <c r="BA164" i="40" s="1"/>
  <c r="AW164" i="40"/>
  <c r="AZ164" i="40" s="1"/>
  <c r="AR163" i="40"/>
  <c r="AT163" i="40"/>
  <c r="AR170" i="40"/>
  <c r="AT170" i="40" s="1"/>
  <c r="F166" i="40"/>
  <c r="F167" i="40" s="1"/>
  <c r="F168" i="40" s="1"/>
  <c r="F169" i="40" s="1"/>
  <c r="H165" i="40"/>
  <c r="AR165" i="40"/>
  <c r="AT165" i="40"/>
  <c r="AX163" i="40"/>
  <c r="BA163" i="40" s="1"/>
  <c r="AX162" i="40"/>
  <c r="BA162" i="40" s="1"/>
  <c r="I168" i="40"/>
  <c r="E169" i="40"/>
  <c r="J165" i="40"/>
  <c r="AU165" i="40" s="1"/>
  <c r="E168" i="40"/>
  <c r="AQ107" i="40"/>
  <c r="H144" i="40"/>
  <c r="AW144" i="40" s="1"/>
  <c r="AZ144" i="40" s="1"/>
  <c r="AU64" i="40"/>
  <c r="AQ105" i="40"/>
  <c r="AR105" i="40" s="1"/>
  <c r="AU22" i="40"/>
  <c r="AQ126" i="40"/>
  <c r="AR126" i="40" s="1"/>
  <c r="AT126" i="40" s="1"/>
  <c r="AQ226" i="40"/>
  <c r="AQ103" i="40"/>
  <c r="AR103" i="40" s="1"/>
  <c r="AT103" i="40" s="1"/>
  <c r="H113" i="40"/>
  <c r="AW113" i="40" s="1"/>
  <c r="AZ113" i="40" s="1"/>
  <c r="AQ203" i="40"/>
  <c r="AR203" i="40" s="1"/>
  <c r="AT203" i="40" s="1"/>
  <c r="H206" i="40"/>
  <c r="AX206" i="40" s="1"/>
  <c r="BA206" i="40" s="1"/>
  <c r="AQ207" i="40"/>
  <c r="AR207" i="40" s="1"/>
  <c r="AT207" i="40" s="1"/>
  <c r="H147" i="40"/>
  <c r="AX147" i="40" s="1"/>
  <c r="BA147" i="40" s="1"/>
  <c r="H66" i="40"/>
  <c r="AW66" i="40" s="1"/>
  <c r="AZ66" i="40" s="1"/>
  <c r="AQ137" i="40"/>
  <c r="AR137" i="40" s="1"/>
  <c r="AT137" i="40" s="1"/>
  <c r="AV137" i="40" s="1"/>
  <c r="AW172" i="40"/>
  <c r="AZ172" i="40" s="1"/>
  <c r="AT192" i="40"/>
  <c r="AV192" i="40" s="1"/>
  <c r="AY192" i="40" s="1"/>
  <c r="AQ193" i="40"/>
  <c r="H84" i="40"/>
  <c r="AW84" i="40" s="1"/>
  <c r="AZ84" i="40" s="1"/>
  <c r="AQ63" i="40"/>
  <c r="AR63" i="40" s="1"/>
  <c r="AQ65" i="40"/>
  <c r="AR65" i="40" s="1"/>
  <c r="H86" i="40"/>
  <c r="AW86" i="40" s="1"/>
  <c r="AZ86" i="40" s="1"/>
  <c r="AQ95" i="40"/>
  <c r="AR95" i="40" s="1"/>
  <c r="AT95" i="40" s="1"/>
  <c r="AV95" i="40" s="1"/>
  <c r="AQ153" i="40"/>
  <c r="AR153" i="40" s="1"/>
  <c r="AT153" i="40" s="1"/>
  <c r="AQ155" i="40"/>
  <c r="AR155" i="40" s="1"/>
  <c r="AT155" i="40" s="1"/>
  <c r="AV155" i="40" s="1"/>
  <c r="AY155" i="40" s="1"/>
  <c r="AQ157" i="40"/>
  <c r="AR157" i="40" s="1"/>
  <c r="I19" i="40"/>
  <c r="AQ19" i="40" s="1"/>
  <c r="AR19" i="40" s="1"/>
  <c r="AT19" i="40" s="1"/>
  <c r="AQ20" i="40"/>
  <c r="AR20" i="40" s="1"/>
  <c r="AT20" i="40" s="1"/>
  <c r="AQ23" i="40"/>
  <c r="AR23" i="40" s="1"/>
  <c r="AT23" i="40" s="1"/>
  <c r="AV23" i="40" s="1"/>
  <c r="AQ66" i="40"/>
  <c r="AR66" i="40" s="1"/>
  <c r="AT66" i="40" s="1"/>
  <c r="AQ123" i="40"/>
  <c r="AR123" i="40" s="1"/>
  <c r="AT123" i="40" s="1"/>
  <c r="H136" i="40"/>
  <c r="AX136" i="40" s="1"/>
  <c r="BA136" i="40" s="1"/>
  <c r="AT142" i="40"/>
  <c r="AV142" i="40" s="1"/>
  <c r="AY142" i="40" s="1"/>
  <c r="AQ175" i="40"/>
  <c r="AR175" i="40" s="1"/>
  <c r="AT175" i="40" s="1"/>
  <c r="AT222" i="40"/>
  <c r="F223" i="40"/>
  <c r="H223" i="40" s="1"/>
  <c r="H233" i="40"/>
  <c r="AX233" i="40" s="1"/>
  <c r="BA233" i="40" s="1"/>
  <c r="AU233" i="40"/>
  <c r="I187" i="40"/>
  <c r="AQ187" i="40" s="1"/>
  <c r="AR187" i="40" s="1"/>
  <c r="AT187" i="40" s="1"/>
  <c r="H14" i="40"/>
  <c r="AX14" i="40" s="1"/>
  <c r="BA14" i="40" s="1"/>
  <c r="H39" i="40"/>
  <c r="AX39" i="40" s="1"/>
  <c r="BA39" i="40" s="1"/>
  <c r="AQ45" i="40"/>
  <c r="AT62" i="40"/>
  <c r="AV62" i="40" s="1"/>
  <c r="AY62" i="40" s="1"/>
  <c r="AQ64" i="40"/>
  <c r="AR64" i="40" s="1"/>
  <c r="AT64" i="40" s="1"/>
  <c r="AQ67" i="40"/>
  <c r="AR67" i="40" s="1"/>
  <c r="AT67" i="40" s="1"/>
  <c r="AV67" i="40" s="1"/>
  <c r="AU72" i="40"/>
  <c r="AQ83" i="40"/>
  <c r="AR83" i="40" s="1"/>
  <c r="AT83" i="40" s="1"/>
  <c r="AT92" i="40"/>
  <c r="AV92" i="40" s="1"/>
  <c r="AY92" i="40" s="1"/>
  <c r="H93" i="40"/>
  <c r="AW93" i="40" s="1"/>
  <c r="AZ93" i="40" s="1"/>
  <c r="AQ104" i="40"/>
  <c r="AR104" i="40" s="1"/>
  <c r="AT104" i="40" s="1"/>
  <c r="AV104" i="40" s="1"/>
  <c r="H116" i="40"/>
  <c r="AX116" i="40" s="1"/>
  <c r="BA116" i="40" s="1"/>
  <c r="AQ173" i="40"/>
  <c r="AQ174" i="40"/>
  <c r="AR174" i="40" s="1"/>
  <c r="AT174" i="40" s="1"/>
  <c r="AV174" i="40" s="1"/>
  <c r="AW182" i="40"/>
  <c r="AZ182" i="40" s="1"/>
  <c r="H194" i="40"/>
  <c r="AX194" i="40" s="1"/>
  <c r="BA194" i="40" s="1"/>
  <c r="H203" i="40"/>
  <c r="AW203" i="40" s="1"/>
  <c r="AZ203" i="40" s="1"/>
  <c r="H215" i="40"/>
  <c r="AX215" i="40" s="1"/>
  <c r="BA215" i="40" s="1"/>
  <c r="H237" i="40"/>
  <c r="AW237" i="40" s="1"/>
  <c r="AZ237" i="40" s="1"/>
  <c r="AQ77" i="40"/>
  <c r="AR77" i="40" s="1"/>
  <c r="AT77" i="40" s="1"/>
  <c r="AV77" i="40" s="1"/>
  <c r="H193" i="40"/>
  <c r="AX193" i="40" s="1"/>
  <c r="BA193" i="40" s="1"/>
  <c r="AQ75" i="40"/>
  <c r="AR75" i="40" s="1"/>
  <c r="AT75" i="40" s="1"/>
  <c r="AV75" i="40" s="1"/>
  <c r="AQ115" i="40"/>
  <c r="AR115" i="40" s="1"/>
  <c r="AT115" i="40" s="1"/>
  <c r="AV115" i="40" s="1"/>
  <c r="H189" i="40"/>
  <c r="AX189" i="40" s="1"/>
  <c r="BA189" i="40" s="1"/>
  <c r="AQ189" i="40"/>
  <c r="AR189" i="40" s="1"/>
  <c r="AT189" i="40" s="1"/>
  <c r="H23" i="40"/>
  <c r="AW23" i="40" s="1"/>
  <c r="AZ23" i="40" s="1"/>
  <c r="H43" i="40"/>
  <c r="AW43" i="40" s="1"/>
  <c r="AZ43" i="40" s="1"/>
  <c r="AQ93" i="40"/>
  <c r="AR93" i="40" s="1"/>
  <c r="AT93" i="40" s="1"/>
  <c r="AU93" i="40"/>
  <c r="AQ145" i="40"/>
  <c r="AR145" i="40" s="1"/>
  <c r="AT145" i="40" s="1"/>
  <c r="AV145" i="40" s="1"/>
  <c r="AY145" i="40" s="1"/>
  <c r="H154" i="40"/>
  <c r="AX154" i="40" s="1"/>
  <c r="BA154" i="40" s="1"/>
  <c r="AQ184" i="40"/>
  <c r="AR184" i="40" s="1"/>
  <c r="AT184" i="40" s="1"/>
  <c r="H185" i="40"/>
  <c r="AX185" i="40" s="1"/>
  <c r="BA185" i="40" s="1"/>
  <c r="H188" i="40"/>
  <c r="AX188" i="40" s="1"/>
  <c r="BA188" i="40" s="1"/>
  <c r="AQ185" i="40"/>
  <c r="AR185" i="40" s="1"/>
  <c r="AT185" i="40" s="1"/>
  <c r="F224" i="40"/>
  <c r="H224" i="40" s="1"/>
  <c r="AW224" i="40" s="1"/>
  <c r="AZ224" i="40" s="1"/>
  <c r="F226" i="40"/>
  <c r="H226" i="40" s="1"/>
  <c r="AW226" i="40" s="1"/>
  <c r="AZ226" i="40" s="1"/>
  <c r="H135" i="40"/>
  <c r="AW135" i="40" s="1"/>
  <c r="AZ135" i="40" s="1"/>
  <c r="E137" i="40"/>
  <c r="H137" i="40" s="1"/>
  <c r="AW137" i="40" s="1"/>
  <c r="AZ137" i="40" s="1"/>
  <c r="F127" i="40"/>
  <c r="H127" i="40" s="1"/>
  <c r="H126" i="40"/>
  <c r="AW126" i="40" s="1"/>
  <c r="AZ126" i="40" s="1"/>
  <c r="H125" i="40"/>
  <c r="AW125" i="40" s="1"/>
  <c r="AZ125" i="40" s="1"/>
  <c r="AW65" i="40"/>
  <c r="AZ65" i="40" s="1"/>
  <c r="AX65" i="40"/>
  <c r="BA65" i="40" s="1"/>
  <c r="H13" i="40"/>
  <c r="AW13" i="40" s="1"/>
  <c r="AZ13" i="40" s="1"/>
  <c r="AQ30" i="40"/>
  <c r="AR30" i="40" s="1"/>
  <c r="AT30" i="40" s="1"/>
  <c r="AV30" i="40" s="1"/>
  <c r="AY30" i="40" s="1"/>
  <c r="AQ38" i="40"/>
  <c r="AR38" i="40" s="1"/>
  <c r="AT38" i="40" s="1"/>
  <c r="H64" i="40"/>
  <c r="AW64" i="40" s="1"/>
  <c r="AZ64" i="40" s="1"/>
  <c r="AQ73" i="40"/>
  <c r="AU83" i="40"/>
  <c r="AQ96" i="40"/>
  <c r="AR96" i="40" s="1"/>
  <c r="AT96" i="40" s="1"/>
  <c r="AV96" i="40" s="1"/>
  <c r="H103" i="40"/>
  <c r="AX103" i="40" s="1"/>
  <c r="BA103" i="40" s="1"/>
  <c r="AQ106" i="40"/>
  <c r="AQ124" i="40"/>
  <c r="AR124" i="40" s="1"/>
  <c r="AT124" i="40" s="1"/>
  <c r="AQ133" i="40"/>
  <c r="AR133" i="40" s="1"/>
  <c r="AT133" i="40" s="1"/>
  <c r="AQ143" i="40"/>
  <c r="AR143" i="40" s="1"/>
  <c r="AT143" i="40" s="1"/>
  <c r="H174" i="40"/>
  <c r="AX174" i="40" s="1"/>
  <c r="BA174" i="40" s="1"/>
  <c r="H175" i="40"/>
  <c r="AX175" i="40" s="1"/>
  <c r="BA175" i="40" s="1"/>
  <c r="H204" i="40"/>
  <c r="AW204" i="40" s="1"/>
  <c r="AZ204" i="40" s="1"/>
  <c r="AQ214" i="40"/>
  <c r="AR214" i="40" s="1"/>
  <c r="AT214" i="40" s="1"/>
  <c r="H222" i="40"/>
  <c r="AX222" i="40" s="1"/>
  <c r="BA222" i="40" s="1"/>
  <c r="F225" i="40"/>
  <c r="H225" i="40" s="1"/>
  <c r="AX225" i="40" s="1"/>
  <c r="BA225" i="40" s="1"/>
  <c r="J226" i="40"/>
  <c r="AU226" i="40" s="1"/>
  <c r="AX232" i="40"/>
  <c r="BA232" i="40" s="1"/>
  <c r="AW22" i="40"/>
  <c r="AZ22" i="40" s="1"/>
  <c r="H74" i="40"/>
  <c r="AX74" i="40" s="1"/>
  <c r="BA74" i="40" s="1"/>
  <c r="AQ84" i="40"/>
  <c r="AR84" i="40" s="1"/>
  <c r="AT84" i="40" s="1"/>
  <c r="AV84" i="40" s="1"/>
  <c r="AQ94" i="40"/>
  <c r="AR94" i="40" s="1"/>
  <c r="AT94" i="40" s="1"/>
  <c r="AV94" i="40" s="1"/>
  <c r="AY94" i="40" s="1"/>
  <c r="H104" i="40"/>
  <c r="AW104" i="40" s="1"/>
  <c r="AZ104" i="40" s="1"/>
  <c r="AQ113" i="40"/>
  <c r="AR113" i="40" s="1"/>
  <c r="AT113" i="40" s="1"/>
  <c r="AU123" i="40"/>
  <c r="J127" i="40"/>
  <c r="AU127" i="40" s="1"/>
  <c r="AQ127" i="40"/>
  <c r="AR127" i="40" s="1"/>
  <c r="AT127" i="40" s="1"/>
  <c r="AQ128" i="40"/>
  <c r="AR128" i="40" s="1"/>
  <c r="AT128" i="40" s="1"/>
  <c r="AW132" i="40"/>
  <c r="AZ132" i="40" s="1"/>
  <c r="H133" i="40"/>
  <c r="AW133" i="40" s="1"/>
  <c r="AZ133" i="40" s="1"/>
  <c r="AQ135" i="40"/>
  <c r="AR135" i="40" s="1"/>
  <c r="AT135" i="40" s="1"/>
  <c r="AV135" i="40" s="1"/>
  <c r="AY135" i="40" s="1"/>
  <c r="AQ156" i="40"/>
  <c r="AR156" i="40" s="1"/>
  <c r="AT156" i="40" s="1"/>
  <c r="H179" i="40"/>
  <c r="AW179" i="40" s="1"/>
  <c r="AZ179" i="40" s="1"/>
  <c r="AQ183" i="40"/>
  <c r="AR183" i="40" s="1"/>
  <c r="AT183" i="40" s="1"/>
  <c r="AV183" i="40" s="1"/>
  <c r="AQ186" i="40"/>
  <c r="AR186" i="40" s="1"/>
  <c r="AT186" i="40" s="1"/>
  <c r="AV186" i="40" s="1"/>
  <c r="AY186" i="40" s="1"/>
  <c r="AQ196" i="40"/>
  <c r="AR196" i="40" s="1"/>
  <c r="AT196" i="40" s="1"/>
  <c r="AQ125" i="40"/>
  <c r="AR125" i="40" s="1"/>
  <c r="AT125" i="40" s="1"/>
  <c r="AV125" i="40" s="1"/>
  <c r="AU133" i="40"/>
  <c r="AT22" i="40"/>
  <c r="AV22" i="40" s="1"/>
  <c r="AY22" i="40" s="1"/>
  <c r="AQ74" i="40"/>
  <c r="AR74" i="40" s="1"/>
  <c r="AT74" i="40" s="1"/>
  <c r="AQ76" i="40"/>
  <c r="AR76" i="40" s="1"/>
  <c r="AT76" i="40" s="1"/>
  <c r="AV76" i="40" s="1"/>
  <c r="AQ87" i="40"/>
  <c r="AR87" i="40" s="1"/>
  <c r="AT87" i="40" s="1"/>
  <c r="AV87" i="40" s="1"/>
  <c r="AQ97" i="40"/>
  <c r="AR97" i="40" s="1"/>
  <c r="AT97" i="40" s="1"/>
  <c r="AV97" i="40" s="1"/>
  <c r="AU103" i="40"/>
  <c r="AQ116" i="40"/>
  <c r="AR116" i="40" s="1"/>
  <c r="AT116" i="40" s="1"/>
  <c r="AV116" i="40" s="1"/>
  <c r="J126" i="40"/>
  <c r="AU126" i="40" s="1"/>
  <c r="AQ129" i="40"/>
  <c r="AR129" i="40" s="1"/>
  <c r="AT129" i="40" s="1"/>
  <c r="AT132" i="40"/>
  <c r="AV132" i="40" s="1"/>
  <c r="AY132" i="40" s="1"/>
  <c r="H134" i="40"/>
  <c r="AW134" i="40" s="1"/>
  <c r="AZ134" i="40" s="1"/>
  <c r="AQ144" i="40"/>
  <c r="AQ147" i="40"/>
  <c r="AR147" i="40" s="1"/>
  <c r="AT147" i="40" s="1"/>
  <c r="AQ179" i="40"/>
  <c r="AR179" i="40" s="1"/>
  <c r="AT179" i="40" s="1"/>
  <c r="H183" i="40"/>
  <c r="AW183" i="40" s="1"/>
  <c r="AZ183" i="40" s="1"/>
  <c r="H184" i="40"/>
  <c r="AW184" i="40" s="1"/>
  <c r="AZ184" i="40" s="1"/>
  <c r="AQ188" i="40"/>
  <c r="AQ197" i="40"/>
  <c r="AR197" i="40" s="1"/>
  <c r="AT197" i="40" s="1"/>
  <c r="AT202" i="40"/>
  <c r="AV202" i="40" s="1"/>
  <c r="AY202" i="40" s="1"/>
  <c r="H207" i="40"/>
  <c r="AW207" i="40" s="1"/>
  <c r="AZ207" i="40" s="1"/>
  <c r="AQ219" i="40"/>
  <c r="AR219" i="40" s="1"/>
  <c r="AT219" i="40" s="1"/>
  <c r="AQ223" i="40"/>
  <c r="AR223" i="40" s="1"/>
  <c r="AT223" i="40" s="1"/>
  <c r="AU223" i="40"/>
  <c r="AQ224" i="40"/>
  <c r="AR224" i="40" s="1"/>
  <c r="AT224" i="40" s="1"/>
  <c r="AV224" i="40" s="1"/>
  <c r="AQ228" i="40"/>
  <c r="AR228" i="40" s="1"/>
  <c r="AT228" i="40" s="1"/>
  <c r="H236" i="40"/>
  <c r="AW236" i="40" s="1"/>
  <c r="AZ236" i="40" s="1"/>
  <c r="AQ237" i="40"/>
  <c r="AR237" i="40" s="1"/>
  <c r="AT237" i="40" s="1"/>
  <c r="J236" i="40"/>
  <c r="AU236" i="40" s="1"/>
  <c r="H106" i="40"/>
  <c r="H124" i="40"/>
  <c r="AW124" i="40" s="1"/>
  <c r="AZ124" i="40" s="1"/>
  <c r="AQ134" i="40"/>
  <c r="AR134" i="40" s="1"/>
  <c r="AT134" i="40" s="1"/>
  <c r="AV134" i="40" s="1"/>
  <c r="AY134" i="40" s="1"/>
  <c r="AQ136" i="40"/>
  <c r="AR136" i="40" s="1"/>
  <c r="AT136" i="40" s="1"/>
  <c r="AV136" i="40" s="1"/>
  <c r="AY136" i="40" s="1"/>
  <c r="H217" i="40"/>
  <c r="H213" i="40"/>
  <c r="AW213" i="40" s="1"/>
  <c r="AZ213" i="40" s="1"/>
  <c r="AW62" i="40"/>
  <c r="AZ62" i="40" s="1"/>
  <c r="H63" i="40"/>
  <c r="AX63" i="40" s="1"/>
  <c r="BA63" i="40" s="1"/>
  <c r="H67" i="40"/>
  <c r="AX67" i="40" s="1"/>
  <c r="BA67" i="40" s="1"/>
  <c r="AQ233" i="40"/>
  <c r="AR233" i="40" s="1"/>
  <c r="AT233" i="40" s="1"/>
  <c r="AQ234" i="40"/>
  <c r="AR234" i="40" s="1"/>
  <c r="AT234" i="40" s="1"/>
  <c r="AV234" i="40" s="1"/>
  <c r="AY234" i="40" s="1"/>
  <c r="AQ236" i="40"/>
  <c r="AR236" i="40" s="1"/>
  <c r="AT236" i="40" s="1"/>
  <c r="AX235" i="40"/>
  <c r="BA235" i="40" s="1"/>
  <c r="AW235" i="40"/>
  <c r="AZ235" i="40" s="1"/>
  <c r="AX234" i="40"/>
  <c r="BA234" i="40" s="1"/>
  <c r="AW234" i="40"/>
  <c r="AZ234" i="40" s="1"/>
  <c r="AQ235" i="40"/>
  <c r="AT232" i="40"/>
  <c r="AV232" i="40" s="1"/>
  <c r="AY232" i="40" s="1"/>
  <c r="AW142" i="40"/>
  <c r="AZ142" i="40" s="1"/>
  <c r="H143" i="40"/>
  <c r="AW143" i="40" s="1"/>
  <c r="AZ143" i="40" s="1"/>
  <c r="H228" i="40"/>
  <c r="AX228" i="40" s="1"/>
  <c r="BA228" i="40" s="1"/>
  <c r="AQ225" i="40"/>
  <c r="AR225" i="40" s="1"/>
  <c r="AT225" i="40" s="1"/>
  <c r="AQ229" i="40"/>
  <c r="AR229" i="40" s="1"/>
  <c r="AT229" i="40" s="1"/>
  <c r="H229" i="40"/>
  <c r="AW229" i="40" s="1"/>
  <c r="AZ229" i="40" s="1"/>
  <c r="AU228" i="40"/>
  <c r="AU229" i="40"/>
  <c r="AR226" i="40"/>
  <c r="AT226" i="40" s="1"/>
  <c r="AU222" i="40"/>
  <c r="AU225" i="40"/>
  <c r="I227" i="40"/>
  <c r="AQ218" i="40"/>
  <c r="AR218" i="40" s="1"/>
  <c r="AT218" i="40" s="1"/>
  <c r="AV218" i="40" s="1"/>
  <c r="AY218" i="40" s="1"/>
  <c r="J217" i="40"/>
  <c r="AU217" i="40" s="1"/>
  <c r="AU214" i="40"/>
  <c r="AQ215" i="40"/>
  <c r="AR215" i="40" s="1"/>
  <c r="AT215" i="40" s="1"/>
  <c r="AQ213" i="40"/>
  <c r="AR213" i="40" s="1"/>
  <c r="AT213" i="40" s="1"/>
  <c r="AV213" i="40" s="1"/>
  <c r="AX247" i="2"/>
  <c r="BA247" i="2" s="1"/>
  <c r="AW247" i="2"/>
  <c r="AZ247" i="2" s="1"/>
  <c r="AW249" i="2"/>
  <c r="AZ249" i="2" s="1"/>
  <c r="AY249" i="2"/>
  <c r="AX249" i="2"/>
  <c r="BA249" i="2" s="1"/>
  <c r="AW246" i="2"/>
  <c r="AZ246" i="2" s="1"/>
  <c r="AX246" i="2"/>
  <c r="BA246" i="2" s="1"/>
  <c r="AT247" i="2"/>
  <c r="AR247" i="2"/>
  <c r="AR245" i="2"/>
  <c r="AT245" i="2" s="1"/>
  <c r="AV245" i="2" s="1"/>
  <c r="AY245" i="2" s="1"/>
  <c r="AR246" i="2"/>
  <c r="AT246" i="2" s="1"/>
  <c r="AW248" i="2"/>
  <c r="AZ248" i="2" s="1"/>
  <c r="AX248" i="2"/>
  <c r="BA248" i="2" s="1"/>
  <c r="AR248" i="2"/>
  <c r="AT248" i="2" s="1"/>
  <c r="AV248" i="2" s="1"/>
  <c r="AY248" i="2" s="1"/>
  <c r="AR243" i="2"/>
  <c r="AT243" i="2" s="1"/>
  <c r="AV243" i="2" s="1"/>
  <c r="AW245" i="2"/>
  <c r="AZ245" i="2" s="1"/>
  <c r="AX245" i="2"/>
  <c r="BA245" i="2" s="1"/>
  <c r="AV247" i="2"/>
  <c r="AY247" i="2" s="1"/>
  <c r="AX244" i="2"/>
  <c r="BA244" i="2" s="1"/>
  <c r="AX242" i="2"/>
  <c r="BA242" i="2" s="1"/>
  <c r="J246" i="2"/>
  <c r="AU246" i="2" s="1"/>
  <c r="H243" i="2"/>
  <c r="AY244" i="2"/>
  <c r="AU249" i="2"/>
  <c r="AV249" i="2" s="1"/>
  <c r="AW212" i="40"/>
  <c r="AZ212" i="40" s="1"/>
  <c r="H219" i="40"/>
  <c r="AW219" i="40" s="1"/>
  <c r="AZ219" i="40" s="1"/>
  <c r="H214" i="40"/>
  <c r="AX214" i="40" s="1"/>
  <c r="BA214" i="40" s="1"/>
  <c r="AX216" i="40"/>
  <c r="BA216" i="40" s="1"/>
  <c r="AW216" i="40"/>
  <c r="AZ216" i="40" s="1"/>
  <c r="AW215" i="40"/>
  <c r="AZ215" i="40" s="1"/>
  <c r="AX217" i="40"/>
  <c r="BA217" i="40" s="1"/>
  <c r="AW217" i="40"/>
  <c r="AZ217" i="40" s="1"/>
  <c r="AU215" i="40"/>
  <c r="I217" i="40"/>
  <c r="AQ217" i="40" s="1"/>
  <c r="AR212" i="40"/>
  <c r="AT212" i="40" s="1"/>
  <c r="AV212" i="40" s="1"/>
  <c r="AY212" i="40" s="1"/>
  <c r="AW218" i="40"/>
  <c r="AZ218" i="40" s="1"/>
  <c r="AU219" i="40"/>
  <c r="AQ216" i="40"/>
  <c r="AX218" i="40"/>
  <c r="BA218" i="40" s="1"/>
  <c r="AQ206" i="40"/>
  <c r="AR206" i="40" s="1"/>
  <c r="AT206" i="40" s="1"/>
  <c r="AU203" i="40"/>
  <c r="AQ204" i="40"/>
  <c r="AX205" i="40"/>
  <c r="BA205" i="40" s="1"/>
  <c r="AW205" i="40"/>
  <c r="AZ205" i="40" s="1"/>
  <c r="AU206" i="40"/>
  <c r="AU207" i="40"/>
  <c r="J205" i="40"/>
  <c r="AU205" i="40" s="1"/>
  <c r="AX202" i="40"/>
  <c r="BA202" i="40" s="1"/>
  <c r="AQ205" i="40"/>
  <c r="AU193" i="40"/>
  <c r="AQ194" i="40"/>
  <c r="AR194" i="40" s="1"/>
  <c r="AT194" i="40" s="1"/>
  <c r="AV194" i="40" s="1"/>
  <c r="AR193" i="40"/>
  <c r="AT193" i="40" s="1"/>
  <c r="AX196" i="40"/>
  <c r="BA196" i="40" s="1"/>
  <c r="AW196" i="40"/>
  <c r="AZ196" i="40" s="1"/>
  <c r="AX192" i="40"/>
  <c r="BA192" i="40" s="1"/>
  <c r="AQ195" i="40"/>
  <c r="J196" i="40"/>
  <c r="AW193" i="40"/>
  <c r="AZ193" i="40" s="1"/>
  <c r="AW195" i="40"/>
  <c r="AZ195" i="40" s="1"/>
  <c r="AX187" i="40"/>
  <c r="BA187" i="40" s="1"/>
  <c r="AW187" i="40"/>
  <c r="AZ187" i="40" s="1"/>
  <c r="AR188" i="40"/>
  <c r="AT188" i="40" s="1"/>
  <c r="AV188" i="40" s="1"/>
  <c r="AX183" i="40"/>
  <c r="BA183" i="40" s="1"/>
  <c r="AW186" i="40"/>
  <c r="AZ186" i="40" s="1"/>
  <c r="AX186" i="40"/>
  <c r="BA186" i="40" s="1"/>
  <c r="AR182" i="40"/>
  <c r="AT182" i="40" s="1"/>
  <c r="AV182" i="40" s="1"/>
  <c r="AY182" i="40" s="1"/>
  <c r="AU187" i="40"/>
  <c r="AU189" i="40"/>
  <c r="AV189" i="40" s="1"/>
  <c r="AU184" i="40"/>
  <c r="AU185" i="40"/>
  <c r="H173" i="40"/>
  <c r="AX173" i="40" s="1"/>
  <c r="BA173" i="40" s="1"/>
  <c r="H178" i="40"/>
  <c r="AX178" i="40" s="1"/>
  <c r="BA178" i="40" s="1"/>
  <c r="AQ176" i="40"/>
  <c r="AQ178" i="40"/>
  <c r="I177" i="40"/>
  <c r="AQ177" i="40" s="1"/>
  <c r="AR177" i="40" s="1"/>
  <c r="AT177" i="40" s="1"/>
  <c r="AR173" i="40"/>
  <c r="AT173" i="40" s="1"/>
  <c r="AV173" i="40" s="1"/>
  <c r="AW176" i="40"/>
  <c r="AZ176" i="40" s="1"/>
  <c r="AX176" i="40"/>
  <c r="BA176" i="40" s="1"/>
  <c r="AR176" i="40"/>
  <c r="AT176" i="40" s="1"/>
  <c r="AV176" i="40" s="1"/>
  <c r="AY176" i="40" s="1"/>
  <c r="AX177" i="40"/>
  <c r="BA177" i="40" s="1"/>
  <c r="AW177" i="40"/>
  <c r="AZ177" i="40" s="1"/>
  <c r="AR178" i="40"/>
  <c r="AT178" i="40" s="1"/>
  <c r="AV178" i="40" s="1"/>
  <c r="AX179" i="40"/>
  <c r="BA179" i="40" s="1"/>
  <c r="AU177" i="40"/>
  <c r="AU179" i="40"/>
  <c r="AU172" i="40"/>
  <c r="AU175" i="40"/>
  <c r="AR172" i="40"/>
  <c r="AT172" i="40" s="1"/>
  <c r="AT152" i="40"/>
  <c r="AV152" i="40" s="1"/>
  <c r="AY152" i="40" s="1"/>
  <c r="AT112" i="40"/>
  <c r="AV112" i="40" s="1"/>
  <c r="AY112" i="40" s="1"/>
  <c r="AT102" i="40"/>
  <c r="AV102" i="40" s="1"/>
  <c r="AY102" i="40" s="1"/>
  <c r="AT82" i="40"/>
  <c r="AV82" i="40" s="1"/>
  <c r="AY82" i="40" s="1"/>
  <c r="AT72" i="40"/>
  <c r="H157" i="40"/>
  <c r="AX157" i="40" s="1"/>
  <c r="BA157" i="40" s="1"/>
  <c r="H156" i="40"/>
  <c r="AW156" i="40" s="1"/>
  <c r="AZ156" i="40" s="1"/>
  <c r="H153" i="40"/>
  <c r="AX153" i="40" s="1"/>
  <c r="BA153" i="40" s="1"/>
  <c r="H146" i="40"/>
  <c r="AX146" i="40" s="1"/>
  <c r="BA146" i="40" s="1"/>
  <c r="AQ154" i="40"/>
  <c r="AR154" i="40" s="1"/>
  <c r="AT154" i="40" s="1"/>
  <c r="AV154" i="40" s="1"/>
  <c r="AU153" i="40"/>
  <c r="AW152" i="40"/>
  <c r="AZ152" i="40" s="1"/>
  <c r="AX152" i="40"/>
  <c r="BA152" i="40" s="1"/>
  <c r="J156" i="40"/>
  <c r="AW155" i="40"/>
  <c r="AZ155" i="40" s="1"/>
  <c r="AU147" i="40"/>
  <c r="AU146" i="40"/>
  <c r="AU144" i="40"/>
  <c r="AU143" i="40"/>
  <c r="AQ146" i="40"/>
  <c r="AR146" i="40" s="1"/>
  <c r="AT146" i="40" s="1"/>
  <c r="AW147" i="40"/>
  <c r="AZ147" i="40" s="1"/>
  <c r="AR144" i="40"/>
  <c r="AT144" i="40" s="1"/>
  <c r="AX143" i="40"/>
  <c r="BA143" i="40" s="1"/>
  <c r="AW145" i="40"/>
  <c r="AZ145" i="40" s="1"/>
  <c r="H123" i="40"/>
  <c r="AX123" i="40" s="1"/>
  <c r="BA123" i="40" s="1"/>
  <c r="AX134" i="40"/>
  <c r="BA134" i="40" s="1"/>
  <c r="AX124" i="40"/>
  <c r="BA124" i="40" s="1"/>
  <c r="AU128" i="40"/>
  <c r="AU129" i="40"/>
  <c r="AR122" i="40"/>
  <c r="AT122" i="40" s="1"/>
  <c r="AV122" i="40" s="1"/>
  <c r="AY122" i="40" s="1"/>
  <c r="AU124" i="40"/>
  <c r="AW122" i="40"/>
  <c r="AZ122" i="40" s="1"/>
  <c r="AX122" i="40"/>
  <c r="BA122" i="40" s="1"/>
  <c r="AQ114" i="40"/>
  <c r="AR114" i="40" s="1"/>
  <c r="AT114" i="40" s="1"/>
  <c r="L112" i="40"/>
  <c r="J113" i="40" s="1"/>
  <c r="AU113" i="40" s="1"/>
  <c r="AQ117" i="40"/>
  <c r="AR117" i="40" s="1"/>
  <c r="AT117" i="40" s="1"/>
  <c r="AV117" i="40" s="1"/>
  <c r="AX112" i="40"/>
  <c r="BA112" i="40" s="1"/>
  <c r="H114" i="40"/>
  <c r="AW114" i="40" s="1"/>
  <c r="AZ114" i="40" s="1"/>
  <c r="AX113" i="40"/>
  <c r="BA113" i="40" s="1"/>
  <c r="E115" i="40"/>
  <c r="H105" i="40"/>
  <c r="E107" i="40"/>
  <c r="H107" i="40" s="1"/>
  <c r="AR106" i="40"/>
  <c r="AT106" i="40" s="1"/>
  <c r="AV106" i="40" s="1"/>
  <c r="AY106" i="40" s="1"/>
  <c r="AW103" i="40"/>
  <c r="AZ103" i="40" s="1"/>
  <c r="AR107" i="40"/>
  <c r="AT107" i="40" s="1"/>
  <c r="AV107" i="40" s="1"/>
  <c r="AW102" i="40"/>
  <c r="AZ102" i="40" s="1"/>
  <c r="AX102" i="40"/>
  <c r="BA102" i="40" s="1"/>
  <c r="AW106" i="40"/>
  <c r="AZ106" i="40" s="1"/>
  <c r="AX106" i="40"/>
  <c r="BA106" i="40" s="1"/>
  <c r="H95" i="40"/>
  <c r="E97" i="40"/>
  <c r="H97" i="40" s="1"/>
  <c r="AX94" i="40"/>
  <c r="BA94" i="40" s="1"/>
  <c r="AW92" i="40"/>
  <c r="AZ92" i="40" s="1"/>
  <c r="AX92" i="40"/>
  <c r="BA92" i="40" s="1"/>
  <c r="E96" i="40"/>
  <c r="H96" i="40" s="1"/>
  <c r="AQ86" i="40"/>
  <c r="AR86" i="40" s="1"/>
  <c r="AT86" i="40" s="1"/>
  <c r="AV86" i="40" s="1"/>
  <c r="AQ85" i="40"/>
  <c r="AR85" i="40" s="1"/>
  <c r="AT85" i="40" s="1"/>
  <c r="AV85" i="40" s="1"/>
  <c r="H83" i="40"/>
  <c r="AX83" i="40" s="1"/>
  <c r="BA83" i="40" s="1"/>
  <c r="AW82" i="40"/>
  <c r="AZ82" i="40" s="1"/>
  <c r="E85" i="40"/>
  <c r="H76" i="40"/>
  <c r="AW76" i="40" s="1"/>
  <c r="AZ76" i="40" s="1"/>
  <c r="AX72" i="40"/>
  <c r="BA72" i="40" s="1"/>
  <c r="H73" i="40"/>
  <c r="AX73" i="40" s="1"/>
  <c r="BA73" i="40" s="1"/>
  <c r="E75" i="40"/>
  <c r="AU73" i="40"/>
  <c r="AU66" i="40"/>
  <c r="AW67" i="40"/>
  <c r="AZ67" i="40" s="1"/>
  <c r="AX43" i="40"/>
  <c r="BA43" i="40" s="1"/>
  <c r="AQ15" i="40"/>
  <c r="AR15" i="40" s="1"/>
  <c r="AT15" i="40" s="1"/>
  <c r="H38" i="40"/>
  <c r="AX38" i="40" s="1"/>
  <c r="BA38" i="40" s="1"/>
  <c r="AQ39" i="40"/>
  <c r="AR39" i="40" s="1"/>
  <c r="AT39" i="40" s="1"/>
  <c r="AQ46" i="40"/>
  <c r="AR46" i="40" s="1"/>
  <c r="AT46" i="40" s="1"/>
  <c r="AW12" i="40"/>
  <c r="AZ12" i="40" s="1"/>
  <c r="AU32" i="40"/>
  <c r="AW36" i="40"/>
  <c r="AZ36" i="40" s="1"/>
  <c r="AU42" i="40"/>
  <c r="AX13" i="40"/>
  <c r="BA13" i="40" s="1"/>
  <c r="I29" i="40"/>
  <c r="AQ29" i="40" s="1"/>
  <c r="AR29" i="40" s="1"/>
  <c r="AT29" i="40" s="1"/>
  <c r="H33" i="40"/>
  <c r="AX33" i="40" s="1"/>
  <c r="BA33" i="40" s="1"/>
  <c r="H35" i="40"/>
  <c r="AX35" i="40" s="1"/>
  <c r="BA35" i="40" s="1"/>
  <c r="H44" i="40"/>
  <c r="AX44" i="40" s="1"/>
  <c r="BA44" i="40" s="1"/>
  <c r="AQ24" i="40"/>
  <c r="AR24" i="40" s="1"/>
  <c r="AT24" i="40" s="1"/>
  <c r="AQ25" i="40"/>
  <c r="AR25" i="40" s="1"/>
  <c r="AT25" i="40" s="1"/>
  <c r="AV25" i="40" s="1"/>
  <c r="AQ43" i="40"/>
  <c r="AR43" i="40" s="1"/>
  <c r="AT43" i="40" s="1"/>
  <c r="AV43" i="40" s="1"/>
  <c r="AY43" i="40" s="1"/>
  <c r="I28" i="40"/>
  <c r="J28" i="40" s="1"/>
  <c r="AU28" i="40" s="1"/>
  <c r="AQ44" i="40"/>
  <c r="AR44" i="40" s="1"/>
  <c r="AT44" i="40" s="1"/>
  <c r="AU44" i="40"/>
  <c r="AQ50" i="40"/>
  <c r="AW44" i="40"/>
  <c r="AZ44" i="40" s="1"/>
  <c r="H45" i="40"/>
  <c r="F46" i="40"/>
  <c r="F47" i="40" s="1"/>
  <c r="F48" i="40" s="1"/>
  <c r="F49" i="40" s="1"/>
  <c r="AR45" i="40"/>
  <c r="AT45" i="40" s="1"/>
  <c r="AV45" i="40" s="1"/>
  <c r="AX42" i="40"/>
  <c r="BA42" i="40" s="1"/>
  <c r="I48" i="40"/>
  <c r="J48" i="40" s="1"/>
  <c r="AU48" i="40" s="1"/>
  <c r="I49" i="40"/>
  <c r="AQ49" i="40" s="1"/>
  <c r="I47" i="40"/>
  <c r="J47" i="40" s="1"/>
  <c r="AU46" i="40"/>
  <c r="AR42" i="40"/>
  <c r="AT42" i="40" s="1"/>
  <c r="AW50" i="40"/>
  <c r="AZ50" i="40" s="1"/>
  <c r="AX50" i="40"/>
  <c r="BA50" i="40" s="1"/>
  <c r="E49" i="40"/>
  <c r="E48" i="40"/>
  <c r="AQ33" i="40"/>
  <c r="AR33" i="40" s="1"/>
  <c r="AQ34" i="40"/>
  <c r="AR34" i="40" s="1"/>
  <c r="AT34" i="40" s="1"/>
  <c r="AV34" i="40" s="1"/>
  <c r="AQ35" i="40"/>
  <c r="AR35" i="40" s="1"/>
  <c r="AT35" i="40" s="1"/>
  <c r="AQ36" i="40"/>
  <c r="AR36" i="40" s="1"/>
  <c r="AU35" i="40"/>
  <c r="H34" i="40"/>
  <c r="AW34" i="40" s="1"/>
  <c r="AZ34" i="40" s="1"/>
  <c r="AX34" i="40"/>
  <c r="BA34" i="40" s="1"/>
  <c r="AU38" i="40"/>
  <c r="AU39" i="40"/>
  <c r="AX37" i="40"/>
  <c r="BA37" i="40" s="1"/>
  <c r="AW37" i="40"/>
  <c r="AZ37" i="40" s="1"/>
  <c r="AR32" i="40"/>
  <c r="AT32" i="40" s="1"/>
  <c r="AU33" i="40"/>
  <c r="AX32" i="40"/>
  <c r="BA32" i="40" s="1"/>
  <c r="I37" i="40"/>
  <c r="AQ37" i="40" s="1"/>
  <c r="AQ26" i="40"/>
  <c r="AR26" i="40" s="1"/>
  <c r="AU26" i="40"/>
  <c r="H24" i="40"/>
  <c r="H25" i="40"/>
  <c r="F26" i="40"/>
  <c r="F27" i="40" s="1"/>
  <c r="F28" i="40" s="1"/>
  <c r="F29" i="40" s="1"/>
  <c r="I27" i="40"/>
  <c r="J27" i="40" s="1"/>
  <c r="AU24" i="40"/>
  <c r="AW30" i="40"/>
  <c r="AZ30" i="40" s="1"/>
  <c r="AX30" i="40"/>
  <c r="BA30" i="40" s="1"/>
  <c r="E29" i="40"/>
  <c r="E28" i="40"/>
  <c r="I18" i="40"/>
  <c r="AQ18" i="40" s="1"/>
  <c r="AR18" i="40" s="1"/>
  <c r="AT18" i="40" s="1"/>
  <c r="J15" i="40"/>
  <c r="AU15" i="40" s="1"/>
  <c r="AQ16" i="40"/>
  <c r="AQ14" i="40"/>
  <c r="AR14" i="40" s="1"/>
  <c r="AT14" i="40" s="1"/>
  <c r="AQ17" i="40"/>
  <c r="AR17" i="40" s="1"/>
  <c r="AU19" i="40"/>
  <c r="AU17" i="40"/>
  <c r="F15" i="40"/>
  <c r="AU16" i="40"/>
  <c r="AQ13" i="40"/>
  <c r="AR12" i="40"/>
  <c r="AT12" i="40" s="1"/>
  <c r="AV12" i="40" s="1"/>
  <c r="AY12" i="40" s="1"/>
  <c r="AU14" i="40"/>
  <c r="AW20" i="40"/>
  <c r="AZ20" i="40" s="1"/>
  <c r="E19" i="40"/>
  <c r="J20" i="40"/>
  <c r="AU20" i="40" s="1"/>
  <c r="E18" i="40"/>
  <c r="E23" i="24"/>
  <c r="E9" i="24"/>
  <c r="E11" i="24"/>
  <c r="E7" i="24"/>
  <c r="E6" i="24"/>
  <c r="E5" i="24"/>
  <c r="E4" i="24"/>
  <c r="E8" i="24"/>
  <c r="AX84" i="40" l="1"/>
  <c r="BA84" i="40" s="1"/>
  <c r="AW116" i="40"/>
  <c r="AZ116" i="40" s="1"/>
  <c r="AX184" i="40"/>
  <c r="BA184" i="40" s="1"/>
  <c r="AX197" i="40"/>
  <c r="BA197" i="40" s="1"/>
  <c r="AW206" i="40"/>
  <c r="AZ206" i="40" s="1"/>
  <c r="AV233" i="40"/>
  <c r="AV74" i="40"/>
  <c r="AV163" i="40"/>
  <c r="AY163" i="40" s="1"/>
  <c r="H167" i="40"/>
  <c r="AY84" i="40"/>
  <c r="AX133" i="40"/>
  <c r="BA133" i="40" s="1"/>
  <c r="AX156" i="40"/>
  <c r="BA156" i="40" s="1"/>
  <c r="AX236" i="40"/>
  <c r="BA236" i="40" s="1"/>
  <c r="AV165" i="40"/>
  <c r="AX86" i="40"/>
  <c r="BA86" i="40" s="1"/>
  <c r="AX144" i="40"/>
  <c r="BA144" i="40" s="1"/>
  <c r="AV167" i="40"/>
  <c r="AY167" i="40" s="1"/>
  <c r="AV93" i="40"/>
  <c r="AY93" i="40" s="1"/>
  <c r="H166" i="40"/>
  <c r="AW166" i="40" s="1"/>
  <c r="AZ166" i="40" s="1"/>
  <c r="AV170" i="40"/>
  <c r="AY170" i="40" s="1"/>
  <c r="AV147" i="40"/>
  <c r="AY147" i="40" s="1"/>
  <c r="AX135" i="40"/>
  <c r="BA135" i="40" s="1"/>
  <c r="AY74" i="40"/>
  <c r="AV133" i="40"/>
  <c r="AY133" i="40" s="1"/>
  <c r="AY137" i="40"/>
  <c r="H168" i="40"/>
  <c r="AW168" i="40" s="1"/>
  <c r="AZ168" i="40" s="1"/>
  <c r="J168" i="40"/>
  <c r="AU168" i="40" s="1"/>
  <c r="AQ168" i="40"/>
  <c r="AW165" i="40"/>
  <c r="AZ165" i="40" s="1"/>
  <c r="AY165" i="40"/>
  <c r="AX165" i="40"/>
  <c r="BA165" i="40" s="1"/>
  <c r="AX167" i="40"/>
  <c r="BA167" i="40" s="1"/>
  <c r="AW167" i="40"/>
  <c r="AZ167" i="40" s="1"/>
  <c r="AV169" i="40"/>
  <c r="AY166" i="40"/>
  <c r="AX166" i="40"/>
  <c r="BA166" i="40" s="1"/>
  <c r="H169" i="40"/>
  <c r="AW136" i="40"/>
  <c r="AZ136" i="40" s="1"/>
  <c r="AW194" i="40"/>
  <c r="AZ194" i="40" s="1"/>
  <c r="AX137" i="40"/>
  <c r="BA137" i="40" s="1"/>
  <c r="AW189" i="40"/>
  <c r="AZ189" i="40" s="1"/>
  <c r="AV207" i="40"/>
  <c r="AY207" i="40" s="1"/>
  <c r="AV222" i="40"/>
  <c r="AY222" i="40" s="1"/>
  <c r="F227" i="40"/>
  <c r="H227" i="40" s="1"/>
  <c r="AV203" i="40"/>
  <c r="AY203" i="40" s="1"/>
  <c r="AT105" i="40"/>
  <c r="AV105" i="40" s="1"/>
  <c r="AY105" i="40" s="1"/>
  <c r="AY189" i="40"/>
  <c r="AY194" i="40"/>
  <c r="AX229" i="40"/>
  <c r="BA229" i="40" s="1"/>
  <c r="AV64" i="40"/>
  <c r="AY64" i="40" s="1"/>
  <c r="AW223" i="40"/>
  <c r="AZ223" i="40" s="1"/>
  <c r="AX223" i="40"/>
  <c r="BA223" i="40" s="1"/>
  <c r="AX76" i="40"/>
  <c r="BA76" i="40" s="1"/>
  <c r="AX203" i="40"/>
  <c r="BA203" i="40" s="1"/>
  <c r="AX66" i="40"/>
  <c r="BA66" i="40" s="1"/>
  <c r="F128" i="40"/>
  <c r="F129" i="40" s="1"/>
  <c r="H129" i="40" s="1"/>
  <c r="AT63" i="40"/>
  <c r="AV63" i="40" s="1"/>
  <c r="AY63" i="40" s="1"/>
  <c r="AW178" i="40"/>
  <c r="AZ178" i="40" s="1"/>
  <c r="AW214" i="40"/>
  <c r="AZ214" i="40" s="1"/>
  <c r="AW83" i="40"/>
  <c r="AZ83" i="40" s="1"/>
  <c r="AV193" i="40"/>
  <c r="AY193" i="40" s="1"/>
  <c r="AY116" i="40"/>
  <c r="AY67" i="40"/>
  <c r="AV123" i="40"/>
  <c r="AY123" i="40" s="1"/>
  <c r="AW233" i="40"/>
  <c r="AZ233" i="40" s="1"/>
  <c r="AW14" i="40"/>
  <c r="AZ14" i="40" s="1"/>
  <c r="AV83" i="40"/>
  <c r="AY83" i="40" s="1"/>
  <c r="AY86" i="40"/>
  <c r="AX93" i="40"/>
  <c r="BA93" i="40" s="1"/>
  <c r="AW146" i="40"/>
  <c r="AZ146" i="40" s="1"/>
  <c r="AT157" i="40"/>
  <c r="AX204" i="40"/>
  <c r="BA204" i="40" s="1"/>
  <c r="AU237" i="40"/>
  <c r="AV237" i="40" s="1"/>
  <c r="AY237" i="40" s="1"/>
  <c r="AY183" i="40"/>
  <c r="AW38" i="40"/>
  <c r="AZ38" i="40" s="1"/>
  <c r="AX226" i="40"/>
  <c r="BA226" i="40" s="1"/>
  <c r="AY233" i="40"/>
  <c r="AV32" i="40"/>
  <c r="AY32" i="40" s="1"/>
  <c r="AV66" i="40"/>
  <c r="AY66" i="40" s="1"/>
  <c r="AW74" i="40"/>
  <c r="AZ74" i="40" s="1"/>
  <c r="AX126" i="40"/>
  <c r="BA126" i="40" s="1"/>
  <c r="AY178" i="40"/>
  <c r="AW185" i="40"/>
  <c r="AZ185" i="40" s="1"/>
  <c r="AV226" i="40"/>
  <c r="AY226" i="40" s="1"/>
  <c r="AT65" i="40"/>
  <c r="AV65" i="40" s="1"/>
  <c r="AY65" i="40" s="1"/>
  <c r="AW35" i="40"/>
  <c r="AZ35" i="40" s="1"/>
  <c r="AX64" i="40"/>
  <c r="BA64" i="40" s="1"/>
  <c r="AX125" i="40"/>
  <c r="BA125" i="40" s="1"/>
  <c r="AY154" i="40"/>
  <c r="AY188" i="40"/>
  <c r="AV214" i="40"/>
  <c r="AY214" i="40" s="1"/>
  <c r="AX237" i="40"/>
  <c r="BA237" i="40" s="1"/>
  <c r="H29" i="40"/>
  <c r="AW29" i="40" s="1"/>
  <c r="AZ29" i="40" s="1"/>
  <c r="AY23" i="40"/>
  <c r="AW39" i="40"/>
  <c r="AZ39" i="40" s="1"/>
  <c r="AV42" i="40"/>
  <c r="AY42" i="40" s="1"/>
  <c r="AX23" i="40"/>
  <c r="BA23" i="40" s="1"/>
  <c r="AW154" i="40"/>
  <c r="AZ154" i="40" s="1"/>
  <c r="AV153" i="40"/>
  <c r="AY153" i="40" s="1"/>
  <c r="AV72" i="40"/>
  <c r="AY72" i="40" s="1"/>
  <c r="AY173" i="40"/>
  <c r="AW188" i="40"/>
  <c r="AZ188" i="40" s="1"/>
  <c r="AX207" i="40"/>
  <c r="BA207" i="40" s="1"/>
  <c r="AY213" i="40"/>
  <c r="AW228" i="40"/>
  <c r="AZ228" i="40" s="1"/>
  <c r="AX224" i="40"/>
  <c r="BA224" i="40" s="1"/>
  <c r="J18" i="40"/>
  <c r="AU18" i="40" s="1"/>
  <c r="AV18" i="40" s="1"/>
  <c r="AV35" i="40"/>
  <c r="AY35" i="40" s="1"/>
  <c r="AW175" i="40"/>
  <c r="AZ175" i="40" s="1"/>
  <c r="AW173" i="40"/>
  <c r="AZ173" i="40" s="1"/>
  <c r="AX213" i="40"/>
  <c r="BA213" i="40" s="1"/>
  <c r="AX219" i="40"/>
  <c r="BA219" i="40" s="1"/>
  <c r="AV223" i="40"/>
  <c r="AY223" i="40" s="1"/>
  <c r="AY125" i="40"/>
  <c r="AV126" i="40"/>
  <c r="AV143" i="40"/>
  <c r="AY143" i="40" s="1"/>
  <c r="AX127" i="40"/>
  <c r="BA127" i="40" s="1"/>
  <c r="AW127" i="40"/>
  <c r="AZ127" i="40" s="1"/>
  <c r="AQ227" i="40"/>
  <c r="J227" i="40"/>
  <c r="AU227" i="40" s="1"/>
  <c r="H49" i="40"/>
  <c r="AX49" i="40" s="1"/>
  <c r="BA49" i="40" s="1"/>
  <c r="AV44" i="40"/>
  <c r="AY44" i="40" s="1"/>
  <c r="AW222" i="40"/>
  <c r="AZ222" i="40" s="1"/>
  <c r="AY34" i="40"/>
  <c r="H47" i="40"/>
  <c r="AX47" i="40" s="1"/>
  <c r="BA47" i="40" s="1"/>
  <c r="AW63" i="40"/>
  <c r="AZ63" i="40" s="1"/>
  <c r="AW73" i="40"/>
  <c r="AZ73" i="40" s="1"/>
  <c r="AR73" i="40"/>
  <c r="AT73" i="40" s="1"/>
  <c r="AV73" i="40" s="1"/>
  <c r="AY73" i="40" s="1"/>
  <c r="AY104" i="40"/>
  <c r="AX104" i="40"/>
  <c r="BA104" i="40" s="1"/>
  <c r="AX114" i="40"/>
  <c r="BA114" i="40" s="1"/>
  <c r="AV127" i="40"/>
  <c r="AY127" i="40" s="1"/>
  <c r="AW123" i="40"/>
  <c r="AZ123" i="40" s="1"/>
  <c r="AW174" i="40"/>
  <c r="AZ174" i="40" s="1"/>
  <c r="AW225" i="40"/>
  <c r="AZ225" i="40" s="1"/>
  <c r="AV236" i="40"/>
  <c r="AY236" i="40" s="1"/>
  <c r="AU114" i="40"/>
  <c r="H28" i="40"/>
  <c r="AV103" i="40"/>
  <c r="AY103" i="40" s="1"/>
  <c r="AY126" i="40"/>
  <c r="AY174" i="40"/>
  <c r="AR204" i="40"/>
  <c r="AT204" i="40" s="1"/>
  <c r="AV204" i="40" s="1"/>
  <c r="AY204" i="40" s="1"/>
  <c r="AR235" i="40"/>
  <c r="AT235" i="40" s="1"/>
  <c r="AV235" i="40" s="1"/>
  <c r="AY235" i="40" s="1"/>
  <c r="AW157" i="40"/>
  <c r="AZ157" i="40" s="1"/>
  <c r="AW153" i="40"/>
  <c r="AZ153" i="40" s="1"/>
  <c r="AY224" i="40"/>
  <c r="AR227" i="40"/>
  <c r="AT227" i="40" s="1"/>
  <c r="AV225" i="40"/>
  <c r="AY225" i="40" s="1"/>
  <c r="AV229" i="40"/>
  <c r="AY229" i="40" s="1"/>
  <c r="AV228" i="40"/>
  <c r="AY228" i="40" s="1"/>
  <c r="AV184" i="40"/>
  <c r="AY184" i="40" s="1"/>
  <c r="AV246" i="2"/>
  <c r="AY246" i="2" s="1"/>
  <c r="AX243" i="2"/>
  <c r="BA243" i="2" s="1"/>
  <c r="AW243" i="2"/>
  <c r="AZ243" i="2" s="1"/>
  <c r="AY243" i="2"/>
  <c r="AR217" i="40"/>
  <c r="AT217" i="40" s="1"/>
  <c r="AV217" i="40" s="1"/>
  <c r="AY217" i="40" s="1"/>
  <c r="AR216" i="40"/>
  <c r="AT216" i="40" s="1"/>
  <c r="AV216" i="40" s="1"/>
  <c r="AY216" i="40" s="1"/>
  <c r="AV215" i="40"/>
  <c r="AY215" i="40" s="1"/>
  <c r="AV219" i="40"/>
  <c r="AY219" i="40" s="1"/>
  <c r="AV206" i="40"/>
  <c r="AY206" i="40" s="1"/>
  <c r="AR205" i="40"/>
  <c r="AT205" i="40" s="1"/>
  <c r="AV205" i="40" s="1"/>
  <c r="AY205" i="40" s="1"/>
  <c r="AR195" i="40"/>
  <c r="AT195" i="40" s="1"/>
  <c r="AV195" i="40" s="1"/>
  <c r="AY195" i="40" s="1"/>
  <c r="AU196" i="40"/>
  <c r="AV196" i="40" s="1"/>
  <c r="AY196" i="40" s="1"/>
  <c r="AU197" i="40"/>
  <c r="AV197" i="40" s="1"/>
  <c r="AY197" i="40" s="1"/>
  <c r="AV185" i="40"/>
  <c r="AY185" i="40" s="1"/>
  <c r="AV187" i="40"/>
  <c r="AY187" i="40" s="1"/>
  <c r="AV175" i="40"/>
  <c r="AY175" i="40" s="1"/>
  <c r="AV172" i="40"/>
  <c r="AY172" i="40" s="1"/>
  <c r="AV179" i="40"/>
  <c r="AY179" i="40" s="1"/>
  <c r="AV177" i="40"/>
  <c r="AY177" i="40" s="1"/>
  <c r="AU156" i="40"/>
  <c r="AV156" i="40" s="1"/>
  <c r="AY156" i="40" s="1"/>
  <c r="AU157" i="40"/>
  <c r="AV144" i="40"/>
  <c r="AY144" i="40" s="1"/>
  <c r="AV146" i="40"/>
  <c r="AY146" i="40" s="1"/>
  <c r="AV124" i="40"/>
  <c r="AY124" i="40" s="1"/>
  <c r="AV129" i="40"/>
  <c r="AV128" i="40"/>
  <c r="AV113" i="40"/>
  <c r="AY113" i="40" s="1"/>
  <c r="H115" i="40"/>
  <c r="E117" i="40"/>
  <c r="H117" i="40" s="1"/>
  <c r="AV114" i="40"/>
  <c r="AY114" i="40" s="1"/>
  <c r="AY107" i="40"/>
  <c r="AX107" i="40"/>
  <c r="BA107" i="40" s="1"/>
  <c r="AW107" i="40"/>
  <c r="AZ107" i="40" s="1"/>
  <c r="AW105" i="40"/>
  <c r="AZ105" i="40" s="1"/>
  <c r="AX105" i="40"/>
  <c r="BA105" i="40" s="1"/>
  <c r="AY97" i="40"/>
  <c r="AX97" i="40"/>
  <c r="BA97" i="40" s="1"/>
  <c r="AW97" i="40"/>
  <c r="AZ97" i="40" s="1"/>
  <c r="AW95" i="40"/>
  <c r="AZ95" i="40" s="1"/>
  <c r="AX95" i="40"/>
  <c r="BA95" i="40" s="1"/>
  <c r="AY95" i="40"/>
  <c r="AY96" i="40"/>
  <c r="AX96" i="40"/>
  <c r="BA96" i="40" s="1"/>
  <c r="AW96" i="40"/>
  <c r="AZ96" i="40" s="1"/>
  <c r="H85" i="40"/>
  <c r="E87" i="40"/>
  <c r="H87" i="40" s="1"/>
  <c r="AY76" i="40"/>
  <c r="H75" i="40"/>
  <c r="E77" i="40"/>
  <c r="H77" i="40" s="1"/>
  <c r="AQ28" i="40"/>
  <c r="AR16" i="40"/>
  <c r="AT16" i="40" s="1"/>
  <c r="AV16" i="40" s="1"/>
  <c r="AT26" i="40"/>
  <c r="AV26" i="40" s="1"/>
  <c r="AT33" i="40"/>
  <c r="AV33" i="40" s="1"/>
  <c r="AY33" i="40" s="1"/>
  <c r="AV15" i="40"/>
  <c r="AW33" i="40"/>
  <c r="AZ33" i="40" s="1"/>
  <c r="H46" i="40"/>
  <c r="AT36" i="40"/>
  <c r="AV36" i="40" s="1"/>
  <c r="AY36" i="40" s="1"/>
  <c r="AV46" i="40"/>
  <c r="AR50" i="40"/>
  <c r="AT50" i="40" s="1"/>
  <c r="AV50" i="40" s="1"/>
  <c r="AY50" i="40" s="1"/>
  <c r="AR49" i="40"/>
  <c r="AT49" i="40" s="1"/>
  <c r="AU49" i="40"/>
  <c r="AU47" i="40"/>
  <c r="AQ48" i="40"/>
  <c r="AQ47" i="40"/>
  <c r="AY45" i="40"/>
  <c r="AX45" i="40"/>
  <c r="BA45" i="40" s="1"/>
  <c r="AW45" i="40"/>
  <c r="AZ45" i="40" s="1"/>
  <c r="H48" i="40"/>
  <c r="AR37" i="40"/>
  <c r="AT37" i="40" s="1"/>
  <c r="AV37" i="40" s="1"/>
  <c r="AY37" i="40" s="1"/>
  <c r="AV39" i="40"/>
  <c r="AY39" i="40" s="1"/>
  <c r="AV38" i="40"/>
  <c r="AY38" i="40" s="1"/>
  <c r="AQ27" i="40"/>
  <c r="AR27" i="40" s="1"/>
  <c r="AT27" i="40" s="1"/>
  <c r="AV24" i="40"/>
  <c r="AY24" i="40" s="1"/>
  <c r="AY25" i="40"/>
  <c r="AX25" i="40"/>
  <c r="BA25" i="40" s="1"/>
  <c r="AW25" i="40"/>
  <c r="AZ25" i="40" s="1"/>
  <c r="AX28" i="40"/>
  <c r="BA28" i="40" s="1"/>
  <c r="AW28" i="40"/>
  <c r="AZ28" i="40" s="1"/>
  <c r="AU29" i="40"/>
  <c r="AV29" i="40" s="1"/>
  <c r="AU27" i="40"/>
  <c r="H26" i="40"/>
  <c r="H27" i="40"/>
  <c r="AX24" i="40"/>
  <c r="BA24" i="40" s="1"/>
  <c r="AW24" i="40"/>
  <c r="AZ24" i="40" s="1"/>
  <c r="AT17" i="40"/>
  <c r="AV17" i="40" s="1"/>
  <c r="AV14" i="40"/>
  <c r="AY14" i="40" s="1"/>
  <c r="AV20" i="40"/>
  <c r="AY20" i="40" s="1"/>
  <c r="AR13" i="40"/>
  <c r="AT13" i="40" s="1"/>
  <c r="AV13" i="40" s="1"/>
  <c r="AY13" i="40" s="1"/>
  <c r="H15" i="40"/>
  <c r="F16" i="40"/>
  <c r="AV19" i="40"/>
  <c r="E10" i="24"/>
  <c r="E14" i="24"/>
  <c r="E13" i="24"/>
  <c r="E12" i="24"/>
  <c r="I3" i="24"/>
  <c r="E3" i="24" s="1"/>
  <c r="AS53" i="40"/>
  <c r="AU54" i="40"/>
  <c r="AS57" i="40"/>
  <c r="AN57" i="40"/>
  <c r="AM57" i="40"/>
  <c r="AL57" i="40"/>
  <c r="O57" i="40"/>
  <c r="M57" i="40"/>
  <c r="I57" i="40"/>
  <c r="F57" i="40"/>
  <c r="E57" i="40"/>
  <c r="B57" i="40"/>
  <c r="N57" i="40" s="1"/>
  <c r="AS56" i="40"/>
  <c r="AN56" i="40"/>
  <c r="AM56" i="40"/>
  <c r="AL56" i="40"/>
  <c r="O56" i="40"/>
  <c r="M56" i="40"/>
  <c r="J56" i="40"/>
  <c r="AU57" i="40" s="1"/>
  <c r="I56" i="40"/>
  <c r="F56" i="40"/>
  <c r="E56" i="40"/>
  <c r="B56" i="40"/>
  <c r="N56" i="40" s="1"/>
  <c r="AS55" i="40"/>
  <c r="AN55" i="40"/>
  <c r="AM55" i="40"/>
  <c r="AL55" i="40"/>
  <c r="O55" i="40"/>
  <c r="M55" i="40"/>
  <c r="I55" i="40"/>
  <c r="J55" i="40" s="1"/>
  <c r="AU55" i="40" s="1"/>
  <c r="F55" i="40"/>
  <c r="H55" i="40" s="1"/>
  <c r="B55" i="40"/>
  <c r="N55" i="40" s="1"/>
  <c r="AS54" i="40"/>
  <c r="AN54" i="40"/>
  <c r="AM54" i="40"/>
  <c r="AL54" i="40"/>
  <c r="O54" i="40"/>
  <c r="M54" i="40"/>
  <c r="I54" i="40"/>
  <c r="F54" i="40"/>
  <c r="E54" i="40"/>
  <c r="B54" i="40"/>
  <c r="N54" i="40" s="1"/>
  <c r="AN53" i="40"/>
  <c r="AM53" i="40"/>
  <c r="AL53" i="40"/>
  <c r="O53" i="40"/>
  <c r="M53" i="40"/>
  <c r="I53" i="40"/>
  <c r="F53" i="40"/>
  <c r="E53" i="40"/>
  <c r="B53" i="40"/>
  <c r="N53" i="40" s="1"/>
  <c r="AS52" i="40"/>
  <c r="AR52" i="40"/>
  <c r="O52" i="40"/>
  <c r="N52" i="40"/>
  <c r="M52" i="40"/>
  <c r="J52" i="40"/>
  <c r="AU52" i="40" s="1"/>
  <c r="H52" i="40"/>
  <c r="AW52" i="40" s="1"/>
  <c r="AZ52" i="40" s="1"/>
  <c r="AU3" i="40"/>
  <c r="AS10" i="40"/>
  <c r="AM10" i="40"/>
  <c r="AL10" i="40"/>
  <c r="M10" i="40"/>
  <c r="I10" i="40"/>
  <c r="B10" i="40"/>
  <c r="AS9" i="40"/>
  <c r="AN9" i="40"/>
  <c r="AM9" i="40"/>
  <c r="AL9" i="40"/>
  <c r="O9" i="40"/>
  <c r="M9" i="40"/>
  <c r="B9" i="40"/>
  <c r="N9" i="40" s="1"/>
  <c r="AS8" i="40"/>
  <c r="AN8" i="40"/>
  <c r="AM8" i="40"/>
  <c r="AL8" i="40"/>
  <c r="O8" i="40"/>
  <c r="M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O6" i="40"/>
  <c r="M6" i="40"/>
  <c r="I6" i="40"/>
  <c r="E6" i="40"/>
  <c r="E9" i="40" s="1"/>
  <c r="B6" i="40"/>
  <c r="N6" i="40" s="1"/>
  <c r="AS5" i="40"/>
  <c r="AN5" i="40"/>
  <c r="AL5" i="40"/>
  <c r="O5" i="40"/>
  <c r="M5" i="40"/>
  <c r="I5" i="40"/>
  <c r="I8" i="40" s="1"/>
  <c r="B5" i="40"/>
  <c r="N5" i="40" s="1"/>
  <c r="AS4" i="40"/>
  <c r="AN4" i="40"/>
  <c r="AM4" i="40"/>
  <c r="AL4" i="40"/>
  <c r="O4" i="40"/>
  <c r="M4" i="40"/>
  <c r="I4" i="40"/>
  <c r="E4" i="40"/>
  <c r="B4" i="40"/>
  <c r="N4" i="40" s="1"/>
  <c r="AS3" i="40"/>
  <c r="AN3" i="40"/>
  <c r="AM3" i="40"/>
  <c r="AM5" i="40" s="1"/>
  <c r="AL3" i="40"/>
  <c r="O3" i="40"/>
  <c r="M3" i="40"/>
  <c r="I3" i="40"/>
  <c r="F3" i="40"/>
  <c r="F4" i="40" s="1"/>
  <c r="F5" i="40" s="1"/>
  <c r="F6" i="40" s="1"/>
  <c r="F7" i="40" s="1"/>
  <c r="F8" i="40" s="1"/>
  <c r="F9" i="40" s="1"/>
  <c r="H10" i="40" s="1"/>
  <c r="AX10" i="40" s="1"/>
  <c r="BA10" i="40" s="1"/>
  <c r="E3" i="40"/>
  <c r="B3" i="40"/>
  <c r="N3" i="40" s="1"/>
  <c r="AS2" i="40"/>
  <c r="AQ2" i="40"/>
  <c r="AR2" i="40" s="1"/>
  <c r="O2" i="40"/>
  <c r="N2" i="40"/>
  <c r="M2" i="40"/>
  <c r="J2" i="40"/>
  <c r="J10" i="40" s="1"/>
  <c r="H2" i="40"/>
  <c r="AX2" i="40" s="1"/>
  <c r="BA2" i="40" s="1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X168" i="40" l="1"/>
  <c r="BA168" i="40" s="1"/>
  <c r="AR168" i="40"/>
  <c r="AT168" i="40"/>
  <c r="AV168" i="40" s="1"/>
  <c r="AY168" i="40" s="1"/>
  <c r="AY169" i="40"/>
  <c r="AX169" i="40"/>
  <c r="BA169" i="40" s="1"/>
  <c r="AW169" i="40"/>
  <c r="AZ169" i="40" s="1"/>
  <c r="H128" i="40"/>
  <c r="AY128" i="40" s="1"/>
  <c r="AX227" i="40"/>
  <c r="BA227" i="40" s="1"/>
  <c r="AW227" i="40"/>
  <c r="AZ227" i="40" s="1"/>
  <c r="AV227" i="40"/>
  <c r="AY227" i="40" s="1"/>
  <c r="AV157" i="40"/>
  <c r="AY157" i="40" s="1"/>
  <c r="AW49" i="40"/>
  <c r="AZ49" i="40" s="1"/>
  <c r="AY29" i="40"/>
  <c r="AX29" i="40"/>
  <c r="BA29" i="40" s="1"/>
  <c r="AY46" i="40"/>
  <c r="AQ53" i="40"/>
  <c r="AR53" i="40" s="1"/>
  <c r="AQ54" i="40"/>
  <c r="AR54" i="40" s="1"/>
  <c r="AT54" i="40" s="1"/>
  <c r="AV54" i="40" s="1"/>
  <c r="AQ56" i="40"/>
  <c r="AR56" i="40" s="1"/>
  <c r="AT56" i="40" s="1"/>
  <c r="AW47" i="40"/>
  <c r="AZ47" i="40" s="1"/>
  <c r="AQ55" i="40"/>
  <c r="AR55" i="40" s="1"/>
  <c r="AT55" i="40" s="1"/>
  <c r="AV55" i="40" s="1"/>
  <c r="AY55" i="40" s="1"/>
  <c r="AY129" i="40"/>
  <c r="AQ57" i="40"/>
  <c r="AR57" i="40" s="1"/>
  <c r="AT57" i="40" s="1"/>
  <c r="AV57" i="40" s="1"/>
  <c r="AW129" i="40"/>
  <c r="AZ129" i="40" s="1"/>
  <c r="AX129" i="40"/>
  <c r="BA129" i="40" s="1"/>
  <c r="AY117" i="40"/>
  <c r="AX117" i="40"/>
  <c r="BA117" i="40" s="1"/>
  <c r="AW117" i="40"/>
  <c r="AZ117" i="40" s="1"/>
  <c r="AW115" i="40"/>
  <c r="AZ115" i="40" s="1"/>
  <c r="AX115" i="40"/>
  <c r="BA115" i="40" s="1"/>
  <c r="AY115" i="40"/>
  <c r="AY87" i="40"/>
  <c r="AX87" i="40"/>
  <c r="BA87" i="40" s="1"/>
  <c r="AW87" i="40"/>
  <c r="AZ87" i="40" s="1"/>
  <c r="AW85" i="40"/>
  <c r="AZ85" i="40" s="1"/>
  <c r="AX85" i="40"/>
  <c r="BA85" i="40" s="1"/>
  <c r="AY85" i="40"/>
  <c r="AY77" i="40"/>
  <c r="AX77" i="40"/>
  <c r="BA77" i="40" s="1"/>
  <c r="AW77" i="40"/>
  <c r="AZ77" i="40" s="1"/>
  <c r="AW75" i="40"/>
  <c r="AZ75" i="40" s="1"/>
  <c r="AY75" i="40"/>
  <c r="AX75" i="40"/>
  <c r="BA75" i="40" s="1"/>
  <c r="AW46" i="40"/>
  <c r="AZ46" i="40" s="1"/>
  <c r="AX46" i="40"/>
  <c r="BA46" i="40" s="1"/>
  <c r="AR28" i="40"/>
  <c r="AT28" i="40" s="1"/>
  <c r="AV28" i="40" s="1"/>
  <c r="AY28" i="40" s="1"/>
  <c r="AV49" i="40"/>
  <c r="AY49" i="40" s="1"/>
  <c r="AR47" i="40"/>
  <c r="AT47" i="40" s="1"/>
  <c r="AV47" i="40" s="1"/>
  <c r="AY47" i="40" s="1"/>
  <c r="AR48" i="40"/>
  <c r="AT48" i="40" s="1"/>
  <c r="AV48" i="40" s="1"/>
  <c r="AY48" i="40" s="1"/>
  <c r="AX48" i="40"/>
  <c r="BA48" i="40" s="1"/>
  <c r="AW48" i="40"/>
  <c r="AZ48" i="40" s="1"/>
  <c r="AX27" i="40"/>
  <c r="BA27" i="40" s="1"/>
  <c r="AW27" i="40"/>
  <c r="AZ27" i="40" s="1"/>
  <c r="AY26" i="40"/>
  <c r="AX26" i="40"/>
  <c r="BA26" i="40" s="1"/>
  <c r="AW26" i="40"/>
  <c r="AZ26" i="40" s="1"/>
  <c r="AV27" i="40"/>
  <c r="AY27" i="40" s="1"/>
  <c r="F17" i="40"/>
  <c r="H16" i="40"/>
  <c r="AY15" i="40"/>
  <c r="AX15" i="40"/>
  <c r="BA15" i="40" s="1"/>
  <c r="AW15" i="40"/>
  <c r="AZ15" i="40" s="1"/>
  <c r="H5" i="40"/>
  <c r="AX5" i="40" s="1"/>
  <c r="BA5" i="40" s="1"/>
  <c r="H56" i="40"/>
  <c r="AX56" i="40" s="1"/>
  <c r="BA56" i="40" s="1"/>
  <c r="H3" i="40"/>
  <c r="AW3" i="40" s="1"/>
  <c r="AZ3" i="40" s="1"/>
  <c r="H57" i="40"/>
  <c r="AW57" i="40" s="1"/>
  <c r="AZ57" i="40" s="1"/>
  <c r="AQ6" i="40"/>
  <c r="AR6" i="40" s="1"/>
  <c r="H4" i="40"/>
  <c r="AW4" i="40" s="1"/>
  <c r="AZ4" i="40" s="1"/>
  <c r="H6" i="40"/>
  <c r="AX6" i="40" s="1"/>
  <c r="BA6" i="40" s="1"/>
  <c r="AT52" i="40"/>
  <c r="AV52" i="40" s="1"/>
  <c r="AY52" i="40" s="1"/>
  <c r="H54" i="40"/>
  <c r="AW54" i="40" s="1"/>
  <c r="AZ54" i="40" s="1"/>
  <c r="H53" i="40"/>
  <c r="AW53" i="40" s="1"/>
  <c r="AZ53" i="40" s="1"/>
  <c r="AX55" i="40"/>
  <c r="BA55" i="40" s="1"/>
  <c r="AW55" i="40"/>
  <c r="AZ55" i="40" s="1"/>
  <c r="AX52" i="40"/>
  <c r="BA52" i="40" s="1"/>
  <c r="AU56" i="40"/>
  <c r="AQ4" i="40"/>
  <c r="AR4" i="40" s="1"/>
  <c r="AT4" i="40" s="1"/>
  <c r="AU10" i="40"/>
  <c r="H9" i="40"/>
  <c r="AX9" i="40" s="1"/>
  <c r="BA9" i="40" s="1"/>
  <c r="AQ10" i="40"/>
  <c r="AR10" i="40" s="1"/>
  <c r="AT10" i="40" s="1"/>
  <c r="AQ3" i="40"/>
  <c r="AR3" i="40" s="1"/>
  <c r="AU6" i="40"/>
  <c r="AQ5" i="40"/>
  <c r="AR5" i="40" s="1"/>
  <c r="AQ8" i="40"/>
  <c r="J8" i="40"/>
  <c r="AU8" i="40" s="1"/>
  <c r="I7" i="40"/>
  <c r="AW2" i="40"/>
  <c r="AZ2" i="40" s="1"/>
  <c r="E7" i="40"/>
  <c r="H7" i="40" s="1"/>
  <c r="E8" i="40"/>
  <c r="H8" i="40" s="1"/>
  <c r="I9" i="40"/>
  <c r="AQ9" i="40" s="1"/>
  <c r="AU2" i="40"/>
  <c r="AT2" i="40"/>
  <c r="AW10" i="40"/>
  <c r="AZ10" i="40" s="1"/>
  <c r="AU4" i="40"/>
  <c r="J5" i="40"/>
  <c r="AU5" i="40" s="1"/>
  <c r="AW128" i="40" l="1"/>
  <c r="AZ128" i="40" s="1"/>
  <c r="AX128" i="40"/>
  <c r="BA128" i="40" s="1"/>
  <c r="AT53" i="40"/>
  <c r="AV53" i="40" s="1"/>
  <c r="AY16" i="40"/>
  <c r="AX16" i="40"/>
  <c r="BA16" i="40" s="1"/>
  <c r="AW16" i="40"/>
  <c r="AZ16" i="40" s="1"/>
  <c r="F18" i="40"/>
  <c r="H17" i="40"/>
  <c r="AX3" i="40"/>
  <c r="BA3" i="40" s="1"/>
  <c r="AX57" i="40"/>
  <c r="BA57" i="40" s="1"/>
  <c r="AX4" i="40"/>
  <c r="BA4" i="40" s="1"/>
  <c r="AW5" i="40"/>
  <c r="AZ5" i="40" s="1"/>
  <c r="AY54" i="40"/>
  <c r="AW56" i="40"/>
  <c r="AZ56" i="40" s="1"/>
  <c r="AT6" i="40"/>
  <c r="AV6" i="40" s="1"/>
  <c r="AY6" i="40" s="1"/>
  <c r="AY53" i="40"/>
  <c r="AW9" i="40"/>
  <c r="AZ9" i="40" s="1"/>
  <c r="AX54" i="40"/>
  <c r="BA54" i="40" s="1"/>
  <c r="AY57" i="40"/>
  <c r="AV4" i="40"/>
  <c r="AY4" i="40" s="1"/>
  <c r="AX53" i="40"/>
  <c r="BA53" i="40" s="1"/>
  <c r="AV10" i="40"/>
  <c r="AY10" i="40" s="1"/>
  <c r="AT3" i="40"/>
  <c r="AV3" i="40" s="1"/>
  <c r="AY3" i="40" s="1"/>
  <c r="AW6" i="40"/>
  <c r="AZ6" i="40" s="1"/>
  <c r="AV56" i="40"/>
  <c r="AY56" i="40" s="1"/>
  <c r="AT5" i="40"/>
  <c r="AV5" i="40" s="1"/>
  <c r="AY5" i="40" s="1"/>
  <c r="AV2" i="40"/>
  <c r="AY2" i="40" s="1"/>
  <c r="AX7" i="40"/>
  <c r="BA7" i="40" s="1"/>
  <c r="AW7" i="40"/>
  <c r="AZ7" i="40" s="1"/>
  <c r="J7" i="40"/>
  <c r="AQ7" i="40"/>
  <c r="AR8" i="40"/>
  <c r="AT8" i="40" s="1"/>
  <c r="AV8" i="40" s="1"/>
  <c r="AY8" i="40" s="1"/>
  <c r="AR9" i="40"/>
  <c r="AT9" i="40" s="1"/>
  <c r="AX8" i="40"/>
  <c r="BA8" i="40" s="1"/>
  <c r="AW8" i="40"/>
  <c r="AZ8" i="40" s="1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AY17" i="40" l="1"/>
  <c r="AX17" i="40"/>
  <c r="BA17" i="40" s="1"/>
  <c r="AW17" i="40"/>
  <c r="AZ17" i="40" s="1"/>
  <c r="F19" i="40"/>
  <c r="H19" i="40" s="1"/>
  <c r="H18" i="40"/>
  <c r="AR7" i="40"/>
  <c r="AT7" i="40" s="1"/>
  <c r="AU9" i="40"/>
  <c r="AV9" i="40" s="1"/>
  <c r="AY9" i="40" s="1"/>
  <c r="AU7" i="40"/>
  <c r="AR155" i="2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Y19" i="40" l="1"/>
  <c r="AW19" i="40"/>
  <c r="AZ19" i="40" s="1"/>
  <c r="AX19" i="40"/>
  <c r="BA19" i="40" s="1"/>
  <c r="AY18" i="40"/>
  <c r="AX18" i="40"/>
  <c r="BA18" i="40" s="1"/>
  <c r="AW18" i="40"/>
  <c r="AZ18" i="40" s="1"/>
  <c r="AV7" i="40"/>
  <c r="AY7" i="40" s="1"/>
  <c r="AV157" i="2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AQ14" i="2"/>
  <c r="AR14" i="2" s="1"/>
  <c r="AT14" i="2" s="1"/>
  <c r="AV14" i="2" s="1"/>
  <c r="AY14" i="2" s="1"/>
  <c r="AQ13" i="2"/>
  <c r="H17" i="2"/>
  <c r="AX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W124" i="2" l="1"/>
  <c r="AX123" i="2"/>
  <c r="AY17" i="2"/>
  <c r="AW17" i="2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Q226" i="2" l="1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AX224" i="2"/>
  <c r="AW227" i="2"/>
  <c r="AX223" i="2"/>
  <c r="AY233" i="2"/>
  <c r="AV224" i="2"/>
  <c r="AY224" i="2" s="1"/>
  <c r="AW233" i="2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<sst xmlns="http://schemas.openxmlformats.org/spreadsheetml/2006/main" count="9617" uniqueCount="911">
  <si>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</si>
  <si>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</si>
  <si>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</si>
  <si>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</si>
  <si>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</si>
  <si>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</si>
  <si>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</si>
  <si>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</si>
  <si>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</si>
  <si>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</si>
  <si>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</si>
  <si>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</si>
  <si>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</si>
  <si>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</si>
  <si>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</si>
  <si>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</si>
  <si>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</si>
  <si>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</si>
  <si>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</si>
  <si>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</si>
  <si>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</si>
  <si>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</si>
  <si>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</si>
  <si>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</si>
  <si>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</si>
  <si>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</si>
  <si>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</si>
  <si>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</si>
  <si>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</si>
  <si>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</si>
  <si>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</si>
  <si>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</si>
  <si>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</si>
  <si>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</si>
  <si>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</si>
  <si>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</si>
  <si>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</si>
  <si>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</si>
  <si>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</si>
  <si>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</si>
  <si>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</si>
  <si>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</si>
  <si>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</si>
  <si>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</si>
  <si>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</si>
  <si>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</si>
  <si>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</si>
  <si>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</si>
  <si>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</si>
  <si>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</si>
  <si>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</si>
  <si>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</si>
  <si>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</si>
  <si>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</si>
  <si>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</si>
  <si>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</si>
  <si>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</si>
  <si>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</si>
  <si>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</si>
  <si>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</si>
  <si>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</si>
  <si>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</si>
  <si>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</si>
  <si>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</si>
  <si>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</si>
  <si>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</si>
  <si>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</si>
  <si>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</si>
  <si>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</si>
  <si>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</si>
  <si>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</si>
  <si>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</si>
  <si>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</si>
  <si>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</si>
  <si>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</si>
  <si>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</si>
  <si>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</si>
  <si>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</si>
  <si>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</si>
  <si>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</si>
  <si>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</si>
  <si>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</si>
  <si>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</si>
  <si>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</si>
  <si>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</si>
  <si>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</si>
  <si>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</si>
  <si>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</si>
  <si>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</si>
  <si>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</si>
  <si>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</si>
  <si>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</si>
  <si>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</si>
  <si>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</si>
  <si>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</si>
  <si>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</si>
  <si>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</si>
  <si>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</si>
  <si>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</si>
  <si>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</si>
  <si>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</si>
  <si>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</si>
  <si>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</si>
  <si>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</si>
  <si>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</si>
  <si>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</si>
  <si>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</si>
  <si>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</si>
  <si>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</si>
  <si>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</si>
  <si>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</si>
  <si>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</si>
  <si>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</si>
  <si>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</si>
  <si>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</si>
  <si>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</si>
  <si>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</si>
  <si>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</si>
  <si>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</si>
  <si>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</si>
  <si>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</si>
  <si>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</si>
  <si>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</si>
  <si>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</si>
  <si>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</si>
  <si>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</si>
  <si>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</si>
  <si>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</si>
  <si>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</si>
  <si>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</si>
  <si>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</si>
  <si>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</si>
  <si>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</si>
  <si>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</si>
  <si>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</si>
  <si>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</si>
  <si>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</si>
  <si>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</si>
  <si>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</si>
  <si>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</si>
  <si>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</si>
  <si>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</si>
  <si>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</si>
  <si>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</si>
  <si>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</si>
  <si>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</si>
  <si>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</si>
  <si>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</si>
  <si>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</si>
  <si>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</si>
  <si>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</si>
  <si>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</si>
  <si>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</si>
  <si>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</si>
  <si>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</si>
  <si>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</si>
  <si>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</si>
  <si>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</si>
  <si>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</si>
  <si>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</si>
  <si>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</si>
  <si>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</si>
  <si>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</si>
  <si>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</si>
  <si>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</si>
  <si>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</si>
  <si>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</si>
  <si>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</si>
  <si>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</si>
  <si>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</si>
  <si>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</si>
  <si>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</si>
  <si>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</si>
  <si>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</si>
  <si>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</si>
  <si>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</si>
  <si>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</si>
  <si>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</si>
  <si>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</si>
  <si>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</si>
  <si>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</si>
  <si>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</si>
  <si>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</si>
  <si>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</si>
  <si>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</si>
  <si>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</si>
  <si>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</si>
  <si>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</si>
  <si>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</si>
  <si>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</si>
  <si>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</si>
  <si>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</si>
  <si>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</si>
  <si>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</si>
  <si>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</si>
  <si>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</si>
  <si>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</si>
  <si>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</si>
  <si>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</si>
  <si>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</si>
  <si>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</si>
  <si>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</si>
  <si>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</si>
  <si>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</si>
  <si>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</si>
  <si>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</si>
  <si>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</si>
  <si>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</si>
  <si>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</si>
  <si>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</si>
  <si>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</si>
  <si>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</si>
  <si>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</si>
  <si>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</si>
  <si>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</si>
  <si>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</si>
  <si>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</si>
  <si>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</si>
  <si>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</si>
  <si>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</si>
  <si>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</si>
  <si>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</si>
  <si>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</si>
  <si>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</si>
  <si>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</si>
  <si>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</si>
  <si>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</si>
  <si>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</si>
  <si>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</si>
  <si>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</si>
  <si>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</si>
  <si>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</si>
  <si>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</si>
  <si>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</si>
  <si>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</si>
  <si>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</si>
  <si>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</si>
  <si>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</si>
  <si>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</si>
  <si>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</si>
  <si>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</si>
  <si>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</si>
  <si>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</si>
  <si>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</si>
  <si>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</si>
  <si>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</si>
  <si>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</si>
  <si>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</si>
  <si>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</si>
  <si>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</si>
  <si>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</si>
  <si>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</si>
  <si>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</si>
  <si>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</si>
  <si>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</si>
  <si>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</si>
  <si>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</si>
  <si>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</si>
  <si>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</si>
  <si>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</si>
  <si>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</si>
  <si>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</si>
  <si>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</si>
  <si>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</si>
  <si>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</si>
  <si>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</si>
  <si>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</si>
  <si>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</si>
  <si>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</si>
  <si>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</si>
  <si>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</si>
  <si>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</si>
  <si>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</si>
  <si>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</si>
  <si>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</si>
  <si>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</si>
  <si>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</si>
  <si>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</si>
  <si>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</si>
  <si>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</si>
  <si>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</si>
  <si>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</si>
  <si>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</si>
  <si>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</si>
  <si>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</si>
  <si>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</si>
  <si>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</si>
  <si>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</si>
  <si>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</si>
  <si>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</si>
  <si>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</si>
  <si>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</si>
  <si>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</si>
  <si>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</si>
  <si>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</si>
  <si>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</si>
  <si>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</si>
  <si>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</si>
  <si>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</si>
  <si>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</si>
  <si>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</si>
  <si>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</si>
  <si>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</si>
  <si>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</si>
  <si>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</si>
  <si>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</si>
  <si>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</si>
  <si>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</si>
  <si>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</si>
  <si>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</si>
  <si>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</si>
  <si>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</si>
  <si>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</si>
  <si>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</si>
  <si>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</si>
  <si>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</si>
  <si>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</si>
  <si>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</si>
  <si>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</si>
  <si>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</si>
  <si>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</si>
  <si>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</si>
  <si>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</si>
  <si>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</si>
  <si>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</si>
  <si>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</si>
  <si>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</si>
  <si>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</si>
  <si>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</si>
  <si>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</si>
  <si>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</si>
  <si>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</si>
  <si>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</si>
  <si>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</si>
  <si>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</si>
  <si>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</si>
  <si>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</si>
  <si>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</si>
  <si>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</si>
  <si>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</si>
  <si>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</si>
  <si>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</si>
  <si>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</si>
  <si>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</si>
  <si>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</si>
  <si>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</si>
  <si>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</si>
  <si>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</si>
  <si>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</si>
  <si>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</si>
  <si>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</si>
  <si>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</si>
  <si>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</si>
  <si>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</si>
  <si>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</si>
  <si>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</si>
  <si>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</si>
  <si>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</si>
  <si>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</si>
  <si>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</si>
  <si>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</si>
  <si>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</si>
  <si>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</si>
  <si>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</si>
  <si>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</si>
  <si>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</si>
  <si>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</si>
  <si>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</si>
  <si>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</si>
  <si>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</si>
  <si>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</si>
  <si>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</si>
  <si>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</si>
  <si>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</si>
  <si>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</si>
  <si>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</si>
  <si>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</si>
  <si>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</si>
  <si>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</si>
  <si>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</si>
  <si>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</si>
  <si>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</si>
  <si>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</si>
  <si>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</si>
  <si>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</si>
  <si>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</si>
  <si>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</si>
  <si>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</si>
  <si>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</si>
  <si>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</si>
  <si>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</si>
  <si>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</si>
  <si>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</si>
  <si>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</si>
  <si>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</si>
  <si>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</si>
  <si>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</si>
  <si>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</si>
  <si>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</si>
  <si>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</si>
  <si>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</si>
  <si>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</si>
  <si>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</si>
  <si>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</si>
  <si>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</si>
  <si>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</si>
  <si>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</si>
  <si>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</si>
  <si>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</si>
  <si>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</si>
  <si>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</si>
  <si>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</si>
  <si>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</si>
  <si>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</si>
  <si>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</si>
  <si>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</si>
  <si>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</si>
  <si>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</si>
  <si>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</si>
  <si>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</si>
  <si>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</si>
  <si>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</si>
  <si>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</si>
  <si>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</si>
  <si>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</si>
  <si>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</si>
  <si>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</si>
  <si>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</si>
  <si>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</si>
  <si>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</si>
  <si>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</si>
  <si>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</si>
  <si>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</si>
  <si>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</si>
  <si>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</si>
  <si>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</si>
  <si>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</si>
  <si>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</si>
  <si>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</si>
  <si>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</si>
  <si>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</si>
  <si>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</si>
  <si>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</si>
  <si>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</si>
  <si>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</si>
  <si>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</si>
  <si>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</si>
  <si>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</si>
  <si>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</si>
  <si>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</si>
  <si>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</si>
  <si>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</si>
  <si>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</si>
  <si>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</si>
  <si>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</si>
  <si>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</si>
  <si>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</si>
  <si>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</si>
  <si>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</si>
  <si>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г.ф.+ж.ф.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</si>
  <si>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</si>
  <si>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</si>
  <si>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</si>
  <si>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</si>
  <si>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</si>
  <si>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</si>
  <si>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</si>
  <si>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</si>
  <si>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</si>
  <si>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</si>
  <si>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</si>
  <si>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</si>
  <si>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</si>
  <si>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</si>
  <si>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</si>
  <si>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</si>
  <si>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</si>
  <si>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</si>
  <si>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</si>
  <si>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</si>
  <si>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</si>
  <si>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</si>
  <si>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</si>
  <si>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</si>
  <si>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</si>
  <si>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</si>
  <si>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</si>
  <si>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</si>
  <si>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</si>
  <si>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</si>
  <si>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</si>
  <si>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</si>
  <si>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</si>
  <si>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</si>
  <si>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</si>
  <si>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</si>
  <si>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</si>
  <si>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</si>
  <si>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</si>
  <si>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Участок предварительной подготовки нефти (Участок комплексной подготовки нефти №1 УПН "Уршак")</t>
  </si>
  <si>
    <t>Республика Башкортостан, Аургазинский район, д. Степановка</t>
  </si>
  <si>
    <t>А41-05127-0392</t>
  </si>
  <si>
    <t>Отстойник О-2</t>
  </si>
  <si>
    <t>Отстойник О-3</t>
  </si>
  <si>
    <t>Отстойник О-4</t>
  </si>
  <si>
    <t>Отстойник О-6</t>
  </si>
  <si>
    <t>Отстойник О-5</t>
  </si>
  <si>
    <t>Сепаратор С-1.2</t>
  </si>
  <si>
    <t>Сепаратор С-1.1</t>
  </si>
  <si>
    <t>Газосепаратор ГС-1</t>
  </si>
  <si>
    <t>Газосепаратор ГС-2</t>
  </si>
  <si>
    <t>Газосепаратор  ГС-4</t>
  </si>
  <si>
    <t>Сепаратор  С-2.1</t>
  </si>
  <si>
    <t>Сепаратор  С-2.2 (С-3.1)</t>
  </si>
  <si>
    <t>Сепаратор  С-3.2</t>
  </si>
  <si>
    <t>Отстойник О-1.1</t>
  </si>
  <si>
    <t>Отстойник О-1.2</t>
  </si>
  <si>
    <t>Резервуар вертикальные сварной №1</t>
  </si>
  <si>
    <t>Резервуар вертикальные сварной №2</t>
  </si>
  <si>
    <t>Резервуар вертикальные сварной №3</t>
  </si>
  <si>
    <t>Резервуар вертикальные сварной №4</t>
  </si>
  <si>
    <t>Резервуар вертикальные сварной №5</t>
  </si>
  <si>
    <t>Резервуар вертикальные сварной №6</t>
  </si>
  <si>
    <t>Резервуар вертикальные сварной №9</t>
  </si>
  <si>
    <t>Резервуар вертикальные сварной №12</t>
  </si>
  <si>
    <t>Печь прямого нагрева ППН-3 №1</t>
  </si>
  <si>
    <t>Печь прямого нагрева ППН-3 №2</t>
  </si>
  <si>
    <t>подогреватель воды №1</t>
  </si>
  <si>
    <t>подогреватель воды №2</t>
  </si>
  <si>
    <t>подогреватель воды №3</t>
  </si>
  <si>
    <t>Теплообменник Т-1</t>
  </si>
  <si>
    <t>Насос НБ-32</t>
  </si>
  <si>
    <t>Насос центробежный ЦНС 60х264</t>
  </si>
  <si>
    <t>Насос центробежный ЦНС 60х100</t>
  </si>
  <si>
    <t>Насос центробежный ЦНС 60х50</t>
  </si>
  <si>
    <t>Насос НВЕ 50х50</t>
  </si>
  <si>
    <t>Насос 12НА 9х4</t>
  </si>
  <si>
    <t>Насос НД 2,5х400</t>
  </si>
  <si>
    <t>Насос НД 2,5х100</t>
  </si>
  <si>
    <t>Насос НД 1,0х100</t>
  </si>
  <si>
    <t>Насос НМШ 5х25</t>
  </si>
  <si>
    <t>Насос центробежный ЦНС 60х330</t>
  </si>
  <si>
    <t>Насос центробежный ЦНС 105х441</t>
  </si>
  <si>
    <t>Насос центробежный ЦНС 105х392</t>
  </si>
  <si>
    <t>Насос центробежный ЦНС 105х98</t>
  </si>
  <si>
    <t>Насос дозировочный НД 25 Р 5000/10</t>
  </si>
  <si>
    <t>Насос НД 100х10</t>
  </si>
  <si>
    <t>Насос НД 10х100</t>
  </si>
  <si>
    <t>Насос НД 1,0 2,5х100 К13В</t>
  </si>
  <si>
    <t>Насос НМШ 5х25-4,0/4Б</t>
  </si>
  <si>
    <t>Насос НД 2,5 2,5х100 К14В</t>
  </si>
  <si>
    <t>Блочная установка для дозирования реагента БР-2.5</t>
  </si>
  <si>
    <t>Блочная установка для дозирования реагента БР-2.5/2</t>
  </si>
  <si>
    <t>Блок дозирования реагента УДЭ</t>
  </si>
  <si>
    <t>Блок контроля качества нефти оперативный</t>
  </si>
  <si>
    <t>Система измерения количества и показателей качества нефти</t>
  </si>
  <si>
    <t>Система факельная для сжигания газа</t>
  </si>
  <si>
    <t>Емкость подземная ЕП 63-3000-2-2</t>
  </si>
  <si>
    <t>Емкость подземная ЕП-40-2400-2-2</t>
  </si>
  <si>
    <t>Емкость подземная</t>
  </si>
  <si>
    <t>Емкость ЕП -3-1400-2-2</t>
  </si>
  <si>
    <t>Емкость подземная ЕП-40-2400-1-2</t>
  </si>
  <si>
    <t>Емкость подземная ЕП-12,5-2000-1-2</t>
  </si>
  <si>
    <t>Шламонакопитель</t>
  </si>
  <si>
    <t>Технологический трубопровод ввод сырья с СЦДНГ («Урашак», «Добро-волка») на вход в депульсатор Д-1.2.</t>
  </si>
  <si>
    <t>Технологический трубопровод 
депульсатор Д-1.2</t>
  </si>
  <si>
    <t>Технологический трубопровод ввода сырья с СЦДНГ (УПС «Болотино»),на вход в депульсатор Д-1.1.</t>
  </si>
  <si>
    <t>Технологический трубопровод депульсатор Д-1.1</t>
  </si>
  <si>
    <t>Технологический трубопровод подачи нефти от сепараторов С-1.1,С-1.2 в отстойник О-1.1 и О-1.2 (задв.№4-52,№-4-53).</t>
  </si>
  <si>
    <t>Технологический трубопровод подачи нефти от отстойников О-1.1,О-1.2 в сепаратор С-2.1, в трубопровод рег.№23 (задв.№5-21)</t>
  </si>
  <si>
    <t>Технологический трубопровод выхода нефти из сепараторов С-2.1,С-2.2.</t>
  </si>
  <si>
    <t>Технологический трубопровод подачи нефти от трубопровода рег.№5 до задв.№2-3, №2-36)</t>
  </si>
  <si>
    <t>Технологический трубопровод подачи нефти от трубопровода рег.№5 в резервуар РВС №6 (от задв.№5-29 до задв.№2-4)</t>
  </si>
  <si>
    <t>Технологический трубопровод подачи нефти в резервуар РВС №5 (от задв.№2-2 до задв.№2-12)</t>
  </si>
  <si>
    <t>Технологический трубопровод подачи нефти в трубопровод рег.№10 (на прием сырьевых насосов Н-1.1 зав.№1-23, Н-1.2 задв.№1-21)</t>
  </si>
  <si>
    <t>Технологический трубопровод подачи нефти из резервуара РВС №6 (задв. №2-7, №2-8) на прием сырьевых насосов Н-1.1, Н-1.2</t>
  </si>
  <si>
    <t>Технологический трубопровод подачи нефти из резервуара РВС №5 (задв.№2-15,№2-16) в трубопровод рег№10</t>
  </si>
  <si>
    <t>Технологический трубопровод подачи нефти насосом Н-1.1, Н-1.2 в теплообменник Т-1.</t>
  </si>
  <si>
    <t>Технологический трубопровод подачи нефти насосом Н-1.2 в трубопровод рег.№12.</t>
  </si>
  <si>
    <t>Технологический трубопровод подачи нефти из теплообменника Т-1 в печи ППН №1,№2.</t>
  </si>
  <si>
    <t>Технологический трубопровод подачи нефти горячей нефти из печи ППН №1 в отстойники О-2 (задв.№8-1,№8-2),О-3 (задв.№8-17, 8-18), О-4(задв.№8-33,№8-34)</t>
  </si>
  <si>
    <t>Технологический трубопровод подачи нефти из отстойника О-2 в трубопровод рег.№15.</t>
  </si>
  <si>
    <t>Технологический трубопровод подачи нефти из отстойника О-3 в трубопровод рег.№15</t>
  </si>
  <si>
    <t>Технологический трубопровод воз-врата горячей нефти от трубопровода рег.№15 (задв.№7-12) В отстойники О-1.1,О-1.2, в трубопровод рег.№7</t>
  </si>
  <si>
    <t>Технологический трубопровод подачи горячей нефти из печи ППН №2 в трубопровод рег.№15</t>
  </si>
  <si>
    <t>Технологический трубопровод подачи нефти из отстойника О-4 в межтрубное пространство теплообменника Т-1(задв.№6-3,№6-7,№6-11,№6-15,№6-17)</t>
  </si>
  <si>
    <t>Технологический трубопровод подачи нефти из межтрубного пространства теплообменника Т-1 (задв.№6-2,№6-10,№6-14) в БКН.</t>
  </si>
  <si>
    <t>Технологический трубопровод подачи нефти от трубопровода рег.№21 в концевой сепаратор С-3.2, в трубопровод рег.№23 (задв.№5-5)</t>
  </si>
  <si>
    <t>Технологический трубопровод подачи нефти от трубопроводов рег.№22,рег.№4 в сепаратор С-2.2</t>
  </si>
  <si>
    <t>Технологический трубопровод подачи нефти из сепаратора С-3.2 в трубопроводы рег.№7,рег.№25,рег.№26</t>
  </si>
  <si>
    <t>Технологический трубопровод подачи нефти от трубопровода рег.№24 в О-5.</t>
  </si>
  <si>
    <t>Технологический трубопровод подачи нефти от трубопровода рег.№26 в товарный резервуар РВС №1.</t>
  </si>
  <si>
    <t>Технологический трубопровод подачи нефти от трубопровода рег.№26 в товарный резервуар РВС №2.</t>
  </si>
  <si>
    <t>Технологический трубопровод подачи нефти от трубопровода рег.№26 в товарный резервуар РВС №3.</t>
  </si>
  <si>
    <t>Технологический трубопровод подачи нефти от трубопровода рег.№26 в товарный резервуар РВС №4.</t>
  </si>
  <si>
    <t>Технологический трубопровод приема нефти с КССУ «Введеновка» КПС в трубопроводы рег.№27,рег.№28,рег.№29,рег.№30</t>
  </si>
  <si>
    <t>Технологический трубопровод подачи нефти от товарного резервуара РВС №1 в трубопровод рег.№36</t>
  </si>
  <si>
    <t>Технологический трубопровод подачи нефти от товарного резервуара РВС №2 в трубопровод рег.№36</t>
  </si>
  <si>
    <t>Технологический трубопровод подачи нефти от товарного резервуара РВС №3 в трубопровод рег.№36</t>
  </si>
  <si>
    <t>Технологический трубопровод подачи нефти от товарного резервуара РВС №4 в трубопровод рег.№36</t>
  </si>
  <si>
    <t>Технологический трубопровод подачи нефти от трубопровода рег.№32,рег.№33,рег.№34,рег.№35 на прием насосов Н-2.1,Н-2.2,Н-2.3</t>
  </si>
  <si>
    <t>Технологический трубопровод подачи некондиционной нефти из товарного резервуара РВС №1 в трубопровод рег.№41</t>
  </si>
  <si>
    <t>Технологический трубопровод подачи некондиционной нефти из товарного резервуара РВС №2 в трубопровод рег.№41</t>
  </si>
  <si>
    <t>Технологический трубопровод подачи некондиционной нефти из товарного резервуара РВС №3 в трубопровод рег.№41</t>
  </si>
  <si>
    <t>Технологический трубопровод подачи некондиционной нефти из товарного резервуара РВС №4 в трубопровод рег.№41</t>
  </si>
  <si>
    <t>Технологический трубопровод подачи некондиционной нефти от трубопроводов рег.№37, рег.№38, рег.№39, рег.№40 на прием  подрезных насосов Н-3.1,Н-3.2</t>
  </si>
  <si>
    <t>Технологический трубопровод подачи нефти насосом Н-2.1, Н-2.2, Н-2.3 на СИКН</t>
  </si>
  <si>
    <t>Технологический трубопровод подачи товарной нефти от трубопровода рег.№42 в товарный нефтепровод УПН «Уршак» - НСП «Казангулово»</t>
  </si>
  <si>
    <t>Технологический трубопровод нагнетания насоса Н-3.1 в трубопровод рег.№4</t>
  </si>
  <si>
    <t>Технологический трубопровод нагнетания насоса Н-3.2 в трубопровод рег.№46</t>
  </si>
  <si>
    <t>Технологический трубопровод откачки привозной нефти из ЕП-2, ЕП-3 в трубопровод рег. №6, №7</t>
  </si>
  <si>
    <t>Технологический трубопровод сброса СППК отстойников О-2,О-3,О-4 в подземную емкость ЕД-2.</t>
  </si>
  <si>
    <t>Технологический трубопровод от рег.№2.1 до входа в сепаратор С-1.1</t>
  </si>
  <si>
    <t>Технологический трубопровод нагнетания погружных насосов подземных емкостей ЕК-1, ЕК-2.2, ЕД-1, ЕК-2.1,в трубопровод рег.№7.</t>
  </si>
  <si>
    <t>Технологический трубопровод подачи топливного газа от КС «Уршак» в газосепаратор ГС 4</t>
  </si>
  <si>
    <t>Технологический трубопровод подачи топливного газа от газосепаратора ГС-4 на ГРПШ №1</t>
  </si>
  <si>
    <t>Технологический трубопровод подачи топливного газа от ГРПШ №1 на печь №1,№2</t>
  </si>
  <si>
    <t>Технологический трубопровод выхода газа из газо-сепаратора ГС-2 в Е-4</t>
  </si>
  <si>
    <t>Технологический трубопровод подачи газа от трубопровода рег.№56  в трубопровод рег.№65. (газ на запальники факелов)</t>
  </si>
  <si>
    <t>Технологический трубопровод топлив-ного газа от трубопровода рег. №54 на ПП-0,63.</t>
  </si>
  <si>
    <t>Технологический трубопровод подачи газа от трубопровода рег .№68 на факел высокого давления</t>
  </si>
  <si>
    <t>Технологический трубопровод подачи товарной нефти от О-5 до трубопровода рег.№36.</t>
  </si>
  <si>
    <t>Технологический трубопровод Газо-уравнительная линия с сепаратора С-2.1, С-2.2, С-3.2, О-1.1, О-1.2 в газосепаратор низкого давления ГС-2</t>
  </si>
  <si>
    <t>Технологический трубопровод газа от газосепаратора низкого давления ГС-2 в трубопровод рег.№68.</t>
  </si>
  <si>
    <t>Технологический трубопровод газа от рег.№68 на пилотные горелки факелов низкого и высокого давления</t>
  </si>
  <si>
    <t>Технологический трубопровод газа от подземных емкостей ЕД-3, ЕД-2, ЕА, ЕД-1 на факел низкого давления</t>
  </si>
  <si>
    <t>Технологический трубопровод откачки насосов подземных емкостей ЕД-2,ЕА, ЕУ в трубопроводы рег.№9,рег.№10</t>
  </si>
  <si>
    <t>Технологический трубопровод выхода газа из газосепаратора ГС-1 в Е-4</t>
  </si>
  <si>
    <t>Технологический трубопровод подачи деэмульгатора от БР-2,5 в трубопроводы рег. №1, рег. №2, рег. №9, рег. №10.</t>
  </si>
  <si>
    <t>Технологический трубопровод сброс воды с О-2, О-3, О-4,  О-1.1, О-1.2, С-1.1, С-1.2 в Р-5, Р-6.</t>
  </si>
  <si>
    <t>Технологический трубопровод откачки с ЕП-1, ЕД-3.</t>
  </si>
  <si>
    <t>Технологический трубопровод дренаж с Р-5, Р-6 в Р-9, Р-12</t>
  </si>
  <si>
    <t>Трубопровод подачи пены (сухотруб)</t>
  </si>
  <si>
    <t>Сети канализации</t>
  </si>
  <si>
    <t>Трубопровод сточной воды</t>
  </si>
  <si>
    <t>Трубопровод канализации с насосов ОС</t>
  </si>
  <si>
    <t>Участок от ГРБ до Е-1,С-1/1,С-1/2</t>
  </si>
  <si>
    <t>Участок от С-1/1,С-1/2 до приемного коллектора</t>
  </si>
  <si>
    <t>Приемный коллектор</t>
  </si>
  <si>
    <t>Технологические трубопроводы:
- обвязка АВО-газа 1 ступени,
- продувочные линии,
- участок от АВОГ 1 ступени до С-2/1,С-2/2,
- участок от С-2/1,С-2/2 до ГРБ,
- участок от ГРБ до АВОГ 2 ступени,
- участок от АВОГ 2 ступени до ГРБ и до Е-1,
- участок от МО до АВОГ 1 ступени,
- участок от выкидного коллектора до МО, 
- выкидной коллектор.</t>
  </si>
  <si>
    <t>Дренажная линия от Е-2 до Е-4</t>
  </si>
  <si>
    <t>Маслопровод от маслосклада до машзала</t>
  </si>
  <si>
    <t>факельная линия</t>
  </si>
  <si>
    <t>Газосепаратор С-1/1</t>
  </si>
  <si>
    <t>Газосепаратор С-1/2</t>
  </si>
  <si>
    <t>Газосепаратор С-2/1</t>
  </si>
  <si>
    <t>Газосепаратор С-2/2</t>
  </si>
  <si>
    <t>Маслоотделитель МО</t>
  </si>
  <si>
    <t>Емкость Е-1</t>
  </si>
  <si>
    <t>Емкость Е-4</t>
  </si>
  <si>
    <t>Емкость ЕМ-1</t>
  </si>
  <si>
    <t>Емкость ЕМ-3</t>
  </si>
  <si>
    <t>Емкость ЕМ-2</t>
  </si>
  <si>
    <t>Емкость Е-2</t>
  </si>
  <si>
    <t>Емкость Е-5</t>
  </si>
  <si>
    <t>компрессор    ГК№1_x000D__x000D_Тип 305 ГП 30/8</t>
  </si>
  <si>
    <t>компрессор    ГК№2</t>
  </si>
  <si>
    <t>компрессор    ГК№3</t>
  </si>
  <si>
    <t>компрессор    ГК№4</t>
  </si>
  <si>
    <t>масляный насос</t>
  </si>
  <si>
    <t>АВО-газа 1 ступени №2</t>
  </si>
  <si>
    <t>АВО-газа 1 ступени №1</t>
  </si>
  <si>
    <t>АВО-газа 2 ступени</t>
  </si>
  <si>
    <t>Нефтепровод УПН «Уршак» - НСП «Казангулово»</t>
  </si>
  <si>
    <t>Камера запуска средств очистки и диагностики нефтепровода УПН «Уршак» - НСП «Казангулово»</t>
  </si>
  <si>
    <t>Камера приема средств очистки и диагностики нефтепровода УПН «Уршак» - НСП «Казангулово»</t>
  </si>
  <si>
    <t>Емкость подземная на площадке камеры запуска средств очистки и диагностики нефтепровода</t>
  </si>
  <si>
    <t>Блочная установка для дозирования реагента</t>
  </si>
  <si>
    <t>нефть, сточная вода</t>
  </si>
  <si>
    <t>нефть, попутный нефтяной газ,  пластовая вода</t>
  </si>
  <si>
    <t>попутный нефтяной газ</t>
  </si>
  <si>
    <t>попутный нефтяной газ, газовый конденсат</t>
  </si>
  <si>
    <t>нефть, попутный нефтяной газ</t>
  </si>
  <si>
    <t>нефть, пластовая вода</t>
  </si>
  <si>
    <t>пластовая вода</t>
  </si>
  <si>
    <t>сточная вода</t>
  </si>
  <si>
    <t>химреагент</t>
  </si>
  <si>
    <t>бактерицид</t>
  </si>
  <si>
    <t>деэмульгатор</t>
  </si>
  <si>
    <t>попутный нефтяной  газ</t>
  </si>
  <si>
    <t>пластовая (сточная) вода</t>
  </si>
  <si>
    <t>нефть, вода</t>
  </si>
  <si>
    <t>вода сточная (остатки нефти)</t>
  </si>
  <si>
    <t>нефтешлам</t>
  </si>
  <si>
    <t>нефть, попутный нефтяной газ, пластовая вода</t>
  </si>
  <si>
    <t>нефть, попутный нефтяной газ, пластовая вода.</t>
  </si>
  <si>
    <t>сточная вода (остатки нефти)</t>
  </si>
  <si>
    <t>технологическое масло</t>
  </si>
  <si>
    <t>конденсат (нефть)</t>
  </si>
  <si>
    <t>ингибитор коррозии</t>
  </si>
  <si>
    <t>пенообразователь</t>
  </si>
  <si>
    <t>– 0,045 до +0,001</t>
  </si>
  <si>
    <t>окр.ср.</t>
  </si>
  <si>
    <t>до 100</t>
  </si>
  <si>
    <t>до 200</t>
  </si>
  <si>
    <t>до 50</t>
  </si>
  <si>
    <t>до -40 до 20</t>
  </si>
  <si>
    <t>-40 до 100</t>
  </si>
  <si>
    <t>до 90</t>
  </si>
  <si>
    <t>до 95</t>
  </si>
  <si>
    <t>по сырой нефти до 20, по товарной до 200</t>
  </si>
  <si>
    <t>до -15 до 80</t>
  </si>
  <si>
    <t>-15 до 80</t>
  </si>
  <si>
    <t>-30 до 100</t>
  </si>
  <si>
    <t>-60 до 200</t>
  </si>
  <si>
    <t>-15 до 70</t>
  </si>
  <si>
    <t>-30 до 60</t>
  </si>
  <si>
    <t>10 до 30</t>
  </si>
  <si>
    <t>КС «Уршак» ЦСПТГ №1 УПНГ</t>
  </si>
  <si>
    <t>УПН «Уршак» ИЦППН УПНГ</t>
  </si>
  <si>
    <t>ИЦТОРТ</t>
  </si>
  <si>
    <t>Отстойник О-2 (О-3, О4), нефть, сточная вода</t>
  </si>
  <si>
    <t>Отстойник О-5 (О-6), нефть, сточная вода</t>
  </si>
  <si>
    <t>Сепаратор С-1.1 (С-1.2), нефть, попутный нефтяной газ, сточная вода</t>
  </si>
  <si>
    <t>Отстойник О-1.1(О-1.2), нефть, попутный нефтяной газ, пластовая вода</t>
  </si>
  <si>
    <t>РВС №1-4, нефть</t>
  </si>
  <si>
    <t>РВС №5-6, нефть, пластовая вода</t>
  </si>
  <si>
    <t>Насосное оборудование УПН, нефть</t>
  </si>
  <si>
    <t>Насосное оборудование УПН,хим.реагент</t>
  </si>
  <si>
    <t>Насосное оборудование УПН,пенообразователь</t>
  </si>
  <si>
    <t>СИКН, нефть</t>
  </si>
  <si>
    <t>Система факельная, попутный нефтяной газ</t>
  </si>
  <si>
    <t>Насосное оборудование УПН,бактерицид</t>
  </si>
  <si>
    <t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t>
  </si>
  <si>
    <t>Технологический трубопровод подачи нефти от трубопровода рег.№5 до задв.№2-3, №2-36), нефть, попутный нефтяной газ, пластовая вода</t>
  </si>
  <si>
    <t>Газосепаратор ГС-1, попутный нефтяной газ</t>
  </si>
  <si>
    <t xml:space="preserve">КС «Уршак» ЦСПТГ №1 УПНГ </t>
  </si>
  <si>
    <t>Газосепаратор С-1/1 (С-1/2), попутный нефтяной газ</t>
  </si>
  <si>
    <t>Газосепаратор С-2/1 (С-2/2), попутный нефтяной газ</t>
  </si>
  <si>
    <t>Емкость ЕМ-2, технологическое масло</t>
  </si>
  <si>
    <t>Емкость Е-5, технологическое масло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</si>
  <si>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</si>
  <si>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</si>
  <si>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</si>
  <si>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</si>
  <si>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</si>
  <si>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</si>
  <si>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</si>
  <si>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</si>
  <si>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</si>
  <si>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Технологический трубопровод факельной линии, попутный нефтяной газ</t>
  </si>
  <si>
    <t>Нефтепровод УПН «Уршак» - НСП «Казангулово», нефть</t>
  </si>
  <si>
    <t>Блочная установка для дозирования реагента, нефть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</si>
  <si>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</si>
  <si>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</si>
  <si>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</si>
  <si>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</si>
  <si>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</si>
  <si>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</si>
  <si>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</si>
  <si>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</si>
  <si>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</si>
  <si>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</si>
  <si>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</si>
  <si>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</si>
  <si>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</si>
  <si>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</si>
  <si>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</si>
  <si>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</si>
  <si>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</si>
  <si>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</si>
  <si>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</si>
  <si>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</si>
  <si>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</si>
  <si>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</si>
  <si>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</si>
  <si>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</si>
  <si>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</si>
  <si>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</si>
  <si>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</si>
  <si>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</si>
  <si>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</si>
  <si>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</si>
  <si>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</si>
  <si>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</si>
  <si>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</si>
  <si>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</si>
  <si>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</si>
  <si>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</si>
  <si>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</si>
  <si>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</si>
  <si>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</si>
  <si>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</si>
  <si>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</si>
  <si>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</si>
  <si>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</si>
  <si>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</si>
  <si>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</si>
  <si>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</si>
  <si>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</si>
  <si>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</si>
  <si>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</si>
  <si>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</si>
  <si>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</si>
  <si>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</si>
  <si>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</si>
  <si>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</si>
  <si>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</si>
  <si>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</si>
  <si>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</si>
  <si>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</si>
  <si>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</si>
  <si>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</si>
  <si>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</si>
  <si>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</si>
  <si>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</si>
  <si>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</si>
  <si>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</si>
  <si>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</si>
  <si>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</si>
  <si>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</si>
  <si>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</si>
  <si>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</si>
  <si>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</si>
  <si>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</si>
  <si>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</si>
  <si>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</si>
  <si>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</si>
  <si>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</si>
  <si>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</si>
  <si>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</si>
  <si>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</si>
  <si>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</si>
  <si>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</si>
  <si>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</si>
  <si>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</si>
  <si>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</si>
  <si>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</si>
  <si>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</si>
  <si>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</si>
  <si>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</si>
  <si>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</si>
  <si>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</si>
  <si>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</si>
  <si>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</si>
  <si>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</si>
  <si>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</si>
  <si>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</si>
  <si>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</si>
  <si>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</si>
  <si>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</si>
  <si>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</si>
  <si>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</si>
  <si>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</si>
  <si>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</si>
  <si>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</si>
  <si>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</si>
  <si>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</si>
  <si>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</si>
  <si>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</si>
  <si>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</si>
  <si>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</si>
  <si>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</si>
  <si>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</si>
  <si>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</si>
  <si>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</si>
  <si>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</si>
  <si>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</si>
  <si>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</si>
  <si>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</si>
  <si>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</si>
  <si>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</si>
  <si>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</si>
  <si>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</si>
  <si>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</si>
  <si>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</si>
  <si>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</si>
  <si>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</si>
  <si>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</si>
  <si>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</si>
  <si>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</si>
  <si>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</si>
  <si>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</si>
  <si>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</si>
  <si>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</si>
  <si>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</si>
  <si>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</si>
  <si>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</si>
  <si>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</si>
  <si>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</si>
  <si>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</si>
  <si>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</si>
  <si>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</si>
  <si>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</si>
  <si>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</si>
  <si>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</si>
  <si>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</si>
  <si>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</si>
  <si>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</si>
  <si>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</si>
  <si>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</si>
  <si>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</si>
  <si>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</si>
  <si>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</si>
  <si>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</si>
  <si>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</si>
  <si>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</si>
  <si>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Автоцистерна, нефть, попутный нефтяной газ, пластовая вода</t>
  </si>
  <si>
    <t>Трубопровод ЛВЖ_откр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</si>
  <si>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→пожар-вспшка</t>
  </si>
  <si>
    <t>Полное-пожар-вспышка</t>
  </si>
  <si>
    <t>Котельная промбазы "Раевка"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</si>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</sst>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22"/>
      <color rgb="FF00B0F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7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2" borderId="18" xfId="1" quotePrefix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8" xfId="0" applyFont="1" applyFill="1" applyBorder="1"/>
    <xf numFmtId="164" fontId="0" fillId="0" borderId="7" xfId="0" applyNumberFormat="1" applyFont="1" applyBorder="1"/>
    <xf numFmtId="0" fontId="19" fillId="2" borderId="18" xfId="1" applyFont="1" applyFill="1" applyBorder="1"/>
    <xf numFmtId="2" fontId="19" fillId="2" borderId="18" xfId="1" applyNumberFormat="1" applyFont="1" applyFill="1" applyBorder="1"/>
    <xf numFmtId="0" fontId="19" fillId="2" borderId="18" xfId="1" quotePrefix="1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6" fillId="0" borderId="0" xfId="0" applyFont="1"/>
    <xf numFmtId="2" fontId="26" fillId="0" borderId="0" xfId="0" applyNumberFormat="1" applyFont="1"/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8" fillId="0" borderId="0" xfId="0" applyFont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5" fillId="0" borderId="0" xfId="0" applyFont="1" applyFill="1" applyBorder="1"/>
    <xf numFmtId="0" fontId="0" fillId="0" borderId="0" xfId="0" applyFill="1" applyBorder="1"/>
    <xf numFmtId="0" fontId="29" fillId="0" borderId="0" xfId="0" applyFont="1" applyAlignment="1">
      <alignment horizontal="center" vertical="center"/>
    </xf>
    <xf numFmtId="0" fontId="5" fillId="15" borderId="1" xfId="0" applyFont="1" applyFill="1" applyBorder="1"/>
    <xf numFmtId="0" fontId="14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11" fontId="14" fillId="15" borderId="1" xfId="0" applyNumberFormat="1" applyFont="1" applyFill="1" applyBorder="1"/>
    <xf numFmtId="11" fontId="5" fillId="15" borderId="1" xfId="0" applyNumberFormat="1" applyFont="1" applyFill="1" applyBorder="1"/>
    <xf numFmtId="2" fontId="14" fillId="15" borderId="1" xfId="0" applyNumberFormat="1" applyFont="1" applyFill="1" applyBorder="1"/>
    <xf numFmtId="2" fontId="5" fillId="15" borderId="9" xfId="0" applyNumberFormat="1" applyFont="1" applyFill="1" applyBorder="1"/>
    <xf numFmtId="2" fontId="5" fillId="15" borderId="33" xfId="0" applyNumberFormat="1" applyFont="1" applyFill="1" applyBorder="1"/>
    <xf numFmtId="0" fontId="14" fillId="15" borderId="34" xfId="0" applyFont="1" applyFill="1" applyBorder="1"/>
    <xf numFmtId="0" fontId="0" fillId="15" borderId="0" xfId="0" applyFill="1"/>
    <xf numFmtId="0" fontId="5" fillId="15" borderId="0" xfId="0" applyFont="1" applyFill="1"/>
    <xf numFmtId="0" fontId="13" fillId="15" borderId="0" xfId="0" applyFont="1" applyFill="1"/>
    <xf numFmtId="165" fontId="5" fillId="15" borderId="0" xfId="0" applyNumberFormat="1" applyFont="1" applyFill="1"/>
    <xf numFmtId="2" fontId="5" fillId="15" borderId="0" xfId="0" applyNumberFormat="1" applyFont="1" applyFill="1"/>
    <xf numFmtId="11" fontId="5" fillId="15" borderId="0" xfId="0" applyNumberFormat="1" applyFont="1" applyFill="1"/>
    <xf numFmtId="11" fontId="0" fillId="15" borderId="0" xfId="0" applyNumberFormat="1" applyFill="1"/>
    <xf numFmtId="11" fontId="6" fillId="15" borderId="1" xfId="0" applyNumberFormat="1" applyFont="1" applyFill="1" applyBorder="1"/>
    <xf numFmtId="0" fontId="6" fillId="15" borderId="1" xfId="0" applyFont="1" applyFill="1" applyBorder="1"/>
    <xf numFmtId="2" fontId="5" fillId="15" borderId="1" xfId="0" applyNumberFormat="1" applyFont="1" applyFill="1" applyBorder="1"/>
    <xf numFmtId="2" fontId="14" fillId="15" borderId="9" xfId="0" applyNumberFormat="1" applyFont="1" applyFill="1" applyBorder="1"/>
    <xf numFmtId="0" fontId="5" fillId="15" borderId="9" xfId="0" applyFont="1" applyFill="1" applyBorder="1"/>
    <xf numFmtId="2" fontId="5" fillId="15" borderId="20" xfId="0" applyNumberFormat="1" applyFont="1" applyFill="1" applyBorder="1"/>
    <xf numFmtId="0" fontId="14" fillId="15" borderId="21" xfId="0" applyFont="1" applyFill="1" applyBorder="1"/>
    <xf numFmtId="0" fontId="5" fillId="15" borderId="40" xfId="0" applyFont="1" applyFill="1" applyBorder="1"/>
    <xf numFmtId="0" fontId="0" fillId="15" borderId="40" xfId="0" applyFill="1" applyBorder="1"/>
    <xf numFmtId="0" fontId="0" fillId="15" borderId="40" xfId="0" applyFill="1" applyBorder="1" applyAlignment="1">
      <alignment wrapText="1"/>
    </xf>
    <xf numFmtId="11" fontId="6" fillId="15" borderId="40" xfId="0" applyNumberFormat="1" applyFont="1" applyFill="1" applyBorder="1"/>
    <xf numFmtId="0" fontId="6" fillId="15" borderId="40" xfId="0" applyFont="1" applyFill="1" applyBorder="1"/>
    <xf numFmtId="11" fontId="5" fillId="15" borderId="40" xfId="0" applyNumberFormat="1" applyFont="1" applyFill="1" applyBorder="1"/>
    <xf numFmtId="2" fontId="5" fillId="15" borderId="40" xfId="0" applyNumberFormat="1" applyFont="1" applyFill="1" applyBorder="1"/>
    <xf numFmtId="0" fontId="5" fillId="15" borderId="4" xfId="0" applyFont="1" applyFill="1" applyBorder="1"/>
    <xf numFmtId="0" fontId="5" fillId="15" borderId="41" xfId="0" applyFont="1" applyFill="1" applyBorder="1"/>
    <xf numFmtId="0" fontId="6" fillId="15" borderId="42" xfId="0" applyFont="1" applyFill="1" applyBorder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15" workbookViewId="0">
      <selection activeCell="B24" sqref="B24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303" t="s">
        <v>493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57.6" x14ac:dyDescent="0.3">
      <c r="A3" s="140" t="s">
        <v>198</v>
      </c>
      <c r="B3" s="303" t="s">
        <v>448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57.6" x14ac:dyDescent="0.3">
      <c r="A4" s="140" t="s">
        <v>197</v>
      </c>
      <c r="B4" s="303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28.8" x14ac:dyDescent="0.3">
      <c r="A5" s="140" t="s">
        <v>196</v>
      </c>
      <c r="B5" s="303" t="s">
        <v>494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15.2" x14ac:dyDescent="0.3">
      <c r="A6" s="140" t="s">
        <v>199</v>
      </c>
      <c r="B6" s="303" t="s">
        <v>495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3">
      <c r="A7" s="140" t="s">
        <v>200</v>
      </c>
      <c r="B7" s="303" t="s">
        <v>496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28.8" x14ac:dyDescent="0.3">
      <c r="A8" s="140" t="s">
        <v>201</v>
      </c>
      <c r="B8" s="303" t="s">
        <v>497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28.8" x14ac:dyDescent="0.3">
      <c r="A9" s="140" t="s">
        <v>202</v>
      </c>
      <c r="B9" s="304" t="s">
        <v>498</v>
      </c>
      <c r="C9" t="s">
        <v>202</v>
      </c>
      <c r="F9" s="273" t="s">
        <v>357</v>
      </c>
      <c r="G9" s="273" t="s">
        <v>392</v>
      </c>
      <c r="H9" s="7" t="s">
        <v>398</v>
      </c>
      <c r="I9" s="7" t="s">
        <v>413</v>
      </c>
      <c r="J9" s="273" t="s">
        <v>357</v>
      </c>
      <c r="K9" s="273" t="s">
        <v>357</v>
      </c>
      <c r="L9" s="7" t="s">
        <v>398</v>
      </c>
      <c r="M9" s="273" t="s">
        <v>453</v>
      </c>
    </row>
    <row r="10" spans="1:13" x14ac:dyDescent="0.3">
      <c r="A10" s="140" t="s">
        <v>203</v>
      </c>
      <c r="B10" s="303" t="s">
        <v>491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3">
      <c r="A11" s="140" t="s">
        <v>204</v>
      </c>
      <c r="B11" s="303" t="s">
        <v>492</v>
      </c>
      <c r="C11" t="s">
        <v>223</v>
      </c>
      <c r="F11" s="274">
        <v>42545</v>
      </c>
      <c r="G11" s="274">
        <v>43854</v>
      </c>
      <c r="H11" s="203">
        <v>42242</v>
      </c>
      <c r="I11" s="7">
        <v>43083</v>
      </c>
      <c r="J11" s="274">
        <v>42545</v>
      </c>
      <c r="K11" s="274">
        <v>43367</v>
      </c>
      <c r="L11" s="203">
        <v>42242</v>
      </c>
      <c r="M11" s="7" t="s">
        <v>455</v>
      </c>
    </row>
    <row r="12" spans="1:13" ht="86.4" x14ac:dyDescent="0.3">
      <c r="A12" s="202" t="s">
        <v>205</v>
      </c>
      <c r="B12" s="303" t="s">
        <v>499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00.8" x14ac:dyDescent="0.3">
      <c r="A13" s="202" t="s">
        <v>206</v>
      </c>
      <c r="B13" s="303" t="s">
        <v>500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3">
      <c r="A14" s="202" t="s">
        <v>207</v>
      </c>
      <c r="B14" s="303" t="s">
        <v>501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3">
      <c r="A15" s="202" t="s">
        <v>208</v>
      </c>
      <c r="B15" s="303" t="s">
        <v>419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3">
      <c r="A16" s="115" t="s">
        <v>209</v>
      </c>
      <c r="B16" s="305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3">
      <c r="A17" s="115" t="s">
        <v>210</v>
      </c>
      <c r="B17" s="305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3">
      <c r="A18" s="115" t="s">
        <v>211</v>
      </c>
      <c r="B18" s="305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3">
      <c r="A19" s="115" t="s">
        <v>212</v>
      </c>
      <c r="B19" s="305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3">
      <c r="A20" s="115" t="s">
        <v>213</v>
      </c>
      <c r="B20" s="305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3">
      <c r="A21" s="115" t="s">
        <v>214</v>
      </c>
      <c r="B21" s="305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86.4" x14ac:dyDescent="0.3">
      <c r="A22" s="115" t="s">
        <v>215</v>
      </c>
      <c r="B22" s="305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3">
      <c r="A23" s="115" t="s">
        <v>348</v>
      </c>
      <c r="B23" s="305">
        <v>830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465</v>
      </c>
      <c r="C9" s="213" t="s">
        <v>466</v>
      </c>
      <c r="D9" s="214" t="s">
        <v>467</v>
      </c>
      <c r="E9" s="213" t="s">
        <v>463</v>
      </c>
      <c r="F9" s="213" t="s">
        <v>464</v>
      </c>
      <c r="H9" s="211">
        <v>8</v>
      </c>
      <c r="I9" s="212" t="s">
        <v>460</v>
      </c>
      <c r="J9" s="213" t="s">
        <v>282</v>
      </c>
      <c r="K9" s="214" t="s">
        <v>461</v>
      </c>
      <c r="L9" s="213" t="s">
        <v>462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13"/>
  <sheetViews>
    <sheetView topLeftCell="D1" zoomScale="85" zoomScaleNormal="85" workbookViewId="0">
      <pane ySplit="1" topLeftCell="A159" activePane="bottomLeft" state="frozen"/>
      <selection pane="bottomLeft" activeCell="V166" sqref="V166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2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19" t="s">
        <v>79</v>
      </c>
      <c r="B1" s="320"/>
      <c r="C1" s="321" t="s">
        <v>80</v>
      </c>
      <c r="D1" s="322"/>
      <c r="E1" s="323"/>
      <c r="F1" s="319" t="s">
        <v>81</v>
      </c>
      <c r="G1" s="324"/>
      <c r="H1" s="320"/>
      <c r="I1" s="313" t="s">
        <v>91</v>
      </c>
      <c r="J1" s="313" t="s">
        <v>92</v>
      </c>
      <c r="K1" s="313" t="s">
        <v>93</v>
      </c>
      <c r="L1" s="317" t="s">
        <v>237</v>
      </c>
      <c r="M1" s="313" t="s">
        <v>95</v>
      </c>
      <c r="N1" s="313" t="s">
        <v>94</v>
      </c>
      <c r="O1" s="311" t="s">
        <v>78</v>
      </c>
      <c r="P1" s="313" t="s">
        <v>82</v>
      </c>
      <c r="Q1" s="315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14"/>
      <c r="J2" s="314"/>
      <c r="K2" s="314"/>
      <c r="L2" s="318"/>
      <c r="M2" s="314"/>
      <c r="N2" s="314"/>
      <c r="O2" s="312"/>
      <c r="P2" s="314"/>
      <c r="Q2" s="316"/>
    </row>
    <row r="3" spans="1:45" ht="29.4" thickBot="1" x14ac:dyDescent="0.35">
      <c r="A3" s="40" t="s">
        <v>709</v>
      </c>
      <c r="B3" s="281" t="str">
        <f>CONCATENATE(Y3,", ",Z3)</f>
        <v>Отстойник О-2, нефть, сточная вода</v>
      </c>
      <c r="C3" s="282">
        <v>1</v>
      </c>
      <c r="D3" s="3">
        <v>87</v>
      </c>
      <c r="E3" s="43">
        <f t="shared" ref="E3" si="0">D3*C3</f>
        <v>87</v>
      </c>
      <c r="F3" s="283" t="s">
        <v>459</v>
      </c>
      <c r="G3" s="283">
        <v>0.59</v>
      </c>
      <c r="H3" s="283" t="s">
        <v>693</v>
      </c>
      <c r="I3" s="50">
        <f>PI()*(POWER(K3/1000,2)/4)*J3</f>
        <v>1.4137166941154067E-2</v>
      </c>
      <c r="J3" s="51">
        <v>20</v>
      </c>
      <c r="K3" s="49">
        <v>30</v>
      </c>
      <c r="L3" s="204">
        <v>0</v>
      </c>
      <c r="M3" s="285">
        <v>5.1999999999999998E-2</v>
      </c>
      <c r="N3" s="286">
        <v>0.86099999999999999</v>
      </c>
      <c r="O3" s="287">
        <v>25</v>
      </c>
      <c r="P3" s="288">
        <v>0.1</v>
      </c>
      <c r="Q3" s="54">
        <v>0</v>
      </c>
      <c r="R3" t="s">
        <v>98</v>
      </c>
      <c r="T3" s="57" t="s">
        <v>98</v>
      </c>
      <c r="U3" s="276">
        <f>SUMIF($R$3:$R$170,T3,$E$3:$E$170)</f>
        <v>8375.1780000000199</v>
      </c>
      <c r="X3" t="s">
        <v>98</v>
      </c>
      <c r="Y3" t="s">
        <v>502</v>
      </c>
      <c r="Z3" t="s">
        <v>668</v>
      </c>
      <c r="AE3" s="269" t="s">
        <v>369</v>
      </c>
      <c r="AF3" s="270"/>
      <c r="AG3" s="271"/>
    </row>
    <row r="4" spans="1:45" ht="29.4" thickBot="1" x14ac:dyDescent="0.35">
      <c r="A4" s="40" t="s">
        <v>709</v>
      </c>
      <c r="B4" s="281" t="str">
        <f t="shared" ref="B4:B67" si="1">CONCATENATE(Y4,", ",Z4)</f>
        <v>Отстойник О-3, нефть, сточная вода</v>
      </c>
      <c r="C4" s="282">
        <v>1</v>
      </c>
      <c r="D4" s="3">
        <v>87</v>
      </c>
      <c r="E4" s="43">
        <f t="shared" ref="E4:E5" si="2">D4*C4</f>
        <v>87</v>
      </c>
      <c r="F4" s="283" t="s">
        <v>459</v>
      </c>
      <c r="G4" s="283">
        <v>0.6</v>
      </c>
      <c r="H4" s="283" t="s">
        <v>693</v>
      </c>
      <c r="I4" s="50">
        <f t="shared" ref="I4:I67" si="3">PI()*(POWER(K4/1000,2)/4)*J4</f>
        <v>1.4137166941154067E-2</v>
      </c>
      <c r="J4" s="51">
        <v>20</v>
      </c>
      <c r="K4" s="49">
        <v>30</v>
      </c>
      <c r="L4" s="204">
        <v>0</v>
      </c>
      <c r="M4" s="285">
        <v>5.1999999999999998E-2</v>
      </c>
      <c r="N4" s="286">
        <v>0.86099999999999999</v>
      </c>
      <c r="O4" s="287">
        <v>25</v>
      </c>
      <c r="P4" s="288">
        <v>0.1</v>
      </c>
      <c r="Q4" s="54">
        <v>0</v>
      </c>
      <c r="R4" t="s">
        <v>98</v>
      </c>
      <c r="T4" s="57" t="s">
        <v>670</v>
      </c>
      <c r="U4" s="276">
        <f t="shared" ref="U4:U9" si="4">SUMIF($R$3:$R$170,T4,$E$3:$E$170)</f>
        <v>35.670299999999997</v>
      </c>
      <c r="W4" s="37"/>
      <c r="X4" s="37" t="s">
        <v>98</v>
      </c>
      <c r="Y4" t="s">
        <v>503</v>
      </c>
      <c r="Z4" t="s">
        <v>668</v>
      </c>
      <c r="AE4" s="268" t="s">
        <v>370</v>
      </c>
      <c r="AF4" s="16">
        <v>100</v>
      </c>
      <c r="AG4" s="268" t="s">
        <v>371</v>
      </c>
    </row>
    <row r="5" spans="1:45" ht="29.4" thickBot="1" x14ac:dyDescent="0.35">
      <c r="A5" s="40" t="s">
        <v>709</v>
      </c>
      <c r="B5" s="281" t="str">
        <f t="shared" si="1"/>
        <v>Отстойник О-4, нефть, сточная вода</v>
      </c>
      <c r="C5" s="282">
        <v>1</v>
      </c>
      <c r="D5" s="3">
        <v>87</v>
      </c>
      <c r="E5" s="43">
        <f t="shared" si="2"/>
        <v>87</v>
      </c>
      <c r="F5" s="283" t="s">
        <v>459</v>
      </c>
      <c r="G5" s="283">
        <v>0.6</v>
      </c>
      <c r="H5" s="284" t="s">
        <v>693</v>
      </c>
      <c r="I5" s="50">
        <f t="shared" si="3"/>
        <v>1.4137166941154067E-2</v>
      </c>
      <c r="J5" s="51">
        <v>20</v>
      </c>
      <c r="K5" s="49">
        <v>30</v>
      </c>
      <c r="L5" s="204">
        <v>0</v>
      </c>
      <c r="M5" s="285">
        <v>5.1999999999999998E-2</v>
      </c>
      <c r="N5" s="286">
        <v>0.86099999999999999</v>
      </c>
      <c r="O5" s="287">
        <v>25</v>
      </c>
      <c r="P5" s="288">
        <v>0.1</v>
      </c>
      <c r="Q5" s="54">
        <v>0</v>
      </c>
      <c r="R5" t="s">
        <v>98</v>
      </c>
      <c r="T5" s="57" t="s">
        <v>676</v>
      </c>
      <c r="U5" s="276">
        <f t="shared" si="4"/>
        <v>0.14000000000000001</v>
      </c>
      <c r="X5" t="s">
        <v>670</v>
      </c>
      <c r="Y5" t="s">
        <v>504</v>
      </c>
      <c r="Z5" t="s">
        <v>668</v>
      </c>
      <c r="AE5" s="268" t="s">
        <v>377</v>
      </c>
      <c r="AF5" s="16">
        <v>0.1</v>
      </c>
      <c r="AG5" s="268" t="s">
        <v>378</v>
      </c>
    </row>
    <row r="6" spans="1:45" ht="29.4" thickBot="1" x14ac:dyDescent="0.35">
      <c r="A6" s="40" t="s">
        <v>709</v>
      </c>
      <c r="B6" s="281" t="str">
        <f t="shared" si="1"/>
        <v>Отстойник О-6, нефть, сточная вода</v>
      </c>
      <c r="C6" s="282">
        <v>1</v>
      </c>
      <c r="D6" s="3">
        <v>175</v>
      </c>
      <c r="E6" s="43">
        <f t="shared" ref="E6:E15" si="5">D6*C6</f>
        <v>175</v>
      </c>
      <c r="F6" s="283" t="s">
        <v>459</v>
      </c>
      <c r="G6" s="283">
        <v>0.84</v>
      </c>
      <c r="H6" s="284" t="s">
        <v>694</v>
      </c>
      <c r="I6" s="50">
        <f t="shared" si="3"/>
        <v>1.4137166941154067E-2</v>
      </c>
      <c r="J6" s="51">
        <v>20</v>
      </c>
      <c r="K6" s="49">
        <v>30</v>
      </c>
      <c r="L6" s="204">
        <v>0</v>
      </c>
      <c r="M6" s="285">
        <v>5.1999999999999998E-2</v>
      </c>
      <c r="N6" s="286">
        <v>0.86099999999999999</v>
      </c>
      <c r="O6" s="287">
        <v>25</v>
      </c>
      <c r="P6" s="288">
        <v>0.1</v>
      </c>
      <c r="Q6" s="54">
        <v>0</v>
      </c>
      <c r="R6" t="s">
        <v>98</v>
      </c>
      <c r="T6" s="57" t="s">
        <v>690</v>
      </c>
      <c r="U6" s="276">
        <f t="shared" si="4"/>
        <v>0.16</v>
      </c>
      <c r="X6" t="s">
        <v>676</v>
      </c>
      <c r="Y6" t="s">
        <v>505</v>
      </c>
      <c r="Z6" t="s">
        <v>668</v>
      </c>
      <c r="AE6" s="268" t="s">
        <v>379</v>
      </c>
      <c r="AF6" s="16">
        <v>30</v>
      </c>
      <c r="AG6" s="268" t="s">
        <v>380</v>
      </c>
    </row>
    <row r="7" spans="1:45" ht="29.4" thickBot="1" x14ac:dyDescent="0.35">
      <c r="A7" s="40" t="s">
        <v>709</v>
      </c>
      <c r="B7" s="281" t="str">
        <f t="shared" si="1"/>
        <v>Отстойник О-5, нефть, сточная вода</v>
      </c>
      <c r="C7" s="282">
        <v>1</v>
      </c>
      <c r="D7" s="3">
        <v>175</v>
      </c>
      <c r="E7" s="43">
        <f t="shared" si="5"/>
        <v>175</v>
      </c>
      <c r="F7" s="283" t="s">
        <v>459</v>
      </c>
      <c r="G7" s="283">
        <v>0.84</v>
      </c>
      <c r="H7" s="284" t="s">
        <v>694</v>
      </c>
      <c r="I7" s="50">
        <f t="shared" si="3"/>
        <v>1.4137166941154067E-2</v>
      </c>
      <c r="J7" s="51">
        <v>20</v>
      </c>
      <c r="K7" s="49">
        <v>30</v>
      </c>
      <c r="L7" s="204">
        <v>0</v>
      </c>
      <c r="M7" s="285">
        <v>5.1999999999999998E-2</v>
      </c>
      <c r="N7" s="286">
        <v>0.86099999999999999</v>
      </c>
      <c r="O7" s="287">
        <v>25</v>
      </c>
      <c r="P7" s="288">
        <v>0.1</v>
      </c>
      <c r="Q7" s="54">
        <v>0</v>
      </c>
      <c r="R7" t="s">
        <v>98</v>
      </c>
      <c r="T7" s="57" t="s">
        <v>677</v>
      </c>
      <c r="U7" s="276">
        <f t="shared" si="4"/>
        <v>0.7</v>
      </c>
      <c r="X7" t="s">
        <v>690</v>
      </c>
      <c r="Y7" t="s">
        <v>506</v>
      </c>
      <c r="Z7" t="s">
        <v>668</v>
      </c>
      <c r="AE7" s="268" t="s">
        <v>381</v>
      </c>
      <c r="AF7" s="272">
        <f>((AF4/1000)*AF5*POWER(10,6)/(8.31*(AF6+273)))</f>
        <v>3.9715162852025276</v>
      </c>
      <c r="AG7" s="268" t="s">
        <v>382</v>
      </c>
    </row>
    <row r="8" spans="1:45" ht="29.4" thickBot="1" x14ac:dyDescent="0.35">
      <c r="A8" s="40" t="s">
        <v>709</v>
      </c>
      <c r="B8" s="281" t="str">
        <f t="shared" si="1"/>
        <v>Сепаратор С-1.2, нефть, попутный нефтяной газ,  пластовая вода</v>
      </c>
      <c r="C8" s="283">
        <v>1</v>
      </c>
      <c r="D8" s="3">
        <v>29</v>
      </c>
      <c r="E8" s="43">
        <f t="shared" si="5"/>
        <v>29</v>
      </c>
      <c r="F8" s="283" t="s">
        <v>459</v>
      </c>
      <c r="G8" s="283">
        <v>0.6</v>
      </c>
      <c r="H8" s="284" t="s">
        <v>693</v>
      </c>
      <c r="I8" s="50">
        <f t="shared" si="3"/>
        <v>1.4137166941154067E-2</v>
      </c>
      <c r="J8" s="51">
        <v>20</v>
      </c>
      <c r="K8" s="49">
        <v>30</v>
      </c>
      <c r="L8" s="204">
        <v>0</v>
      </c>
      <c r="M8" s="285">
        <v>5.1999999999999998E-2</v>
      </c>
      <c r="N8" s="286">
        <v>0.86099999999999999</v>
      </c>
      <c r="O8" s="287">
        <v>25</v>
      </c>
      <c r="P8" s="288">
        <v>0.1</v>
      </c>
      <c r="Q8" s="54">
        <v>0</v>
      </c>
      <c r="R8" t="s">
        <v>98</v>
      </c>
      <c r="T8" s="57" t="s">
        <v>678</v>
      </c>
      <c r="U8" s="276">
        <f t="shared" si="4"/>
        <v>1.63</v>
      </c>
      <c r="X8" t="s">
        <v>677</v>
      </c>
      <c r="Y8" t="s">
        <v>507</v>
      </c>
      <c r="Z8" t="s">
        <v>669</v>
      </c>
    </row>
    <row r="9" spans="1:45" ht="29.4" thickBot="1" x14ac:dyDescent="0.35">
      <c r="A9" s="40" t="s">
        <v>709</v>
      </c>
      <c r="B9" s="281" t="str">
        <f t="shared" si="1"/>
        <v>Сепаратор С-1.1, нефть, попутный нефтяной газ,  пластовая вода</v>
      </c>
      <c r="C9" s="289">
        <v>1</v>
      </c>
      <c r="D9" s="3">
        <v>29</v>
      </c>
      <c r="E9" s="294">
        <f t="shared" si="5"/>
        <v>29</v>
      </c>
      <c r="F9" s="283" t="s">
        <v>459</v>
      </c>
      <c r="G9" s="291">
        <v>0.6</v>
      </c>
      <c r="H9" s="293" t="s">
        <v>693</v>
      </c>
      <c r="I9" s="50">
        <f t="shared" si="3"/>
        <v>1.4137166941154067E-2</v>
      </c>
      <c r="J9" s="51">
        <v>20</v>
      </c>
      <c r="K9" s="49">
        <v>30</v>
      </c>
      <c r="L9" s="204">
        <v>0</v>
      </c>
      <c r="M9" s="285">
        <v>5.1999999999999998E-2</v>
      </c>
      <c r="N9" s="286">
        <v>0.86099999999999999</v>
      </c>
      <c r="O9" s="287">
        <v>25</v>
      </c>
      <c r="P9" s="288">
        <v>0.1</v>
      </c>
      <c r="Q9" s="54">
        <v>0</v>
      </c>
      <c r="R9" t="s">
        <v>98</v>
      </c>
      <c r="T9" s="57" t="s">
        <v>683</v>
      </c>
      <c r="U9" s="276">
        <f t="shared" si="4"/>
        <v>126</v>
      </c>
      <c r="W9" s="280"/>
      <c r="X9" t="s">
        <v>678</v>
      </c>
      <c r="Y9" t="s">
        <v>508</v>
      </c>
      <c r="Z9" t="s">
        <v>669</v>
      </c>
    </row>
    <row r="10" spans="1:45" ht="30.6" customHeight="1" thickBot="1" x14ac:dyDescent="0.35">
      <c r="A10" s="40" t="s">
        <v>709</v>
      </c>
      <c r="B10" s="281" t="str">
        <f t="shared" si="1"/>
        <v>Газосепаратор ГС-1, попутный нефтяной газ</v>
      </c>
      <c r="C10" s="289">
        <v>1</v>
      </c>
      <c r="D10" s="3">
        <v>22</v>
      </c>
      <c r="E10" s="294">
        <f t="shared" si="5"/>
        <v>22</v>
      </c>
      <c r="F10" s="283" t="s">
        <v>372</v>
      </c>
      <c r="G10" s="291">
        <v>0.6</v>
      </c>
      <c r="H10" s="293" t="s">
        <v>693</v>
      </c>
      <c r="I10" s="50">
        <f t="shared" si="3"/>
        <v>1.4137166941154067E-2</v>
      </c>
      <c r="J10" s="51">
        <v>20</v>
      </c>
      <c r="K10" s="49">
        <v>30</v>
      </c>
      <c r="L10" s="204">
        <v>0</v>
      </c>
      <c r="M10" s="285">
        <v>5.1999999999999998E-2</v>
      </c>
      <c r="N10" s="286">
        <v>0.86099999999999999</v>
      </c>
      <c r="O10" s="287">
        <v>25</v>
      </c>
      <c r="P10" s="288">
        <v>0.1</v>
      </c>
      <c r="Q10" s="54">
        <v>0</v>
      </c>
      <c r="R10" t="s">
        <v>670</v>
      </c>
      <c r="T10" s="279"/>
      <c r="U10" s="276"/>
      <c r="X10" t="s">
        <v>679</v>
      </c>
      <c r="Y10" t="s">
        <v>509</v>
      </c>
      <c r="Z10" t="s">
        <v>670</v>
      </c>
    </row>
    <row r="11" spans="1:45" ht="46.2" customHeight="1" x14ac:dyDescent="0.3">
      <c r="A11" s="40" t="s">
        <v>709</v>
      </c>
      <c r="B11" s="281" t="str">
        <f t="shared" si="1"/>
        <v>Газосепаратор ГС-2, попутный нефтяной газ</v>
      </c>
      <c r="C11" s="289">
        <v>1</v>
      </c>
      <c r="D11" s="3">
        <v>1</v>
      </c>
      <c r="E11" s="294">
        <f t="shared" si="5"/>
        <v>1</v>
      </c>
      <c r="F11" s="283" t="s">
        <v>372</v>
      </c>
      <c r="G11" s="291">
        <v>2.27</v>
      </c>
      <c r="H11" s="293" t="s">
        <v>693</v>
      </c>
      <c r="I11" s="50">
        <f t="shared" si="3"/>
        <v>1.4137166941154067E-2</v>
      </c>
      <c r="J11" s="51">
        <v>20</v>
      </c>
      <c r="K11" s="49">
        <v>30</v>
      </c>
      <c r="L11" s="204">
        <v>0</v>
      </c>
      <c r="M11" s="285">
        <v>5.1999999999999998E-2</v>
      </c>
      <c r="N11" s="286">
        <v>0.86099999999999999</v>
      </c>
      <c r="O11" s="287">
        <v>25</v>
      </c>
      <c r="P11" s="288">
        <v>0.1</v>
      </c>
      <c r="Q11" s="54">
        <v>0</v>
      </c>
      <c r="R11" t="s">
        <v>670</v>
      </c>
      <c r="T11" s="279"/>
      <c r="U11" s="276"/>
      <c r="X11" t="s">
        <v>683</v>
      </c>
      <c r="Y11" t="s">
        <v>510</v>
      </c>
      <c r="Z11" t="s">
        <v>670</v>
      </c>
      <c r="AC11" s="48" t="s">
        <v>420</v>
      </c>
      <c r="AD11" s="47">
        <v>1</v>
      </c>
      <c r="AE11" s="275">
        <f t="shared" ref="AE11" si="6">AP11*AQ11*AO11+AP11*(1-AQ11)*AN11+IF(AG11="г.ф.",AN11*AJ11,AO11*AJ11)</f>
        <v>148.94</v>
      </c>
      <c r="AF11" s="275">
        <f t="shared" ref="AF11" si="7">AE11*AD11</f>
        <v>148.94</v>
      </c>
      <c r="AG11" s="47" t="s">
        <v>372</v>
      </c>
      <c r="AH11" s="17">
        <v>1.6</v>
      </c>
      <c r="AI11" s="267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ht="28.8" x14ac:dyDescent="0.3">
      <c r="A12" s="40" t="s">
        <v>709</v>
      </c>
      <c r="B12" s="281" t="str">
        <f t="shared" si="1"/>
        <v>Газосепаратор  ГС-4, попутный нефтяной газ, газовый конденсат</v>
      </c>
      <c r="C12" s="289">
        <v>1</v>
      </c>
      <c r="D12">
        <v>8.5</v>
      </c>
      <c r="E12" s="294">
        <f t="shared" si="5"/>
        <v>8.5</v>
      </c>
      <c r="F12" s="283" t="s">
        <v>459</v>
      </c>
      <c r="G12" s="291">
        <v>0.9</v>
      </c>
      <c r="H12" s="293" t="s">
        <v>695</v>
      </c>
      <c r="I12" s="50">
        <f t="shared" si="3"/>
        <v>1.4137166941154067E-2</v>
      </c>
      <c r="J12" s="51">
        <v>20</v>
      </c>
      <c r="K12" s="49">
        <v>30</v>
      </c>
      <c r="L12" s="204">
        <v>0</v>
      </c>
      <c r="M12" s="285">
        <v>5.1999999999999998E-2</v>
      </c>
      <c r="N12" s="286">
        <v>0.86099999999999999</v>
      </c>
      <c r="O12" s="287">
        <v>25</v>
      </c>
      <c r="P12" s="288">
        <v>0.1</v>
      </c>
      <c r="Q12" s="54">
        <v>0</v>
      </c>
      <c r="R12" t="s">
        <v>670</v>
      </c>
      <c r="X12" t="s">
        <v>687</v>
      </c>
      <c r="Y12" t="s">
        <v>511</v>
      </c>
      <c r="Z12" t="s">
        <v>671</v>
      </c>
    </row>
    <row r="13" spans="1:45" ht="28.8" x14ac:dyDescent="0.3">
      <c r="A13" s="40" t="s">
        <v>709</v>
      </c>
      <c r="B13" s="281" t="str">
        <f t="shared" si="1"/>
        <v>Сепаратор  С-2.1, нефть, попутный нефтяной газ</v>
      </c>
      <c r="C13" s="289">
        <v>1</v>
      </c>
      <c r="D13" s="3">
        <v>6</v>
      </c>
      <c r="E13" s="290">
        <f t="shared" si="5"/>
        <v>6</v>
      </c>
      <c r="F13" s="283" t="s">
        <v>459</v>
      </c>
      <c r="G13" s="292">
        <v>0.8</v>
      </c>
      <c r="H13" s="293" t="s">
        <v>693</v>
      </c>
      <c r="I13" s="50">
        <f t="shared" si="3"/>
        <v>1.4137166941154067E-2</v>
      </c>
      <c r="J13" s="51">
        <v>20</v>
      </c>
      <c r="K13" s="49">
        <v>30</v>
      </c>
      <c r="L13" s="204">
        <v>0</v>
      </c>
      <c r="M13" s="285">
        <v>5.1999999999999998E-2</v>
      </c>
      <c r="N13" s="286">
        <v>0.86099999999999999</v>
      </c>
      <c r="O13" s="287">
        <v>25</v>
      </c>
      <c r="P13" s="288">
        <v>0.1</v>
      </c>
      <c r="Q13" s="54">
        <v>0</v>
      </c>
      <c r="R13" t="s">
        <v>98</v>
      </c>
      <c r="X13" t="s">
        <v>688</v>
      </c>
      <c r="Y13" t="s">
        <v>512</v>
      </c>
      <c r="Z13" t="s">
        <v>672</v>
      </c>
    </row>
    <row r="14" spans="1:45" ht="28.8" x14ac:dyDescent="0.3">
      <c r="A14" s="40" t="s">
        <v>709</v>
      </c>
      <c r="B14" s="281" t="str">
        <f t="shared" si="1"/>
        <v>Сепаратор  С-2.2 (С-3.1), нефть, попутный нефтяной газ</v>
      </c>
      <c r="C14" s="289">
        <v>1</v>
      </c>
      <c r="D14" s="3">
        <v>6</v>
      </c>
      <c r="E14" s="290">
        <f t="shared" si="5"/>
        <v>6</v>
      </c>
      <c r="F14" s="283" t="s">
        <v>459</v>
      </c>
      <c r="G14" s="291">
        <v>0.8</v>
      </c>
      <c r="H14" s="293" t="s">
        <v>693</v>
      </c>
      <c r="I14" s="50">
        <f t="shared" si="3"/>
        <v>1.4137166941154067E-2</v>
      </c>
      <c r="J14" s="51">
        <v>20</v>
      </c>
      <c r="K14" s="49">
        <v>30</v>
      </c>
      <c r="L14" s="204">
        <v>0</v>
      </c>
      <c r="M14" s="285">
        <v>5.1999999999999998E-2</v>
      </c>
      <c r="N14" s="286">
        <v>0.86099999999999999</v>
      </c>
      <c r="O14" s="287">
        <v>25</v>
      </c>
      <c r="P14" s="288">
        <v>0.1</v>
      </c>
      <c r="Q14" s="54">
        <v>0</v>
      </c>
      <c r="R14" t="s">
        <v>98</v>
      </c>
      <c r="X14" t="s">
        <v>689</v>
      </c>
      <c r="Y14" t="s">
        <v>513</v>
      </c>
      <c r="Z14" t="s">
        <v>672</v>
      </c>
    </row>
    <row r="15" spans="1:45" ht="28.8" x14ac:dyDescent="0.3">
      <c r="A15" s="40" t="s">
        <v>709</v>
      </c>
      <c r="B15" s="281" t="str">
        <f t="shared" si="1"/>
        <v>Сепаратор  С-3.2, нефть, попутный нефтяной газ</v>
      </c>
      <c r="C15" s="282">
        <v>1</v>
      </c>
      <c r="D15" s="3">
        <v>6</v>
      </c>
      <c r="E15" s="294">
        <f t="shared" si="5"/>
        <v>6</v>
      </c>
      <c r="F15" s="283" t="s">
        <v>459</v>
      </c>
      <c r="G15" s="283">
        <v>0.8</v>
      </c>
      <c r="H15" s="293" t="s">
        <v>693</v>
      </c>
      <c r="I15" s="50">
        <f t="shared" si="3"/>
        <v>1.4137166941154067E-2</v>
      </c>
      <c r="J15" s="51">
        <v>20</v>
      </c>
      <c r="K15" s="49">
        <v>30</v>
      </c>
      <c r="L15" s="204">
        <v>0</v>
      </c>
      <c r="M15" s="285">
        <v>5.1999999999999998E-2</v>
      </c>
      <c r="N15" s="286">
        <v>0.86099999999999999</v>
      </c>
      <c r="O15" s="287">
        <v>25</v>
      </c>
      <c r="P15" s="288">
        <v>0.1</v>
      </c>
      <c r="Q15" s="54">
        <v>0</v>
      </c>
      <c r="R15" t="s">
        <v>98</v>
      </c>
      <c r="Y15" t="s">
        <v>514</v>
      </c>
      <c r="Z15" t="s">
        <v>672</v>
      </c>
    </row>
    <row r="16" spans="1:45" ht="28.8" x14ac:dyDescent="0.3">
      <c r="A16" s="40" t="s">
        <v>709</v>
      </c>
      <c r="B16" s="281" t="str">
        <f t="shared" si="1"/>
        <v>Отстойник О-1.1, нефть, попутный нефтяной газ,  пластовая вода</v>
      </c>
      <c r="C16" s="282">
        <v>1</v>
      </c>
      <c r="D16" s="3">
        <v>26</v>
      </c>
      <c r="E16" s="43">
        <f t="shared" ref="E16" si="8">D16*C16</f>
        <v>26</v>
      </c>
      <c r="F16" s="283" t="s">
        <v>459</v>
      </c>
      <c r="G16" s="283">
        <v>0.6</v>
      </c>
      <c r="H16" s="293" t="s">
        <v>696</v>
      </c>
      <c r="I16" s="50">
        <f t="shared" si="3"/>
        <v>1.4137166941154067E-2</v>
      </c>
      <c r="J16" s="51">
        <v>20</v>
      </c>
      <c r="K16" s="49">
        <v>30</v>
      </c>
      <c r="L16" s="204">
        <v>0</v>
      </c>
      <c r="M16" s="285">
        <v>5.1999999999999998E-2</v>
      </c>
      <c r="N16" s="286">
        <v>0.86099999999999999</v>
      </c>
      <c r="O16" s="287">
        <v>25</v>
      </c>
      <c r="P16" s="288">
        <v>0.1</v>
      </c>
      <c r="Q16" s="54">
        <v>0</v>
      </c>
      <c r="R16" t="s">
        <v>98</v>
      </c>
      <c r="Y16" t="s">
        <v>515</v>
      </c>
      <c r="Z16" t="s">
        <v>669</v>
      </c>
    </row>
    <row r="17" spans="1:26" ht="28.8" x14ac:dyDescent="0.3">
      <c r="A17" s="40" t="s">
        <v>709</v>
      </c>
      <c r="B17" s="281" t="str">
        <f t="shared" si="1"/>
        <v>Отстойник О-1.2, нефть, попутный нефтяной газ,  пластовая вода</v>
      </c>
      <c r="C17" s="282">
        <v>1</v>
      </c>
      <c r="D17" s="3">
        <v>26</v>
      </c>
      <c r="E17" s="294">
        <f t="shared" ref="E17:E80" si="9">D17*C17</f>
        <v>26</v>
      </c>
      <c r="F17" s="283" t="s">
        <v>459</v>
      </c>
      <c r="G17" s="283">
        <v>0.6</v>
      </c>
      <c r="H17" s="293" t="s">
        <v>697</v>
      </c>
      <c r="I17" s="50">
        <f t="shared" si="3"/>
        <v>1.4137166941154067E-2</v>
      </c>
      <c r="J17" s="51">
        <v>20</v>
      </c>
      <c r="K17" s="49">
        <v>30</v>
      </c>
      <c r="L17" s="204">
        <v>0</v>
      </c>
      <c r="M17" s="285">
        <v>5.1999999999999998E-2</v>
      </c>
      <c r="N17" s="286">
        <v>0.86099999999999999</v>
      </c>
      <c r="O17" s="287">
        <v>25</v>
      </c>
      <c r="P17" s="288">
        <v>0.1</v>
      </c>
      <c r="Q17" s="54">
        <v>0</v>
      </c>
      <c r="R17" t="s">
        <v>98</v>
      </c>
      <c r="T17" t="s">
        <v>376</v>
      </c>
      <c r="Y17" t="s">
        <v>516</v>
      </c>
      <c r="Z17" t="s">
        <v>669</v>
      </c>
    </row>
    <row r="18" spans="1:26" ht="86.4" x14ac:dyDescent="0.3">
      <c r="A18" s="40" t="s">
        <v>709</v>
      </c>
      <c r="B18" s="281" t="str">
        <f t="shared" si="1"/>
        <v>Резервуар вертикальные сварной №1, нефть</v>
      </c>
      <c r="C18" s="282">
        <v>1</v>
      </c>
      <c r="D18" s="3">
        <v>1653</v>
      </c>
      <c r="E18" s="294">
        <f t="shared" si="9"/>
        <v>1653</v>
      </c>
      <c r="F18" s="283" t="s">
        <v>374</v>
      </c>
      <c r="G18" s="283" t="s">
        <v>692</v>
      </c>
      <c r="H18" s="283" t="s">
        <v>692</v>
      </c>
      <c r="I18" s="50">
        <f t="shared" si="3"/>
        <v>1.4137166941154067E-2</v>
      </c>
      <c r="J18" s="51">
        <v>20</v>
      </c>
      <c r="K18" s="49">
        <v>30</v>
      </c>
      <c r="L18" s="204">
        <v>0</v>
      </c>
      <c r="M18" s="285">
        <v>5.1999999999999998E-2</v>
      </c>
      <c r="N18" s="286">
        <v>0.86099999999999999</v>
      </c>
      <c r="O18" s="287">
        <v>25</v>
      </c>
      <c r="P18" s="288">
        <v>0.1</v>
      </c>
      <c r="Q18" s="54">
        <v>0</v>
      </c>
      <c r="R18" t="s">
        <v>98</v>
      </c>
      <c r="Y18" s="7" t="s">
        <v>517</v>
      </c>
      <c r="Z18" t="s">
        <v>98</v>
      </c>
    </row>
    <row r="19" spans="1:26" ht="86.4" x14ac:dyDescent="0.3">
      <c r="A19" s="40" t="s">
        <v>709</v>
      </c>
      <c r="B19" s="281" t="str">
        <f t="shared" si="1"/>
        <v>Резервуар вертикальные сварной №2, нефть</v>
      </c>
      <c r="C19" s="282">
        <v>1</v>
      </c>
      <c r="D19" s="3">
        <v>1653</v>
      </c>
      <c r="E19" s="294">
        <f t="shared" si="9"/>
        <v>1653</v>
      </c>
      <c r="F19" s="283" t="s">
        <v>374</v>
      </c>
      <c r="G19" s="283" t="s">
        <v>692</v>
      </c>
      <c r="H19" s="283" t="s">
        <v>692</v>
      </c>
      <c r="I19" s="50">
        <f t="shared" si="3"/>
        <v>1.4137166941154067E-2</v>
      </c>
      <c r="J19" s="51">
        <v>20</v>
      </c>
      <c r="K19" s="49">
        <v>30</v>
      </c>
      <c r="L19" s="204">
        <v>0</v>
      </c>
      <c r="M19" s="285">
        <v>5.1999999999999998E-2</v>
      </c>
      <c r="N19" s="286">
        <v>0.86099999999999999</v>
      </c>
      <c r="O19" s="287">
        <v>25</v>
      </c>
      <c r="P19" s="288">
        <v>0.1</v>
      </c>
      <c r="Q19" s="54">
        <v>0</v>
      </c>
      <c r="R19" t="s">
        <v>98</v>
      </c>
      <c r="Y19" s="7" t="s">
        <v>518</v>
      </c>
      <c r="Z19" t="s">
        <v>98</v>
      </c>
    </row>
    <row r="20" spans="1:26" ht="86.4" x14ac:dyDescent="0.3">
      <c r="A20" s="40" t="s">
        <v>709</v>
      </c>
      <c r="B20" s="281" t="str">
        <f t="shared" si="1"/>
        <v>Резервуар вертикальные сварной №3, нефть</v>
      </c>
      <c r="C20" s="282">
        <v>1</v>
      </c>
      <c r="D20" s="3">
        <v>1653</v>
      </c>
      <c r="E20" s="294">
        <f t="shared" si="9"/>
        <v>1653</v>
      </c>
      <c r="F20" s="283" t="s">
        <v>374</v>
      </c>
      <c r="G20" s="283" t="s">
        <v>692</v>
      </c>
      <c r="H20" s="283" t="s">
        <v>692</v>
      </c>
      <c r="I20" s="50">
        <f t="shared" si="3"/>
        <v>1.4137166941154067E-2</v>
      </c>
      <c r="J20" s="51">
        <v>20</v>
      </c>
      <c r="K20" s="49">
        <v>30</v>
      </c>
      <c r="L20" s="204">
        <v>0</v>
      </c>
      <c r="M20" s="285">
        <v>5.1999999999999998E-2</v>
      </c>
      <c r="N20" s="286">
        <v>0.86099999999999999</v>
      </c>
      <c r="O20" s="287">
        <v>25</v>
      </c>
      <c r="P20" s="288">
        <v>0.1</v>
      </c>
      <c r="Q20" s="54">
        <v>0</v>
      </c>
      <c r="R20" t="s">
        <v>98</v>
      </c>
      <c r="Y20" s="7" t="s">
        <v>519</v>
      </c>
      <c r="Z20" t="s">
        <v>98</v>
      </c>
    </row>
    <row r="21" spans="1:26" ht="86.4" x14ac:dyDescent="0.3">
      <c r="A21" s="40" t="s">
        <v>709</v>
      </c>
      <c r="B21" s="281" t="str">
        <f t="shared" si="1"/>
        <v>Резервуар вертикальные сварной №4, нефть</v>
      </c>
      <c r="C21" s="283">
        <v>1</v>
      </c>
      <c r="D21" s="3">
        <v>1653</v>
      </c>
      <c r="E21" s="294">
        <f t="shared" si="9"/>
        <v>1653</v>
      </c>
      <c r="F21" s="291" t="s">
        <v>374</v>
      </c>
      <c r="G21" s="283" t="s">
        <v>692</v>
      </c>
      <c r="H21" s="283" t="s">
        <v>692</v>
      </c>
      <c r="I21" s="50">
        <f t="shared" si="3"/>
        <v>1.4137166941154067E-2</v>
      </c>
      <c r="J21" s="51">
        <v>20</v>
      </c>
      <c r="K21" s="49">
        <v>30</v>
      </c>
      <c r="L21" s="204">
        <v>0</v>
      </c>
      <c r="M21" s="285">
        <v>5.1999999999999998E-2</v>
      </c>
      <c r="N21" s="286">
        <v>0.86099999999999999</v>
      </c>
      <c r="O21" s="287">
        <v>25</v>
      </c>
      <c r="P21" s="288">
        <v>0.1</v>
      </c>
      <c r="Q21" s="54">
        <v>0</v>
      </c>
      <c r="R21" t="s">
        <v>98</v>
      </c>
      <c r="Y21" s="7" t="s">
        <v>520</v>
      </c>
      <c r="Z21" t="s">
        <v>98</v>
      </c>
    </row>
    <row r="22" spans="1:26" ht="28.8" x14ac:dyDescent="0.3">
      <c r="A22" s="40" t="s">
        <v>709</v>
      </c>
      <c r="B22" s="281" t="str">
        <f t="shared" si="1"/>
        <v>Резервуар вертикальные сварной №5, нефть, пластовая вода</v>
      </c>
      <c r="C22" s="289">
        <v>1</v>
      </c>
      <c r="D22" s="3">
        <v>472</v>
      </c>
      <c r="E22" s="294">
        <f t="shared" si="9"/>
        <v>472</v>
      </c>
      <c r="F22" s="291" t="s">
        <v>374</v>
      </c>
      <c r="G22" s="283" t="s">
        <v>692</v>
      </c>
      <c r="H22" s="283" t="s">
        <v>692</v>
      </c>
      <c r="I22" s="50">
        <f t="shared" si="3"/>
        <v>1.4137166941154067E-2</v>
      </c>
      <c r="J22" s="51">
        <v>20</v>
      </c>
      <c r="K22" s="49">
        <v>30</v>
      </c>
      <c r="L22" s="204">
        <v>0</v>
      </c>
      <c r="M22" s="285">
        <v>5.1999999999999998E-2</v>
      </c>
      <c r="N22" s="286">
        <v>0.86099999999999999</v>
      </c>
      <c r="O22" s="287">
        <v>25</v>
      </c>
      <c r="P22" s="288">
        <v>0.1</v>
      </c>
      <c r="Q22" s="54">
        <v>0</v>
      </c>
      <c r="R22" t="s">
        <v>98</v>
      </c>
      <c r="Y22" t="s">
        <v>521</v>
      </c>
      <c r="Z22" t="s">
        <v>673</v>
      </c>
    </row>
    <row r="23" spans="1:26" ht="28.8" x14ac:dyDescent="0.3">
      <c r="A23" s="40" t="s">
        <v>709</v>
      </c>
      <c r="B23" s="281" t="str">
        <f t="shared" si="1"/>
        <v>Резервуар вертикальные сварной №6, нефть, пластовая вода</v>
      </c>
      <c r="C23" s="289">
        <v>1</v>
      </c>
      <c r="D23" s="3">
        <v>472</v>
      </c>
      <c r="E23" s="294">
        <f t="shared" si="9"/>
        <v>472</v>
      </c>
      <c r="F23" s="291" t="s">
        <v>374</v>
      </c>
      <c r="G23" s="283" t="s">
        <v>692</v>
      </c>
      <c r="H23" s="283" t="s">
        <v>692</v>
      </c>
      <c r="I23" s="50">
        <f t="shared" si="3"/>
        <v>1.4137166941154067E-2</v>
      </c>
      <c r="J23" s="51">
        <v>20</v>
      </c>
      <c r="K23" s="49">
        <v>30</v>
      </c>
      <c r="L23" s="204">
        <v>0</v>
      </c>
      <c r="M23" s="285">
        <v>5.1999999999999998E-2</v>
      </c>
      <c r="N23" s="286">
        <v>0.86099999999999999</v>
      </c>
      <c r="O23" s="287">
        <v>25</v>
      </c>
      <c r="P23" s="288">
        <v>0.1</v>
      </c>
      <c r="Q23" s="54">
        <v>0</v>
      </c>
      <c r="R23" t="s">
        <v>98</v>
      </c>
      <c r="Y23" t="s">
        <v>522</v>
      </c>
      <c r="Z23" t="s">
        <v>673</v>
      </c>
    </row>
    <row r="24" spans="1:26" ht="28.8" x14ac:dyDescent="0.3">
      <c r="A24" s="40" t="s">
        <v>709</v>
      </c>
      <c r="B24" s="281" t="str">
        <f t="shared" si="1"/>
        <v>Резервуар вертикальные сварной №9, пластовая вода</v>
      </c>
      <c r="C24" s="289">
        <v>1</v>
      </c>
      <c r="D24">
        <v>0.1</v>
      </c>
      <c r="E24" s="294">
        <f t="shared" si="9"/>
        <v>0.1</v>
      </c>
      <c r="F24" s="291" t="s">
        <v>374</v>
      </c>
      <c r="G24" s="283" t="s">
        <v>692</v>
      </c>
      <c r="H24" s="283" t="s">
        <v>692</v>
      </c>
      <c r="I24" s="50">
        <f t="shared" si="3"/>
        <v>1.4137166941154067E-2</v>
      </c>
      <c r="J24" s="51">
        <v>20</v>
      </c>
      <c r="K24" s="49">
        <v>30</v>
      </c>
      <c r="L24" s="204">
        <v>0</v>
      </c>
      <c r="M24" s="285">
        <v>5.1999999999999998E-2</v>
      </c>
      <c r="N24" s="286">
        <v>0.86099999999999999</v>
      </c>
      <c r="O24" s="287">
        <v>25</v>
      </c>
      <c r="P24" s="288">
        <v>0.1</v>
      </c>
      <c r="Q24" s="54">
        <v>0</v>
      </c>
      <c r="R24" t="s">
        <v>98</v>
      </c>
      <c r="Y24" t="s">
        <v>523</v>
      </c>
      <c r="Z24" t="s">
        <v>674</v>
      </c>
    </row>
    <row r="25" spans="1:26" ht="28.8" x14ac:dyDescent="0.3">
      <c r="A25" s="40" t="s">
        <v>709</v>
      </c>
      <c r="B25" s="281" t="str">
        <f t="shared" si="1"/>
        <v>Резервуар вертикальные сварной №12, пластовая вода</v>
      </c>
      <c r="C25" s="289">
        <v>1</v>
      </c>
      <c r="D25">
        <v>0.1</v>
      </c>
      <c r="E25" s="294">
        <f t="shared" si="9"/>
        <v>0.1</v>
      </c>
      <c r="F25" s="291" t="s">
        <v>374</v>
      </c>
      <c r="G25" s="283" t="s">
        <v>692</v>
      </c>
      <c r="H25" s="283" t="s">
        <v>692</v>
      </c>
      <c r="I25" s="50">
        <f t="shared" si="3"/>
        <v>1.4137166941154067E-2</v>
      </c>
      <c r="J25" s="51">
        <v>20</v>
      </c>
      <c r="K25" s="49">
        <v>30</v>
      </c>
      <c r="L25" s="204">
        <v>0</v>
      </c>
      <c r="M25" s="285">
        <v>5.1999999999999998E-2</v>
      </c>
      <c r="N25" s="286">
        <v>0.86099999999999999</v>
      </c>
      <c r="O25" s="287">
        <v>25</v>
      </c>
      <c r="P25" s="288">
        <v>0.1</v>
      </c>
      <c r="Q25" s="54">
        <v>0</v>
      </c>
      <c r="R25" t="s">
        <v>98</v>
      </c>
      <c r="Y25" t="s">
        <v>524</v>
      </c>
      <c r="Z25" t="s">
        <v>674</v>
      </c>
    </row>
    <row r="26" spans="1:26" ht="28.8" x14ac:dyDescent="0.3">
      <c r="A26" s="40" t="s">
        <v>709</v>
      </c>
      <c r="B26" s="281" t="str">
        <f t="shared" si="1"/>
        <v>Печь прямого нагрева ППН-3 №1, нефть, попутный нефтяной газ</v>
      </c>
      <c r="C26" s="289">
        <v>1</v>
      </c>
      <c r="D26">
        <v>1.98</v>
      </c>
      <c r="E26" s="294">
        <f t="shared" si="9"/>
        <v>1.98</v>
      </c>
      <c r="F26" s="283" t="s">
        <v>459</v>
      </c>
      <c r="G26" s="278">
        <v>0.8</v>
      </c>
      <c r="H26" s="278" t="s">
        <v>698</v>
      </c>
      <c r="I26" s="50">
        <f t="shared" si="3"/>
        <v>1.4137166941154067E-2</v>
      </c>
      <c r="J26" s="51">
        <v>20</v>
      </c>
      <c r="K26" s="49">
        <v>30</v>
      </c>
      <c r="L26" s="204">
        <v>0</v>
      </c>
      <c r="M26" s="285">
        <v>5.1999999999999998E-2</v>
      </c>
      <c r="N26" s="286">
        <v>0.86099999999999999</v>
      </c>
      <c r="O26" s="287">
        <v>25</v>
      </c>
      <c r="P26" s="288">
        <v>0.1</v>
      </c>
      <c r="Q26" s="54">
        <v>0</v>
      </c>
      <c r="R26" t="s">
        <v>98</v>
      </c>
      <c r="Y26" t="s">
        <v>525</v>
      </c>
      <c r="Z26" t="s">
        <v>672</v>
      </c>
    </row>
    <row r="27" spans="1:26" ht="28.8" x14ac:dyDescent="0.3">
      <c r="A27" s="40" t="s">
        <v>709</v>
      </c>
      <c r="B27" s="281" t="str">
        <f t="shared" si="1"/>
        <v>Печь прямого нагрева ППН-3 №2, нефть, попутный нефтяной газ</v>
      </c>
      <c r="C27" s="289">
        <v>1</v>
      </c>
      <c r="D27">
        <v>1.98</v>
      </c>
      <c r="E27" s="294">
        <f t="shared" si="9"/>
        <v>1.98</v>
      </c>
      <c r="F27" s="283" t="s">
        <v>459</v>
      </c>
      <c r="G27" s="278">
        <v>0.8</v>
      </c>
      <c r="H27" s="278" t="s">
        <v>698</v>
      </c>
      <c r="I27" s="50">
        <f t="shared" si="3"/>
        <v>1.4137166941154067E-2</v>
      </c>
      <c r="J27" s="51">
        <v>20</v>
      </c>
      <c r="K27" s="49">
        <v>30</v>
      </c>
      <c r="L27" s="204">
        <v>0</v>
      </c>
      <c r="M27" s="285">
        <v>5.1999999999999998E-2</v>
      </c>
      <c r="N27" s="286">
        <v>0.86099999999999999</v>
      </c>
      <c r="O27" s="287">
        <v>25</v>
      </c>
      <c r="P27" s="288">
        <v>0.1</v>
      </c>
      <c r="Q27" s="54">
        <v>0</v>
      </c>
      <c r="R27" t="s">
        <v>98</v>
      </c>
      <c r="Y27" t="s">
        <v>526</v>
      </c>
      <c r="Z27" t="s">
        <v>672</v>
      </c>
    </row>
    <row r="28" spans="1:26" ht="28.8" x14ac:dyDescent="0.3">
      <c r="A28" s="40" t="s">
        <v>709</v>
      </c>
      <c r="B28" s="281" t="str">
        <f t="shared" si="1"/>
        <v>подогреватель воды №1, попутный нефтяной газ</v>
      </c>
      <c r="C28" s="282">
        <v>1</v>
      </c>
      <c r="D28">
        <v>1E-4</v>
      </c>
      <c r="E28" s="294">
        <f t="shared" si="9"/>
        <v>1E-4</v>
      </c>
      <c r="F28" s="283" t="s">
        <v>459</v>
      </c>
      <c r="G28" s="283" t="s">
        <v>692</v>
      </c>
      <c r="H28" s="278" t="s">
        <v>699</v>
      </c>
      <c r="I28" s="50">
        <f t="shared" si="3"/>
        <v>1.4137166941154067E-2</v>
      </c>
      <c r="J28" s="51">
        <v>20</v>
      </c>
      <c r="K28" s="49">
        <v>30</v>
      </c>
      <c r="L28" s="204">
        <v>0</v>
      </c>
      <c r="M28" s="285">
        <v>5.1999999999999998E-2</v>
      </c>
      <c r="N28" s="286">
        <v>0.86099999999999999</v>
      </c>
      <c r="O28" s="287">
        <v>25</v>
      </c>
      <c r="P28" s="288">
        <v>0.1</v>
      </c>
      <c r="Q28" s="54">
        <v>0</v>
      </c>
      <c r="R28" t="s">
        <v>670</v>
      </c>
      <c r="Y28" t="s">
        <v>527</v>
      </c>
      <c r="Z28" t="s">
        <v>670</v>
      </c>
    </row>
    <row r="29" spans="1:26" ht="28.8" x14ac:dyDescent="0.3">
      <c r="A29" s="40" t="s">
        <v>709</v>
      </c>
      <c r="B29" s="281" t="str">
        <f t="shared" si="1"/>
        <v>подогреватель воды №2, попутный нефтяной газ</v>
      </c>
      <c r="C29" s="282">
        <v>1</v>
      </c>
      <c r="D29">
        <v>1E-4</v>
      </c>
      <c r="E29" s="294">
        <f t="shared" si="9"/>
        <v>1E-4</v>
      </c>
      <c r="F29" s="283" t="s">
        <v>459</v>
      </c>
      <c r="G29" s="283" t="s">
        <v>692</v>
      </c>
      <c r="H29" s="278" t="s">
        <v>699</v>
      </c>
      <c r="I29" s="50">
        <f t="shared" si="3"/>
        <v>1.4137166941154067E-2</v>
      </c>
      <c r="J29" s="51">
        <v>20</v>
      </c>
      <c r="K29" s="49">
        <v>30</v>
      </c>
      <c r="L29" s="204">
        <v>0</v>
      </c>
      <c r="M29" s="285">
        <v>5.1999999999999998E-2</v>
      </c>
      <c r="N29" s="286">
        <v>0.86099999999999999</v>
      </c>
      <c r="O29" s="287">
        <v>25</v>
      </c>
      <c r="P29" s="288">
        <v>0.1</v>
      </c>
      <c r="Q29" s="54">
        <v>0</v>
      </c>
      <c r="R29" t="s">
        <v>670</v>
      </c>
      <c r="Y29" t="s">
        <v>528</v>
      </c>
      <c r="Z29" t="s">
        <v>670</v>
      </c>
    </row>
    <row r="30" spans="1:26" ht="28.8" x14ac:dyDescent="0.3">
      <c r="A30" s="40" t="s">
        <v>709</v>
      </c>
      <c r="B30" s="281" t="str">
        <f t="shared" si="1"/>
        <v>подогреватель воды №3, попутный нефтяной газ</v>
      </c>
      <c r="C30" s="282">
        <v>1</v>
      </c>
      <c r="D30">
        <v>1E-4</v>
      </c>
      <c r="E30" s="294">
        <f t="shared" si="9"/>
        <v>1E-4</v>
      </c>
      <c r="F30" s="283" t="s">
        <v>459</v>
      </c>
      <c r="G30" s="278"/>
      <c r="H30" s="278" t="s">
        <v>699</v>
      </c>
      <c r="I30" s="50">
        <f t="shared" si="3"/>
        <v>1.4137166941154067E-2</v>
      </c>
      <c r="J30" s="51">
        <v>20</v>
      </c>
      <c r="K30" s="49">
        <v>30</v>
      </c>
      <c r="L30" s="204">
        <v>0</v>
      </c>
      <c r="M30" s="285">
        <v>5.1999999999999998E-2</v>
      </c>
      <c r="N30" s="286">
        <v>0.86099999999999999</v>
      </c>
      <c r="O30" s="287">
        <v>25</v>
      </c>
      <c r="P30" s="288">
        <v>0.1</v>
      </c>
      <c r="Q30" s="54">
        <v>0</v>
      </c>
      <c r="R30" t="s">
        <v>670</v>
      </c>
      <c r="Y30" t="s">
        <v>529</v>
      </c>
      <c r="Z30" t="s">
        <v>670</v>
      </c>
    </row>
    <row r="31" spans="1:26" x14ac:dyDescent="0.3">
      <c r="A31" s="40" t="s">
        <v>709</v>
      </c>
      <c r="B31" s="281" t="str">
        <f t="shared" si="1"/>
        <v>Теплообменник Т-1, нефть</v>
      </c>
      <c r="C31" s="282">
        <v>1</v>
      </c>
      <c r="D31" s="3">
        <v>20</v>
      </c>
      <c r="E31" s="294">
        <f t="shared" si="9"/>
        <v>20</v>
      </c>
      <c r="F31" s="291" t="s">
        <v>374</v>
      </c>
      <c r="G31" s="278">
        <v>1</v>
      </c>
      <c r="H31" s="278" t="s">
        <v>700</v>
      </c>
      <c r="I31" s="50">
        <f t="shared" si="3"/>
        <v>1.4137166941154067E-2</v>
      </c>
      <c r="J31" s="51">
        <v>20</v>
      </c>
      <c r="K31" s="49">
        <v>30</v>
      </c>
      <c r="L31" s="204">
        <v>0</v>
      </c>
      <c r="M31" s="285">
        <v>5.1999999999999998E-2</v>
      </c>
      <c r="N31" s="286">
        <v>0.86099999999999999</v>
      </c>
      <c r="O31" s="287">
        <v>25</v>
      </c>
      <c r="P31" s="288">
        <v>0.1</v>
      </c>
      <c r="Q31" s="54">
        <v>0</v>
      </c>
      <c r="R31" t="s">
        <v>98</v>
      </c>
      <c r="Y31" t="s">
        <v>530</v>
      </c>
      <c r="Z31" t="s">
        <v>98</v>
      </c>
    </row>
    <row r="32" spans="1:26" x14ac:dyDescent="0.3">
      <c r="A32" s="40" t="s">
        <v>709</v>
      </c>
      <c r="B32" s="281" t="str">
        <f t="shared" si="1"/>
        <v>Насос НБ-32, сточная вода</v>
      </c>
      <c r="C32" s="282">
        <v>1</v>
      </c>
      <c r="D32">
        <v>0.02</v>
      </c>
      <c r="E32" s="294">
        <f t="shared" si="9"/>
        <v>0.02</v>
      </c>
      <c r="F32" s="291" t="s">
        <v>374</v>
      </c>
      <c r="G32" s="278">
        <v>0.6</v>
      </c>
      <c r="H32" s="283" t="s">
        <v>699</v>
      </c>
      <c r="I32" s="50">
        <f t="shared" si="3"/>
        <v>1.4137166941154067E-2</v>
      </c>
      <c r="J32" s="51">
        <v>20</v>
      </c>
      <c r="K32" s="49">
        <v>30</v>
      </c>
      <c r="L32" s="204">
        <v>0</v>
      </c>
      <c r="M32" s="285">
        <v>5.1999999999999998E-2</v>
      </c>
      <c r="N32" s="286">
        <v>0.86099999999999999</v>
      </c>
      <c r="O32" s="287">
        <v>25</v>
      </c>
      <c r="P32" s="288">
        <v>0.1</v>
      </c>
      <c r="Q32" s="54">
        <v>0</v>
      </c>
      <c r="R32" t="s">
        <v>98</v>
      </c>
      <c r="Y32" t="s">
        <v>531</v>
      </c>
      <c r="Z32" t="s">
        <v>675</v>
      </c>
    </row>
    <row r="33" spans="1:26" ht="28.8" x14ac:dyDescent="0.3">
      <c r="A33" s="40" t="s">
        <v>709</v>
      </c>
      <c r="B33" s="281" t="str">
        <f t="shared" si="1"/>
        <v>Насос центробежный ЦНС 60х264, пластовая вода</v>
      </c>
      <c r="C33" s="282">
        <v>1</v>
      </c>
      <c r="D33">
        <v>0.02</v>
      </c>
      <c r="E33" s="294">
        <f t="shared" si="9"/>
        <v>0.02</v>
      </c>
      <c r="F33" s="291" t="s">
        <v>374</v>
      </c>
      <c r="G33" s="278">
        <v>2.64</v>
      </c>
      <c r="H33" s="283" t="s">
        <v>699</v>
      </c>
      <c r="I33" s="50">
        <f t="shared" si="3"/>
        <v>1.4137166941154067E-2</v>
      </c>
      <c r="J33" s="51">
        <v>20</v>
      </c>
      <c r="K33" s="49">
        <v>30</v>
      </c>
      <c r="L33" s="204">
        <v>0</v>
      </c>
      <c r="M33" s="285">
        <v>5.1999999999999998E-2</v>
      </c>
      <c r="N33" s="286">
        <v>0.86099999999999999</v>
      </c>
      <c r="O33" s="287">
        <v>25</v>
      </c>
      <c r="P33" s="288">
        <v>0.1</v>
      </c>
      <c r="Q33" s="54">
        <v>0</v>
      </c>
      <c r="R33" t="s">
        <v>98</v>
      </c>
      <c r="Y33" t="s">
        <v>532</v>
      </c>
      <c r="Z33" t="s">
        <v>674</v>
      </c>
    </row>
    <row r="34" spans="1:26" ht="28.8" x14ac:dyDescent="0.3">
      <c r="A34" s="40" t="s">
        <v>709</v>
      </c>
      <c r="B34" s="281" t="str">
        <f t="shared" si="1"/>
        <v>Насос центробежный ЦНС 60х264, пластовая вода</v>
      </c>
      <c r="C34" s="283">
        <v>1</v>
      </c>
      <c r="D34">
        <v>0.02</v>
      </c>
      <c r="E34" s="294">
        <f t="shared" si="9"/>
        <v>0.02</v>
      </c>
      <c r="F34" s="291" t="s">
        <v>374</v>
      </c>
      <c r="G34" s="278">
        <v>2.64</v>
      </c>
      <c r="H34" s="283" t="s">
        <v>699</v>
      </c>
      <c r="I34" s="50">
        <f t="shared" si="3"/>
        <v>1.4137166941154067E-2</v>
      </c>
      <c r="J34" s="51">
        <v>20</v>
      </c>
      <c r="K34" s="49">
        <v>30</v>
      </c>
      <c r="L34" s="204">
        <v>0</v>
      </c>
      <c r="M34" s="285">
        <v>5.1999999999999998E-2</v>
      </c>
      <c r="N34" s="286">
        <v>0.86099999999999999</v>
      </c>
      <c r="O34" s="287">
        <v>25</v>
      </c>
      <c r="P34" s="288">
        <v>0.1</v>
      </c>
      <c r="Q34" s="54">
        <v>0</v>
      </c>
      <c r="R34" t="s">
        <v>98</v>
      </c>
      <c r="Y34" t="s">
        <v>532</v>
      </c>
      <c r="Z34" t="s">
        <v>674</v>
      </c>
    </row>
    <row r="35" spans="1:26" ht="28.8" x14ac:dyDescent="0.3">
      <c r="A35" s="40" t="s">
        <v>709</v>
      </c>
      <c r="B35" s="281" t="str">
        <f t="shared" si="1"/>
        <v>Насос центробежный ЦНС 60х264, пластовая вода</v>
      </c>
      <c r="C35" s="289">
        <v>1</v>
      </c>
      <c r="D35">
        <v>0.02</v>
      </c>
      <c r="E35" s="294">
        <f t="shared" si="9"/>
        <v>0.02</v>
      </c>
      <c r="F35" s="291" t="s">
        <v>374</v>
      </c>
      <c r="G35" s="278">
        <v>2.64</v>
      </c>
      <c r="H35" s="283" t="s">
        <v>699</v>
      </c>
      <c r="I35" s="50">
        <f t="shared" si="3"/>
        <v>1.4137166941154067E-2</v>
      </c>
      <c r="J35" s="51">
        <v>20</v>
      </c>
      <c r="K35" s="49">
        <v>30</v>
      </c>
      <c r="L35" s="204">
        <v>0</v>
      </c>
      <c r="M35" s="285">
        <v>5.1999999999999998E-2</v>
      </c>
      <c r="N35" s="286">
        <v>0.86099999999999999</v>
      </c>
      <c r="O35" s="287">
        <v>25</v>
      </c>
      <c r="P35" s="288">
        <v>0.1</v>
      </c>
      <c r="Q35" s="54">
        <v>0</v>
      </c>
      <c r="R35" t="s">
        <v>98</v>
      </c>
      <c r="Y35" t="s">
        <v>532</v>
      </c>
      <c r="Z35" t="s">
        <v>674</v>
      </c>
    </row>
    <row r="36" spans="1:26" ht="28.8" x14ac:dyDescent="0.3">
      <c r="A36" s="40" t="s">
        <v>709</v>
      </c>
      <c r="B36" s="281" t="str">
        <f t="shared" si="1"/>
        <v>Насос центробежный ЦНС 60х100, нефть</v>
      </c>
      <c r="C36" s="289">
        <v>1</v>
      </c>
      <c r="D36">
        <v>0.02</v>
      </c>
      <c r="E36" s="294">
        <f t="shared" si="9"/>
        <v>0.02</v>
      </c>
      <c r="F36" s="291" t="s">
        <v>374</v>
      </c>
      <c r="G36" s="278">
        <v>1</v>
      </c>
      <c r="H36" s="283" t="s">
        <v>699</v>
      </c>
      <c r="I36" s="50">
        <f t="shared" si="3"/>
        <v>1.4137166941154067E-2</v>
      </c>
      <c r="J36" s="51">
        <v>20</v>
      </c>
      <c r="K36" s="49">
        <v>30</v>
      </c>
      <c r="L36" s="204">
        <v>0</v>
      </c>
      <c r="M36" s="285">
        <v>5.1999999999999998E-2</v>
      </c>
      <c r="N36" s="286">
        <v>0.86099999999999999</v>
      </c>
      <c r="O36" s="287">
        <v>25</v>
      </c>
      <c r="P36" s="288">
        <v>0.1</v>
      </c>
      <c r="Q36" s="54">
        <v>0</v>
      </c>
      <c r="R36" t="s">
        <v>98</v>
      </c>
      <c r="Y36" t="s">
        <v>533</v>
      </c>
      <c r="Z36" t="s">
        <v>98</v>
      </c>
    </row>
    <row r="37" spans="1:26" ht="28.8" x14ac:dyDescent="0.3">
      <c r="A37" s="40" t="s">
        <v>709</v>
      </c>
      <c r="B37" s="281" t="str">
        <f t="shared" si="1"/>
        <v>Насос центробежный ЦНС 60х100, нефть</v>
      </c>
      <c r="C37" s="289">
        <v>1</v>
      </c>
      <c r="D37">
        <v>0.02</v>
      </c>
      <c r="E37" s="294">
        <f t="shared" si="9"/>
        <v>0.02</v>
      </c>
      <c r="F37" s="291" t="s">
        <v>374</v>
      </c>
      <c r="G37" s="278">
        <v>1</v>
      </c>
      <c r="H37" s="283" t="s">
        <v>699</v>
      </c>
      <c r="I37" s="50">
        <f t="shared" si="3"/>
        <v>1.4137166941154067E-2</v>
      </c>
      <c r="J37" s="51">
        <v>20</v>
      </c>
      <c r="K37" s="49">
        <v>30</v>
      </c>
      <c r="L37" s="204">
        <v>0</v>
      </c>
      <c r="M37" s="285">
        <v>5.1999999999999998E-2</v>
      </c>
      <c r="N37" s="286">
        <v>0.86099999999999999</v>
      </c>
      <c r="O37" s="287">
        <v>25</v>
      </c>
      <c r="P37" s="288">
        <v>0.1</v>
      </c>
      <c r="Q37" s="54">
        <v>0</v>
      </c>
      <c r="R37" t="s">
        <v>98</v>
      </c>
      <c r="Y37" t="s">
        <v>533</v>
      </c>
      <c r="Z37" t="s">
        <v>98</v>
      </c>
    </row>
    <row r="38" spans="1:26" ht="28.8" x14ac:dyDescent="0.3">
      <c r="A38" s="40" t="s">
        <v>709</v>
      </c>
      <c r="B38" s="281" t="str">
        <f t="shared" si="1"/>
        <v>Насос центробежный ЦНС 60х100, нефть</v>
      </c>
      <c r="C38" s="289">
        <v>1</v>
      </c>
      <c r="D38">
        <v>0.02</v>
      </c>
      <c r="E38" s="294">
        <f t="shared" si="9"/>
        <v>0.02</v>
      </c>
      <c r="F38" s="291" t="s">
        <v>374</v>
      </c>
      <c r="G38" s="278">
        <v>1</v>
      </c>
      <c r="H38" s="283" t="s">
        <v>699</v>
      </c>
      <c r="I38" s="50">
        <f t="shared" si="3"/>
        <v>1.4137166941154067E-2</v>
      </c>
      <c r="J38" s="51">
        <v>20</v>
      </c>
      <c r="K38" s="49">
        <v>30</v>
      </c>
      <c r="L38" s="204">
        <v>0</v>
      </c>
      <c r="M38" s="285">
        <v>5.1999999999999998E-2</v>
      </c>
      <c r="N38" s="286">
        <v>0.86099999999999999</v>
      </c>
      <c r="O38" s="287">
        <v>25</v>
      </c>
      <c r="P38" s="288">
        <v>0.1</v>
      </c>
      <c r="Q38" s="54">
        <v>0</v>
      </c>
      <c r="R38" t="s">
        <v>98</v>
      </c>
      <c r="Y38" t="s">
        <v>533</v>
      </c>
      <c r="Z38" t="s">
        <v>98</v>
      </c>
    </row>
    <row r="39" spans="1:26" ht="28.8" x14ac:dyDescent="0.3">
      <c r="A39" s="40" t="s">
        <v>709</v>
      </c>
      <c r="B39" s="281" t="str">
        <f t="shared" si="1"/>
        <v>Насос центробежный ЦНС 60х50, нефть</v>
      </c>
      <c r="C39" s="289">
        <v>1</v>
      </c>
      <c r="D39">
        <v>0.02</v>
      </c>
      <c r="E39" s="294">
        <f t="shared" si="9"/>
        <v>0.02</v>
      </c>
      <c r="F39" s="291" t="s">
        <v>374</v>
      </c>
      <c r="G39" s="278">
        <v>0.5</v>
      </c>
      <c r="H39" s="283" t="s">
        <v>699</v>
      </c>
      <c r="I39" s="50">
        <f t="shared" si="3"/>
        <v>1.4137166941154067E-2</v>
      </c>
      <c r="J39" s="51">
        <v>20</v>
      </c>
      <c r="K39" s="49">
        <v>30</v>
      </c>
      <c r="L39" s="204">
        <v>0</v>
      </c>
      <c r="M39" s="285">
        <v>5.1999999999999998E-2</v>
      </c>
      <c r="N39" s="286">
        <v>0.86099999999999999</v>
      </c>
      <c r="O39" s="287">
        <v>25</v>
      </c>
      <c r="P39" s="288">
        <v>0.1</v>
      </c>
      <c r="Q39" s="54">
        <v>0</v>
      </c>
      <c r="R39" t="s">
        <v>98</v>
      </c>
      <c r="Y39" t="s">
        <v>534</v>
      </c>
      <c r="Z39" t="s">
        <v>98</v>
      </c>
    </row>
    <row r="40" spans="1:26" ht="28.8" x14ac:dyDescent="0.3">
      <c r="A40" s="40" t="s">
        <v>709</v>
      </c>
      <c r="B40" s="281" t="str">
        <f t="shared" si="1"/>
        <v>Насос центробежный ЦНС 60х50, нефть</v>
      </c>
      <c r="C40" s="289">
        <v>1</v>
      </c>
      <c r="D40">
        <v>0.02</v>
      </c>
      <c r="E40" s="294">
        <f t="shared" si="9"/>
        <v>0.02</v>
      </c>
      <c r="F40" s="291" t="s">
        <v>374</v>
      </c>
      <c r="G40" s="278">
        <v>0.5</v>
      </c>
      <c r="H40" s="283" t="s">
        <v>699</v>
      </c>
      <c r="I40" s="50">
        <f t="shared" si="3"/>
        <v>1.4137166941154067E-2</v>
      </c>
      <c r="J40" s="51">
        <v>20</v>
      </c>
      <c r="K40" s="49">
        <v>30</v>
      </c>
      <c r="L40" s="204">
        <v>0</v>
      </c>
      <c r="M40" s="285">
        <v>5.1999999999999998E-2</v>
      </c>
      <c r="N40" s="286">
        <v>0.86099999999999999</v>
      </c>
      <c r="O40" s="287">
        <v>25</v>
      </c>
      <c r="P40" s="288">
        <v>0.1</v>
      </c>
      <c r="Q40" s="54">
        <v>0</v>
      </c>
      <c r="R40" t="s">
        <v>98</v>
      </c>
      <c r="Y40" t="s">
        <v>534</v>
      </c>
      <c r="Z40" t="s">
        <v>98</v>
      </c>
    </row>
    <row r="41" spans="1:26" x14ac:dyDescent="0.3">
      <c r="A41" s="40" t="s">
        <v>709</v>
      </c>
      <c r="B41" s="281" t="str">
        <f t="shared" si="1"/>
        <v>Насос НВЕ 50х50, нефть</v>
      </c>
      <c r="C41" s="282">
        <v>1</v>
      </c>
      <c r="D41">
        <v>0.02</v>
      </c>
      <c r="E41" s="294">
        <f t="shared" si="9"/>
        <v>0.02</v>
      </c>
      <c r="F41" s="291" t="s">
        <v>374</v>
      </c>
      <c r="G41" s="278">
        <v>0.5</v>
      </c>
      <c r="H41" s="283" t="s">
        <v>699</v>
      </c>
      <c r="I41" s="50">
        <f t="shared" si="3"/>
        <v>1.4137166941154067E-2</v>
      </c>
      <c r="J41" s="51">
        <v>20</v>
      </c>
      <c r="K41" s="49">
        <v>30</v>
      </c>
      <c r="L41" s="204">
        <v>0</v>
      </c>
      <c r="M41" s="285">
        <v>5.1999999999999998E-2</v>
      </c>
      <c r="N41" s="286">
        <v>0.86099999999999999</v>
      </c>
      <c r="O41" s="287">
        <v>25</v>
      </c>
      <c r="P41" s="288">
        <v>0.1</v>
      </c>
      <c r="Q41" s="54">
        <v>0</v>
      </c>
      <c r="R41" t="s">
        <v>98</v>
      </c>
      <c r="Y41" t="s">
        <v>535</v>
      </c>
      <c r="Z41" t="s">
        <v>98</v>
      </c>
    </row>
    <row r="42" spans="1:26" x14ac:dyDescent="0.3">
      <c r="A42" s="40" t="s">
        <v>709</v>
      </c>
      <c r="B42" s="281" t="str">
        <f t="shared" si="1"/>
        <v>Насос НВЕ 50х50, нефть</v>
      </c>
      <c r="C42" s="282">
        <v>1</v>
      </c>
      <c r="D42">
        <v>0.02</v>
      </c>
      <c r="E42" s="294">
        <f t="shared" si="9"/>
        <v>0.02</v>
      </c>
      <c r="F42" s="291" t="s">
        <v>374</v>
      </c>
      <c r="G42" s="278">
        <v>0.5</v>
      </c>
      <c r="H42" s="283" t="s">
        <v>699</v>
      </c>
      <c r="I42" s="50">
        <f t="shared" si="3"/>
        <v>1.4137166941154067E-2</v>
      </c>
      <c r="J42" s="51">
        <v>20</v>
      </c>
      <c r="K42" s="49">
        <v>30</v>
      </c>
      <c r="L42" s="204">
        <v>0</v>
      </c>
      <c r="M42" s="285">
        <v>5.1999999999999998E-2</v>
      </c>
      <c r="N42" s="286">
        <v>0.86099999999999999</v>
      </c>
      <c r="O42" s="287">
        <v>25</v>
      </c>
      <c r="P42" s="288">
        <v>0.1</v>
      </c>
      <c r="Q42" s="54">
        <v>0</v>
      </c>
      <c r="R42" t="s">
        <v>98</v>
      </c>
      <c r="Y42" t="s">
        <v>535</v>
      </c>
      <c r="Z42" t="s">
        <v>98</v>
      </c>
    </row>
    <row r="43" spans="1:26" x14ac:dyDescent="0.3">
      <c r="A43" s="40" t="s">
        <v>709</v>
      </c>
      <c r="B43" s="281" t="str">
        <f t="shared" si="1"/>
        <v>Насос НВЕ 50х50, нефть</v>
      </c>
      <c r="C43" s="282">
        <v>1</v>
      </c>
      <c r="D43">
        <v>0.02</v>
      </c>
      <c r="E43" s="294">
        <f t="shared" si="9"/>
        <v>0.02</v>
      </c>
      <c r="F43" s="291" t="s">
        <v>374</v>
      </c>
      <c r="G43" s="278">
        <v>0.5</v>
      </c>
      <c r="H43" s="283" t="s">
        <v>699</v>
      </c>
      <c r="I43" s="50">
        <f t="shared" si="3"/>
        <v>1.4137166941154067E-2</v>
      </c>
      <c r="J43" s="51">
        <v>20</v>
      </c>
      <c r="K43" s="49">
        <v>30</v>
      </c>
      <c r="L43" s="204">
        <v>0</v>
      </c>
      <c r="M43" s="285">
        <v>5.1999999999999998E-2</v>
      </c>
      <c r="N43" s="286">
        <v>0.86099999999999999</v>
      </c>
      <c r="O43" s="287">
        <v>25</v>
      </c>
      <c r="P43" s="288">
        <v>0.1</v>
      </c>
      <c r="Q43" s="54">
        <v>0</v>
      </c>
      <c r="R43" t="s">
        <v>98</v>
      </c>
      <c r="Y43" t="s">
        <v>535</v>
      </c>
      <c r="Z43" t="s">
        <v>98</v>
      </c>
    </row>
    <row r="44" spans="1:26" x14ac:dyDescent="0.3">
      <c r="A44" s="40" t="s">
        <v>709</v>
      </c>
      <c r="B44" s="281" t="str">
        <f t="shared" si="1"/>
        <v>Насос НВЕ 50х50, нефть</v>
      </c>
      <c r="C44" s="282">
        <v>1</v>
      </c>
      <c r="D44">
        <v>0.02</v>
      </c>
      <c r="E44" s="294">
        <f t="shared" si="9"/>
        <v>0.02</v>
      </c>
      <c r="F44" s="291" t="s">
        <v>374</v>
      </c>
      <c r="G44" s="278">
        <v>0.5</v>
      </c>
      <c r="H44" s="283" t="s">
        <v>699</v>
      </c>
      <c r="I44" s="50">
        <f t="shared" si="3"/>
        <v>1.4137166941154067E-2</v>
      </c>
      <c r="J44" s="51">
        <v>20</v>
      </c>
      <c r="K44" s="49">
        <v>30</v>
      </c>
      <c r="L44" s="204">
        <v>0</v>
      </c>
      <c r="M44" s="285">
        <v>5.1999999999999998E-2</v>
      </c>
      <c r="N44" s="286">
        <v>0.86099999999999999</v>
      </c>
      <c r="O44" s="287">
        <v>25</v>
      </c>
      <c r="P44" s="288">
        <v>0.1</v>
      </c>
      <c r="Q44" s="54">
        <v>0</v>
      </c>
      <c r="R44" t="s">
        <v>98</v>
      </c>
      <c r="Y44" t="s">
        <v>535</v>
      </c>
      <c r="Z44" t="s">
        <v>98</v>
      </c>
    </row>
    <row r="45" spans="1:26" x14ac:dyDescent="0.3">
      <c r="A45" s="40" t="s">
        <v>709</v>
      </c>
      <c r="B45" s="281" t="str">
        <f t="shared" si="1"/>
        <v>Насос 12НА 9х4, нефть</v>
      </c>
      <c r="C45" s="282">
        <v>1</v>
      </c>
      <c r="D45">
        <v>0.02</v>
      </c>
      <c r="E45" s="294">
        <f t="shared" si="9"/>
        <v>0.02</v>
      </c>
      <c r="F45" s="291" t="s">
        <v>374</v>
      </c>
      <c r="G45" s="278">
        <v>0.43</v>
      </c>
      <c r="H45" s="283" t="s">
        <v>699</v>
      </c>
      <c r="I45" s="50">
        <f t="shared" si="3"/>
        <v>1.4137166941154067E-2</v>
      </c>
      <c r="J45" s="51">
        <v>20</v>
      </c>
      <c r="K45" s="49">
        <v>30</v>
      </c>
      <c r="L45" s="204">
        <v>0</v>
      </c>
      <c r="M45" s="285">
        <v>5.1999999999999998E-2</v>
      </c>
      <c r="N45" s="286">
        <v>0.86099999999999999</v>
      </c>
      <c r="O45" s="287">
        <v>25</v>
      </c>
      <c r="P45" s="288">
        <v>0.1</v>
      </c>
      <c r="Q45" s="54">
        <v>0</v>
      </c>
      <c r="R45" t="s">
        <v>98</v>
      </c>
      <c r="Y45" t="s">
        <v>536</v>
      </c>
      <c r="Z45" t="s">
        <v>98</v>
      </c>
    </row>
    <row r="46" spans="1:26" x14ac:dyDescent="0.3">
      <c r="A46" s="40" t="s">
        <v>709</v>
      </c>
      <c r="B46" s="281" t="str">
        <f t="shared" si="1"/>
        <v>Насос 12НА 9х4, нефть</v>
      </c>
      <c r="C46" s="282">
        <v>1</v>
      </c>
      <c r="D46">
        <v>0.02</v>
      </c>
      <c r="E46" s="294">
        <f t="shared" si="9"/>
        <v>0.02</v>
      </c>
      <c r="F46" s="291" t="s">
        <v>374</v>
      </c>
      <c r="G46" s="278">
        <v>0.43</v>
      </c>
      <c r="H46" s="283" t="s">
        <v>699</v>
      </c>
      <c r="I46" s="50">
        <f t="shared" si="3"/>
        <v>1.4137166941154067E-2</v>
      </c>
      <c r="J46" s="51">
        <v>20</v>
      </c>
      <c r="K46" s="49">
        <v>30</v>
      </c>
      <c r="L46" s="204">
        <v>0</v>
      </c>
      <c r="M46" s="285">
        <v>5.1999999999999998E-2</v>
      </c>
      <c r="N46" s="286">
        <v>0.86099999999999999</v>
      </c>
      <c r="O46" s="287">
        <v>25</v>
      </c>
      <c r="P46" s="288">
        <v>0.1</v>
      </c>
      <c r="Q46" s="54">
        <v>0</v>
      </c>
      <c r="R46" t="s">
        <v>98</v>
      </c>
      <c r="T46" s="3"/>
      <c r="Y46" t="s">
        <v>536</v>
      </c>
      <c r="Z46" t="s">
        <v>98</v>
      </c>
    </row>
    <row r="47" spans="1:26" x14ac:dyDescent="0.3">
      <c r="A47" s="40" t="s">
        <v>709</v>
      </c>
      <c r="B47" s="281" t="str">
        <f t="shared" si="1"/>
        <v>Насос 12НА 9х4, нефть</v>
      </c>
      <c r="C47" s="283">
        <v>1</v>
      </c>
      <c r="D47">
        <v>0.02</v>
      </c>
      <c r="E47" s="294">
        <f t="shared" si="9"/>
        <v>0.02</v>
      </c>
      <c r="F47" s="291" t="s">
        <v>374</v>
      </c>
      <c r="G47" s="278">
        <v>0.43</v>
      </c>
      <c r="H47" s="283" t="s">
        <v>699</v>
      </c>
      <c r="I47" s="50">
        <f t="shared" si="3"/>
        <v>1.4137166941154067E-2</v>
      </c>
      <c r="J47" s="51">
        <v>20</v>
      </c>
      <c r="K47" s="49">
        <v>30</v>
      </c>
      <c r="L47" s="204">
        <v>0</v>
      </c>
      <c r="M47" s="285">
        <v>5.1999999999999998E-2</v>
      </c>
      <c r="N47" s="286">
        <v>0.86099999999999999</v>
      </c>
      <c r="O47" s="287">
        <v>25</v>
      </c>
      <c r="P47" s="288">
        <v>0.1</v>
      </c>
      <c r="Q47" s="54">
        <v>0</v>
      </c>
      <c r="R47" t="s">
        <v>98</v>
      </c>
      <c r="Y47" t="s">
        <v>536</v>
      </c>
      <c r="Z47" t="s">
        <v>98</v>
      </c>
    </row>
    <row r="48" spans="1:26" x14ac:dyDescent="0.3">
      <c r="A48" s="40" t="s">
        <v>709</v>
      </c>
      <c r="B48" s="281" t="str">
        <f t="shared" si="1"/>
        <v>Насос 12НА 9х4, нефть</v>
      </c>
      <c r="C48" s="289">
        <v>1</v>
      </c>
      <c r="D48">
        <v>0.02</v>
      </c>
      <c r="E48" s="294">
        <f t="shared" si="9"/>
        <v>0.02</v>
      </c>
      <c r="F48" s="291" t="s">
        <v>374</v>
      </c>
      <c r="G48" s="278">
        <v>0.43</v>
      </c>
      <c r="H48" s="283" t="s">
        <v>699</v>
      </c>
      <c r="I48" s="50">
        <f t="shared" si="3"/>
        <v>1.4137166941154067E-2</v>
      </c>
      <c r="J48" s="51">
        <v>20</v>
      </c>
      <c r="K48" s="49">
        <v>30</v>
      </c>
      <c r="L48" s="204">
        <v>0</v>
      </c>
      <c r="M48" s="285">
        <v>5.1999999999999998E-2</v>
      </c>
      <c r="N48" s="286">
        <v>0.86099999999999999</v>
      </c>
      <c r="O48" s="287">
        <v>25</v>
      </c>
      <c r="P48" s="288">
        <v>0.1</v>
      </c>
      <c r="Q48" s="54">
        <v>0</v>
      </c>
      <c r="R48" t="s">
        <v>98</v>
      </c>
      <c r="Y48" t="s">
        <v>536</v>
      </c>
      <c r="Z48" t="s">
        <v>98</v>
      </c>
    </row>
    <row r="49" spans="1:26" x14ac:dyDescent="0.3">
      <c r="A49" s="40" t="s">
        <v>709</v>
      </c>
      <c r="B49" s="281" t="str">
        <f t="shared" si="1"/>
        <v>Насос 12НА 9х4, нефть</v>
      </c>
      <c r="C49" s="289">
        <v>1</v>
      </c>
      <c r="D49">
        <v>0.02</v>
      </c>
      <c r="E49" s="294">
        <f t="shared" si="9"/>
        <v>0.02</v>
      </c>
      <c r="F49" s="291" t="s">
        <v>374</v>
      </c>
      <c r="G49" s="278">
        <v>0.43</v>
      </c>
      <c r="H49" s="283" t="s">
        <v>699</v>
      </c>
      <c r="I49" s="50">
        <f t="shared" si="3"/>
        <v>1.4137166941154067E-2</v>
      </c>
      <c r="J49" s="51">
        <v>20</v>
      </c>
      <c r="K49" s="49">
        <v>30</v>
      </c>
      <c r="L49" s="204">
        <v>0</v>
      </c>
      <c r="M49" s="285">
        <v>5.1999999999999998E-2</v>
      </c>
      <c r="N49" s="286">
        <v>0.86099999999999999</v>
      </c>
      <c r="O49" s="287">
        <v>25</v>
      </c>
      <c r="P49" s="288">
        <v>0.1</v>
      </c>
      <c r="Q49" s="54">
        <v>0</v>
      </c>
      <c r="R49" t="s">
        <v>98</v>
      </c>
      <c r="Y49" t="s">
        <v>536</v>
      </c>
      <c r="Z49" t="s">
        <v>98</v>
      </c>
    </row>
    <row r="50" spans="1:26" x14ac:dyDescent="0.3">
      <c r="A50" s="40" t="s">
        <v>709</v>
      </c>
      <c r="B50" s="281" t="str">
        <f t="shared" si="1"/>
        <v>Насос 12НА 9х4, нефть</v>
      </c>
      <c r="C50" s="289">
        <v>1</v>
      </c>
      <c r="D50">
        <v>0.02</v>
      </c>
      <c r="E50" s="294">
        <f t="shared" si="9"/>
        <v>0.02</v>
      </c>
      <c r="F50" s="291" t="s">
        <v>374</v>
      </c>
      <c r="G50" s="278">
        <v>0.43</v>
      </c>
      <c r="H50" s="283" t="s">
        <v>699</v>
      </c>
      <c r="I50" s="50">
        <f t="shared" si="3"/>
        <v>1.4137166941154067E-2</v>
      </c>
      <c r="J50" s="51">
        <v>20</v>
      </c>
      <c r="K50" s="49">
        <v>30</v>
      </c>
      <c r="L50" s="204">
        <v>0</v>
      </c>
      <c r="M50" s="285">
        <v>5.1999999999999998E-2</v>
      </c>
      <c r="N50" s="286">
        <v>0.86099999999999999</v>
      </c>
      <c r="O50" s="287">
        <v>25</v>
      </c>
      <c r="P50" s="288">
        <v>0.1</v>
      </c>
      <c r="Q50" s="54">
        <v>0</v>
      </c>
      <c r="R50" t="s">
        <v>98</v>
      </c>
      <c r="Y50" t="s">
        <v>536</v>
      </c>
      <c r="Z50" t="s">
        <v>98</v>
      </c>
    </row>
    <row r="51" spans="1:26" x14ac:dyDescent="0.3">
      <c r="A51" s="40" t="s">
        <v>709</v>
      </c>
      <c r="B51" s="281" t="str">
        <f t="shared" si="1"/>
        <v>Насос 12НА 9х4, нефть</v>
      </c>
      <c r="C51" s="289">
        <v>1</v>
      </c>
      <c r="D51">
        <v>0.02</v>
      </c>
      <c r="E51" s="294">
        <f t="shared" si="9"/>
        <v>0.02</v>
      </c>
      <c r="F51" s="291" t="s">
        <v>374</v>
      </c>
      <c r="G51" s="278">
        <v>0.43</v>
      </c>
      <c r="H51" s="283" t="s">
        <v>699</v>
      </c>
      <c r="I51" s="50">
        <f t="shared" si="3"/>
        <v>1.4137166941154067E-2</v>
      </c>
      <c r="J51" s="51">
        <v>20</v>
      </c>
      <c r="K51" s="49">
        <v>30</v>
      </c>
      <c r="L51" s="204">
        <v>0</v>
      </c>
      <c r="M51" s="285">
        <v>5.1999999999999998E-2</v>
      </c>
      <c r="N51" s="286">
        <v>0.86099999999999999</v>
      </c>
      <c r="O51" s="287">
        <v>25</v>
      </c>
      <c r="P51" s="288">
        <v>0.1</v>
      </c>
      <c r="Q51" s="54">
        <v>0</v>
      </c>
      <c r="R51" t="s">
        <v>98</v>
      </c>
      <c r="Y51" t="s">
        <v>536</v>
      </c>
      <c r="Z51" t="s">
        <v>98</v>
      </c>
    </row>
    <row r="52" spans="1:26" x14ac:dyDescent="0.3">
      <c r="A52" s="40" t="s">
        <v>709</v>
      </c>
      <c r="B52" s="281" t="str">
        <f t="shared" si="1"/>
        <v>Насос 12НА 9х4, нефть</v>
      </c>
      <c r="C52" s="289">
        <v>1</v>
      </c>
      <c r="D52">
        <v>0.02</v>
      </c>
      <c r="E52" s="294">
        <f t="shared" si="9"/>
        <v>0.02</v>
      </c>
      <c r="F52" s="291" t="s">
        <v>374</v>
      </c>
      <c r="G52" s="278">
        <v>0.43</v>
      </c>
      <c r="H52" s="283" t="s">
        <v>699</v>
      </c>
      <c r="I52" s="50">
        <f t="shared" si="3"/>
        <v>1.4137166941154067E-2</v>
      </c>
      <c r="J52" s="51">
        <v>20</v>
      </c>
      <c r="K52" s="49">
        <v>30</v>
      </c>
      <c r="L52" s="204">
        <v>0</v>
      </c>
      <c r="M52" s="285">
        <v>5.1999999999999998E-2</v>
      </c>
      <c r="N52" s="286">
        <v>0.86099999999999999</v>
      </c>
      <c r="O52" s="287">
        <v>25</v>
      </c>
      <c r="P52" s="288">
        <v>0.1</v>
      </c>
      <c r="Q52" s="54">
        <v>0</v>
      </c>
      <c r="R52" t="s">
        <v>98</v>
      </c>
      <c r="Y52" t="s">
        <v>536</v>
      </c>
      <c r="Z52" t="s">
        <v>98</v>
      </c>
    </row>
    <row r="53" spans="1:26" x14ac:dyDescent="0.3">
      <c r="A53" s="40" t="s">
        <v>709</v>
      </c>
      <c r="B53" s="281" t="str">
        <f t="shared" si="1"/>
        <v>Насос НД 2,5х400, химреагент</v>
      </c>
      <c r="C53" s="289">
        <v>1</v>
      </c>
      <c r="D53">
        <v>0.02</v>
      </c>
      <c r="E53" s="294">
        <f t="shared" si="9"/>
        <v>0.02</v>
      </c>
      <c r="F53" s="291" t="s">
        <v>374</v>
      </c>
      <c r="G53" s="278">
        <v>40</v>
      </c>
      <c r="H53" s="283" t="s">
        <v>699</v>
      </c>
      <c r="I53" s="50">
        <f t="shared" si="3"/>
        <v>1.4137166941154067E-2</v>
      </c>
      <c r="J53" s="51">
        <v>20</v>
      </c>
      <c r="K53" s="49">
        <v>30</v>
      </c>
      <c r="L53" s="204">
        <v>0</v>
      </c>
      <c r="M53" s="285">
        <v>5.1999999999999998E-2</v>
      </c>
      <c r="N53" s="286">
        <v>0.86099999999999999</v>
      </c>
      <c r="O53" s="287">
        <v>25</v>
      </c>
      <c r="P53" s="288">
        <v>0.1</v>
      </c>
      <c r="Q53" s="54">
        <v>0</v>
      </c>
      <c r="R53" s="306" t="s">
        <v>676</v>
      </c>
      <c r="Y53" t="s">
        <v>537</v>
      </c>
      <c r="Z53" s="306" t="s">
        <v>676</v>
      </c>
    </row>
    <row r="54" spans="1:26" x14ac:dyDescent="0.3">
      <c r="A54" s="40" t="s">
        <v>709</v>
      </c>
      <c r="B54" s="281" t="str">
        <f t="shared" si="1"/>
        <v>Насос НД 2,5х100, химреагент</v>
      </c>
      <c r="C54" s="282">
        <v>1</v>
      </c>
      <c r="D54">
        <v>0.02</v>
      </c>
      <c r="E54" s="294">
        <f t="shared" si="9"/>
        <v>0.02</v>
      </c>
      <c r="F54" s="291" t="s">
        <v>374</v>
      </c>
      <c r="G54" s="278">
        <v>10</v>
      </c>
      <c r="H54" s="283" t="s">
        <v>699</v>
      </c>
      <c r="I54" s="50">
        <f t="shared" si="3"/>
        <v>1.4137166941154067E-2</v>
      </c>
      <c r="J54" s="51">
        <v>20</v>
      </c>
      <c r="K54" s="49">
        <v>30</v>
      </c>
      <c r="L54" s="204">
        <v>0</v>
      </c>
      <c r="M54" s="285">
        <v>5.1999999999999998E-2</v>
      </c>
      <c r="N54" s="286">
        <v>0.86099999999999999</v>
      </c>
      <c r="O54" s="287">
        <v>25</v>
      </c>
      <c r="P54" s="288">
        <v>0.1</v>
      </c>
      <c r="Q54" s="54">
        <v>0</v>
      </c>
      <c r="R54" s="306" t="s">
        <v>676</v>
      </c>
      <c r="Y54" t="s">
        <v>538</v>
      </c>
      <c r="Z54" s="306" t="s">
        <v>676</v>
      </c>
    </row>
    <row r="55" spans="1:26" x14ac:dyDescent="0.3">
      <c r="A55" s="40" t="s">
        <v>709</v>
      </c>
      <c r="B55" s="281" t="str">
        <f t="shared" si="1"/>
        <v>Насос НД 1,0х100, химреагент</v>
      </c>
      <c r="C55" s="282">
        <v>1</v>
      </c>
      <c r="D55">
        <v>0.02</v>
      </c>
      <c r="E55" s="294">
        <f t="shared" si="9"/>
        <v>0.02</v>
      </c>
      <c r="F55" s="291" t="s">
        <v>374</v>
      </c>
      <c r="G55" s="278">
        <v>10</v>
      </c>
      <c r="H55" s="283" t="s">
        <v>699</v>
      </c>
      <c r="I55" s="50">
        <f t="shared" si="3"/>
        <v>1.4137166941154067E-2</v>
      </c>
      <c r="J55" s="51">
        <v>20</v>
      </c>
      <c r="K55" s="49">
        <v>30</v>
      </c>
      <c r="L55" s="204">
        <v>0</v>
      </c>
      <c r="M55" s="285">
        <v>5.1999999999999998E-2</v>
      </c>
      <c r="N55" s="286">
        <v>0.86099999999999999</v>
      </c>
      <c r="O55" s="287">
        <v>25</v>
      </c>
      <c r="P55" s="288">
        <v>0.1</v>
      </c>
      <c r="Q55" s="54">
        <v>0</v>
      </c>
      <c r="R55" s="306" t="s">
        <v>676</v>
      </c>
      <c r="Y55" t="s">
        <v>539</v>
      </c>
      <c r="Z55" s="306" t="s">
        <v>676</v>
      </c>
    </row>
    <row r="56" spans="1:26" x14ac:dyDescent="0.3">
      <c r="A56" s="40" t="s">
        <v>709</v>
      </c>
      <c r="B56" s="281" t="str">
        <f t="shared" si="1"/>
        <v>Насос НМШ 5х25, химреагент</v>
      </c>
      <c r="C56" s="282">
        <v>1</v>
      </c>
      <c r="D56">
        <v>0.02</v>
      </c>
      <c r="E56" s="294">
        <f t="shared" si="9"/>
        <v>0.02</v>
      </c>
      <c r="F56" s="291" t="s">
        <v>374</v>
      </c>
      <c r="G56" s="278">
        <v>4</v>
      </c>
      <c r="H56" s="283" t="s">
        <v>699</v>
      </c>
      <c r="I56" s="50">
        <f t="shared" si="3"/>
        <v>1.4137166941154067E-2</v>
      </c>
      <c r="J56" s="51">
        <v>20</v>
      </c>
      <c r="K56" s="49">
        <v>30</v>
      </c>
      <c r="L56" s="204">
        <v>0</v>
      </c>
      <c r="M56" s="285">
        <v>5.1999999999999998E-2</v>
      </c>
      <c r="N56" s="286">
        <v>0.86099999999999999</v>
      </c>
      <c r="O56" s="287">
        <v>25</v>
      </c>
      <c r="P56" s="288">
        <v>0.1</v>
      </c>
      <c r="Q56" s="54">
        <v>0</v>
      </c>
      <c r="R56" s="306" t="s">
        <v>676</v>
      </c>
      <c r="Y56" t="s">
        <v>540</v>
      </c>
      <c r="Z56" s="306" t="s">
        <v>676</v>
      </c>
    </row>
    <row r="57" spans="1:26" ht="28.8" x14ac:dyDescent="0.3">
      <c r="A57" s="40" t="s">
        <v>709</v>
      </c>
      <c r="B57" s="281" t="str">
        <f t="shared" si="1"/>
        <v>Насос центробежный ЦНС 60х330, нефть</v>
      </c>
      <c r="C57" s="282">
        <v>1</v>
      </c>
      <c r="D57">
        <v>0.02</v>
      </c>
      <c r="E57" s="294">
        <f t="shared" si="9"/>
        <v>0.02</v>
      </c>
      <c r="F57" s="291" t="s">
        <v>374</v>
      </c>
      <c r="G57" s="278">
        <v>3.3</v>
      </c>
      <c r="H57" s="283" t="s">
        <v>699</v>
      </c>
      <c r="I57" s="50">
        <f t="shared" si="3"/>
        <v>1.4137166941154067E-2</v>
      </c>
      <c r="J57" s="51">
        <v>20</v>
      </c>
      <c r="K57" s="49">
        <v>30</v>
      </c>
      <c r="L57" s="204">
        <v>0</v>
      </c>
      <c r="M57" s="285">
        <v>5.1999999999999998E-2</v>
      </c>
      <c r="N57" s="286">
        <v>0.86099999999999999</v>
      </c>
      <c r="O57" s="287">
        <v>25</v>
      </c>
      <c r="P57" s="288">
        <v>0.1</v>
      </c>
      <c r="Q57" s="54">
        <v>0</v>
      </c>
      <c r="R57" t="s">
        <v>98</v>
      </c>
      <c r="Y57" t="s">
        <v>541</v>
      </c>
      <c r="Z57" t="s">
        <v>98</v>
      </c>
    </row>
    <row r="58" spans="1:26" ht="28.8" x14ac:dyDescent="0.3">
      <c r="A58" s="40" t="s">
        <v>709</v>
      </c>
      <c r="B58" s="281" t="str">
        <f t="shared" si="1"/>
        <v>Насос центробежный ЦНС 105х441, нефть</v>
      </c>
      <c r="C58" s="282">
        <v>1</v>
      </c>
      <c r="D58">
        <v>0.02</v>
      </c>
      <c r="E58" s="294">
        <f t="shared" si="9"/>
        <v>0.02</v>
      </c>
      <c r="F58" s="291" t="s">
        <v>374</v>
      </c>
      <c r="G58" s="278">
        <v>4.41</v>
      </c>
      <c r="H58" s="283" t="s">
        <v>699</v>
      </c>
      <c r="I58" s="50">
        <f t="shared" si="3"/>
        <v>1.4137166941154067E-2</v>
      </c>
      <c r="J58" s="51">
        <v>20</v>
      </c>
      <c r="K58" s="49">
        <v>30</v>
      </c>
      <c r="L58" s="204">
        <v>0</v>
      </c>
      <c r="M58" s="285">
        <v>5.1999999999999998E-2</v>
      </c>
      <c r="N58" s="286">
        <v>0.86099999999999999</v>
      </c>
      <c r="O58" s="287">
        <v>25</v>
      </c>
      <c r="P58" s="288">
        <v>0.1</v>
      </c>
      <c r="Q58" s="54">
        <v>0</v>
      </c>
      <c r="R58" t="s">
        <v>98</v>
      </c>
      <c r="Y58" t="s">
        <v>542</v>
      </c>
      <c r="Z58" t="s">
        <v>98</v>
      </c>
    </row>
    <row r="59" spans="1:26" ht="28.8" x14ac:dyDescent="0.3">
      <c r="A59" s="40" t="s">
        <v>709</v>
      </c>
      <c r="B59" s="281" t="str">
        <f t="shared" si="1"/>
        <v>Насос центробежный ЦНС 105х392, нефть</v>
      </c>
      <c r="C59" s="282">
        <v>1</v>
      </c>
      <c r="D59">
        <v>0.02</v>
      </c>
      <c r="E59" s="294">
        <f t="shared" si="9"/>
        <v>0.02</v>
      </c>
      <c r="F59" s="291" t="s">
        <v>374</v>
      </c>
      <c r="G59" s="278">
        <v>3.92</v>
      </c>
      <c r="H59" s="283" t="s">
        <v>699</v>
      </c>
      <c r="I59" s="50">
        <f t="shared" si="3"/>
        <v>1.4137166941154067E-2</v>
      </c>
      <c r="J59" s="51">
        <v>20</v>
      </c>
      <c r="K59" s="49">
        <v>30</v>
      </c>
      <c r="L59" s="204">
        <v>0</v>
      </c>
      <c r="M59" s="285">
        <v>5.1999999999999998E-2</v>
      </c>
      <c r="N59" s="286">
        <v>0.86099999999999999</v>
      </c>
      <c r="O59" s="287">
        <v>25</v>
      </c>
      <c r="P59" s="288">
        <v>0.1</v>
      </c>
      <c r="Q59" s="54">
        <v>0</v>
      </c>
      <c r="R59" t="s">
        <v>98</v>
      </c>
      <c r="Y59" t="s">
        <v>543</v>
      </c>
      <c r="Z59" t="s">
        <v>98</v>
      </c>
    </row>
    <row r="60" spans="1:26" ht="28.8" x14ac:dyDescent="0.3">
      <c r="A60" s="40" t="s">
        <v>709</v>
      </c>
      <c r="B60" s="281" t="str">
        <f t="shared" si="1"/>
        <v>Насос центробежный ЦНС 105х98, нефть</v>
      </c>
      <c r="C60" s="283">
        <v>1</v>
      </c>
      <c r="D60">
        <v>0.02</v>
      </c>
      <c r="E60" s="294">
        <f t="shared" si="9"/>
        <v>0.02</v>
      </c>
      <c r="F60" s="291" t="s">
        <v>374</v>
      </c>
      <c r="G60" s="278">
        <v>0.98</v>
      </c>
      <c r="H60" s="283" t="s">
        <v>699</v>
      </c>
      <c r="I60" s="50">
        <f t="shared" si="3"/>
        <v>1.4137166941154067E-2</v>
      </c>
      <c r="J60" s="51">
        <v>20</v>
      </c>
      <c r="K60" s="49">
        <v>30</v>
      </c>
      <c r="L60" s="204">
        <v>0</v>
      </c>
      <c r="M60" s="285">
        <v>5.1999999999999998E-2</v>
      </c>
      <c r="N60" s="286">
        <v>0.86099999999999999</v>
      </c>
      <c r="O60" s="287">
        <v>25</v>
      </c>
      <c r="P60" s="288">
        <v>0.1</v>
      </c>
      <c r="Q60" s="54">
        <v>0</v>
      </c>
      <c r="R60" t="s">
        <v>98</v>
      </c>
      <c r="Y60" t="s">
        <v>544</v>
      </c>
      <c r="Z60" t="s">
        <v>98</v>
      </c>
    </row>
    <row r="61" spans="1:26" ht="28.8" x14ac:dyDescent="0.3">
      <c r="A61" s="40" t="s">
        <v>709</v>
      </c>
      <c r="B61" s="281" t="str">
        <f t="shared" si="1"/>
        <v>Насос центробежный ЦНС 105х441, нефть</v>
      </c>
      <c r="C61" s="289">
        <v>1</v>
      </c>
      <c r="D61">
        <v>0.02</v>
      </c>
      <c r="E61" s="294">
        <f t="shared" si="9"/>
        <v>0.02</v>
      </c>
      <c r="F61" s="291" t="s">
        <v>374</v>
      </c>
      <c r="G61" s="278">
        <v>4.41</v>
      </c>
      <c r="H61" s="283" t="s">
        <v>699</v>
      </c>
      <c r="I61" s="50">
        <f t="shared" si="3"/>
        <v>1.4137166941154067E-2</v>
      </c>
      <c r="J61" s="51">
        <v>20</v>
      </c>
      <c r="K61" s="49">
        <v>30</v>
      </c>
      <c r="L61" s="204">
        <v>0</v>
      </c>
      <c r="M61" s="285">
        <v>5.1999999999999998E-2</v>
      </c>
      <c r="N61" s="286">
        <v>0.86099999999999999</v>
      </c>
      <c r="O61" s="287">
        <v>25</v>
      </c>
      <c r="P61" s="288">
        <v>0.1</v>
      </c>
      <c r="Q61" s="54">
        <v>0</v>
      </c>
      <c r="R61" t="s">
        <v>98</v>
      </c>
      <c r="Y61" t="s">
        <v>542</v>
      </c>
      <c r="Z61" t="s">
        <v>98</v>
      </c>
    </row>
    <row r="62" spans="1:26" ht="28.8" x14ac:dyDescent="0.3">
      <c r="A62" s="40" t="s">
        <v>709</v>
      </c>
      <c r="B62" s="281" t="str">
        <f t="shared" si="1"/>
        <v>Насос дозировочный НД 25 Р 5000/10, пенообразователь</v>
      </c>
      <c r="C62" s="289">
        <v>1</v>
      </c>
      <c r="D62">
        <v>0.02</v>
      </c>
      <c r="E62" s="294">
        <f t="shared" si="9"/>
        <v>0.02</v>
      </c>
      <c r="F62" s="291" t="s">
        <v>374</v>
      </c>
      <c r="G62" s="278">
        <v>1</v>
      </c>
      <c r="H62" s="283" t="s">
        <v>699</v>
      </c>
      <c r="I62" s="50">
        <f t="shared" si="3"/>
        <v>1.4137166941154067E-2</v>
      </c>
      <c r="J62" s="51">
        <v>20</v>
      </c>
      <c r="K62" s="49">
        <v>30</v>
      </c>
      <c r="L62" s="204">
        <v>0</v>
      </c>
      <c r="M62" s="285">
        <v>5.1999999999999998E-2</v>
      </c>
      <c r="N62" s="286">
        <v>0.86099999999999999</v>
      </c>
      <c r="O62" s="287">
        <v>25</v>
      </c>
      <c r="P62" s="288">
        <v>0.1</v>
      </c>
      <c r="Q62" s="54">
        <v>0</v>
      </c>
      <c r="R62" t="s">
        <v>690</v>
      </c>
      <c r="Y62" t="s">
        <v>545</v>
      </c>
      <c r="Z62" t="s">
        <v>690</v>
      </c>
    </row>
    <row r="63" spans="1:26" ht="28.8" x14ac:dyDescent="0.3">
      <c r="A63" s="40" t="s">
        <v>709</v>
      </c>
      <c r="B63" s="281" t="str">
        <f t="shared" si="1"/>
        <v>Насос дозировочный НД 25 Р 5000/10, пенообразователь</v>
      </c>
      <c r="C63" s="289">
        <v>1</v>
      </c>
      <c r="D63">
        <v>0.02</v>
      </c>
      <c r="E63" s="294">
        <f t="shared" si="9"/>
        <v>0.02</v>
      </c>
      <c r="F63" s="291" t="s">
        <v>374</v>
      </c>
      <c r="G63" s="278">
        <v>1</v>
      </c>
      <c r="H63" s="283" t="s">
        <v>699</v>
      </c>
      <c r="I63" s="50">
        <f t="shared" si="3"/>
        <v>1.4137166941154067E-2</v>
      </c>
      <c r="J63" s="51">
        <v>20</v>
      </c>
      <c r="K63" s="49">
        <v>30</v>
      </c>
      <c r="L63" s="204">
        <v>0</v>
      </c>
      <c r="M63" s="285">
        <v>5.1999999999999998E-2</v>
      </c>
      <c r="N63" s="286">
        <v>0.86099999999999999</v>
      </c>
      <c r="O63" s="287">
        <v>25</v>
      </c>
      <c r="P63" s="288">
        <v>0.1</v>
      </c>
      <c r="Q63" s="54">
        <v>0</v>
      </c>
      <c r="R63" t="s">
        <v>690</v>
      </c>
      <c r="Y63" t="s">
        <v>545</v>
      </c>
      <c r="Z63" t="s">
        <v>690</v>
      </c>
    </row>
    <row r="64" spans="1:26" ht="28.8" x14ac:dyDescent="0.3">
      <c r="A64" s="40" t="s">
        <v>709</v>
      </c>
      <c r="B64" s="281" t="str">
        <f t="shared" si="1"/>
        <v>Насос НМШ 5х25, пенообразователь</v>
      </c>
      <c r="C64" s="289">
        <v>1</v>
      </c>
      <c r="D64">
        <v>0.02</v>
      </c>
      <c r="E64" s="294">
        <f t="shared" si="9"/>
        <v>0.02</v>
      </c>
      <c r="F64" s="291" t="s">
        <v>374</v>
      </c>
      <c r="G64" s="278">
        <v>0.4</v>
      </c>
      <c r="H64" s="283" t="s">
        <v>699</v>
      </c>
      <c r="I64" s="50">
        <f t="shared" si="3"/>
        <v>1.4137166941154067E-2</v>
      </c>
      <c r="J64" s="51">
        <v>20</v>
      </c>
      <c r="K64" s="49">
        <v>30</v>
      </c>
      <c r="L64" s="204">
        <v>0</v>
      </c>
      <c r="M64" s="285">
        <v>5.1999999999999998E-2</v>
      </c>
      <c r="N64" s="286">
        <v>0.86099999999999999</v>
      </c>
      <c r="O64" s="287">
        <v>25</v>
      </c>
      <c r="P64" s="288">
        <v>0.1</v>
      </c>
      <c r="Q64" s="54">
        <v>0</v>
      </c>
      <c r="R64" t="s">
        <v>690</v>
      </c>
      <c r="Y64" t="s">
        <v>540</v>
      </c>
      <c r="Z64" t="s">
        <v>690</v>
      </c>
    </row>
    <row r="65" spans="1:26" x14ac:dyDescent="0.3">
      <c r="A65" s="40" t="s">
        <v>709</v>
      </c>
      <c r="B65" s="281" t="str">
        <f t="shared" si="1"/>
        <v>Насос НД 100х10, бактерицид</v>
      </c>
      <c r="C65" s="289">
        <v>1</v>
      </c>
      <c r="D65">
        <v>0.02</v>
      </c>
      <c r="E65" s="294">
        <f t="shared" si="9"/>
        <v>0.02</v>
      </c>
      <c r="F65" s="291" t="s">
        <v>374</v>
      </c>
      <c r="G65" s="278">
        <v>1</v>
      </c>
      <c r="H65" s="283" t="s">
        <v>699</v>
      </c>
      <c r="I65" s="50">
        <f t="shared" si="3"/>
        <v>1.4137166941154067E-2</v>
      </c>
      <c r="J65" s="51">
        <v>20</v>
      </c>
      <c r="K65" s="49">
        <v>30</v>
      </c>
      <c r="L65" s="204">
        <v>0</v>
      </c>
      <c r="M65" s="285">
        <v>5.1999999999999998E-2</v>
      </c>
      <c r="N65" s="286">
        <v>0.86099999999999999</v>
      </c>
      <c r="O65" s="287">
        <v>25</v>
      </c>
      <c r="P65" s="288">
        <v>0.1</v>
      </c>
      <c r="Q65" s="54">
        <v>0</v>
      </c>
      <c r="R65" t="s">
        <v>677</v>
      </c>
      <c r="Y65" t="s">
        <v>546</v>
      </c>
      <c r="Z65" t="s">
        <v>677</v>
      </c>
    </row>
    <row r="66" spans="1:26" x14ac:dyDescent="0.3">
      <c r="A66" s="40" t="s">
        <v>709</v>
      </c>
      <c r="B66" s="281" t="str">
        <f t="shared" si="1"/>
        <v>Насос НД 10х100, бактерицид</v>
      </c>
      <c r="C66" s="289">
        <v>1</v>
      </c>
      <c r="D66">
        <v>0.02</v>
      </c>
      <c r="E66" s="294">
        <f t="shared" si="9"/>
        <v>0.02</v>
      </c>
      <c r="F66" s="291" t="s">
        <v>374</v>
      </c>
      <c r="G66" s="278">
        <v>10</v>
      </c>
      <c r="H66" s="283" t="s">
        <v>699</v>
      </c>
      <c r="I66" s="50">
        <f t="shared" si="3"/>
        <v>1.4137166941154067E-2</v>
      </c>
      <c r="J66" s="51">
        <v>20</v>
      </c>
      <c r="K66" s="49">
        <v>30</v>
      </c>
      <c r="L66" s="204">
        <v>0</v>
      </c>
      <c r="M66" s="285">
        <v>5.1999999999999998E-2</v>
      </c>
      <c r="N66" s="286">
        <v>0.86099999999999999</v>
      </c>
      <c r="O66" s="287">
        <v>25</v>
      </c>
      <c r="P66" s="288">
        <v>0.1</v>
      </c>
      <c r="Q66" s="54">
        <v>0</v>
      </c>
      <c r="R66" t="s">
        <v>677</v>
      </c>
      <c r="Y66" t="s">
        <v>547</v>
      </c>
      <c r="Z66" t="s">
        <v>677</v>
      </c>
    </row>
    <row r="67" spans="1:26" x14ac:dyDescent="0.3">
      <c r="A67" s="40" t="s">
        <v>709</v>
      </c>
      <c r="B67" s="281" t="str">
        <f t="shared" si="1"/>
        <v>Насос НД 10х100, бактерицид</v>
      </c>
      <c r="C67" s="282">
        <v>1</v>
      </c>
      <c r="D67">
        <v>0.02</v>
      </c>
      <c r="E67" s="294">
        <f t="shared" si="9"/>
        <v>0.02</v>
      </c>
      <c r="F67" s="291" t="s">
        <v>374</v>
      </c>
      <c r="G67" s="278">
        <v>10</v>
      </c>
      <c r="H67" s="283" t="s">
        <v>699</v>
      </c>
      <c r="I67" s="50">
        <f t="shared" si="3"/>
        <v>1.4137166941154067E-2</v>
      </c>
      <c r="J67" s="51">
        <v>20</v>
      </c>
      <c r="K67" s="49">
        <v>30</v>
      </c>
      <c r="L67" s="204">
        <v>0</v>
      </c>
      <c r="M67" s="285">
        <v>5.1999999999999998E-2</v>
      </c>
      <c r="N67" s="286">
        <v>0.86099999999999999</v>
      </c>
      <c r="O67" s="287">
        <v>25</v>
      </c>
      <c r="P67" s="288">
        <v>0.1</v>
      </c>
      <c r="Q67" s="54">
        <v>0</v>
      </c>
      <c r="R67" t="s">
        <v>677</v>
      </c>
      <c r="Y67" t="s">
        <v>547</v>
      </c>
      <c r="Z67" t="s">
        <v>677</v>
      </c>
    </row>
    <row r="68" spans="1:26" x14ac:dyDescent="0.3">
      <c r="A68" s="40" t="s">
        <v>709</v>
      </c>
      <c r="B68" s="281" t="str">
        <f t="shared" ref="B68:B131" si="10">CONCATENATE(Y68,", ",Z68)</f>
        <v>Насос НМШ 5х25, бактерицид</v>
      </c>
      <c r="C68" s="282">
        <v>1</v>
      </c>
      <c r="D68">
        <v>0.02</v>
      </c>
      <c r="E68" s="294">
        <f t="shared" si="9"/>
        <v>0.02</v>
      </c>
      <c r="F68" s="291" t="s">
        <v>374</v>
      </c>
      <c r="G68" s="278">
        <v>2.5</v>
      </c>
      <c r="H68" s="283" t="s">
        <v>699</v>
      </c>
      <c r="I68" s="50">
        <f t="shared" ref="I68:I131" si="11">PI()*(POWER(K68/1000,2)/4)*J68</f>
        <v>1.4137166941154067E-2</v>
      </c>
      <c r="J68" s="51">
        <v>20</v>
      </c>
      <c r="K68" s="49">
        <v>30</v>
      </c>
      <c r="L68" s="204">
        <v>0</v>
      </c>
      <c r="M68" s="285">
        <v>5.1999999999999998E-2</v>
      </c>
      <c r="N68" s="286">
        <v>0.86099999999999999</v>
      </c>
      <c r="O68" s="287">
        <v>25</v>
      </c>
      <c r="P68" s="288">
        <v>0.1</v>
      </c>
      <c r="Q68" s="54">
        <v>0</v>
      </c>
      <c r="R68" t="s">
        <v>677</v>
      </c>
      <c r="Y68" t="s">
        <v>540</v>
      </c>
      <c r="Z68" t="s">
        <v>677</v>
      </c>
    </row>
    <row r="69" spans="1:26" x14ac:dyDescent="0.3">
      <c r="A69" s="40" t="s">
        <v>709</v>
      </c>
      <c r="B69" s="281" t="str">
        <f t="shared" si="10"/>
        <v>Насос НМШ 5х25, бактерицид</v>
      </c>
      <c r="C69" s="282">
        <v>1</v>
      </c>
      <c r="D69">
        <v>0.02</v>
      </c>
      <c r="E69" s="294">
        <f t="shared" si="9"/>
        <v>0.02</v>
      </c>
      <c r="F69" s="291" t="s">
        <v>374</v>
      </c>
      <c r="G69" s="278">
        <v>2.5</v>
      </c>
      <c r="H69" s="283" t="s">
        <v>699</v>
      </c>
      <c r="I69" s="50">
        <f t="shared" si="11"/>
        <v>1.4137166941154067E-2</v>
      </c>
      <c r="J69" s="51">
        <v>20</v>
      </c>
      <c r="K69" s="49">
        <v>30</v>
      </c>
      <c r="L69" s="204">
        <v>0</v>
      </c>
      <c r="M69" s="285">
        <v>5.1999999999999998E-2</v>
      </c>
      <c r="N69" s="286">
        <v>0.86099999999999999</v>
      </c>
      <c r="O69" s="287">
        <v>25</v>
      </c>
      <c r="P69" s="288">
        <v>0.1</v>
      </c>
      <c r="Q69" s="54">
        <v>0</v>
      </c>
      <c r="R69" t="s">
        <v>677</v>
      </c>
      <c r="Y69" t="s">
        <v>540</v>
      </c>
      <c r="Z69" t="s">
        <v>677</v>
      </c>
    </row>
    <row r="70" spans="1:26" ht="28.8" x14ac:dyDescent="0.3">
      <c r="A70" s="40" t="s">
        <v>709</v>
      </c>
      <c r="B70" s="281" t="str">
        <f t="shared" si="10"/>
        <v>Насос НД 1,0 2,5х100 К13В, химреагент</v>
      </c>
      <c r="C70" s="282">
        <v>1</v>
      </c>
      <c r="D70">
        <v>0.02</v>
      </c>
      <c r="E70" s="294">
        <f t="shared" si="9"/>
        <v>0.02</v>
      </c>
      <c r="F70" s="291" t="s">
        <v>374</v>
      </c>
      <c r="G70" s="278">
        <v>10</v>
      </c>
      <c r="H70" s="283" t="s">
        <v>699</v>
      </c>
      <c r="I70" s="50">
        <f t="shared" si="11"/>
        <v>1.4137166941154067E-2</v>
      </c>
      <c r="J70" s="51">
        <v>20</v>
      </c>
      <c r="K70" s="49">
        <v>30</v>
      </c>
      <c r="L70" s="204">
        <v>0</v>
      </c>
      <c r="M70" s="285">
        <v>5.1999999999999998E-2</v>
      </c>
      <c r="N70" s="286">
        <v>0.86099999999999999</v>
      </c>
      <c r="O70" s="287">
        <v>25</v>
      </c>
      <c r="P70" s="288">
        <v>0.1</v>
      </c>
      <c r="Q70" s="54">
        <v>0</v>
      </c>
      <c r="R70" t="s">
        <v>676</v>
      </c>
      <c r="Y70" t="s">
        <v>548</v>
      </c>
      <c r="Z70" t="s">
        <v>676</v>
      </c>
    </row>
    <row r="71" spans="1:26" ht="28.8" x14ac:dyDescent="0.3">
      <c r="A71" s="40" t="s">
        <v>709</v>
      </c>
      <c r="B71" s="281" t="str">
        <f t="shared" si="10"/>
        <v>Насос НМШ 5х25-4,0/4Б, химреагент</v>
      </c>
      <c r="C71" s="282">
        <v>1</v>
      </c>
      <c r="D71">
        <v>0.02</v>
      </c>
      <c r="E71" s="294">
        <f t="shared" si="9"/>
        <v>0.02</v>
      </c>
      <c r="F71" s="291" t="s">
        <v>374</v>
      </c>
      <c r="G71" s="278">
        <v>0.4</v>
      </c>
      <c r="H71" s="283" t="s">
        <v>699</v>
      </c>
      <c r="I71" s="50">
        <f t="shared" si="11"/>
        <v>1.4137166941154067E-2</v>
      </c>
      <c r="J71" s="51">
        <v>20</v>
      </c>
      <c r="K71" s="49">
        <v>30</v>
      </c>
      <c r="L71" s="204">
        <v>0</v>
      </c>
      <c r="M71" s="285">
        <v>5.1999999999999998E-2</v>
      </c>
      <c r="N71" s="286">
        <v>0.86099999999999999</v>
      </c>
      <c r="O71" s="287">
        <v>25</v>
      </c>
      <c r="P71" s="288">
        <v>0.1</v>
      </c>
      <c r="Q71" s="54">
        <v>0</v>
      </c>
      <c r="R71" t="s">
        <v>676</v>
      </c>
      <c r="Y71" t="s">
        <v>549</v>
      </c>
      <c r="Z71" t="s">
        <v>676</v>
      </c>
    </row>
    <row r="72" spans="1:26" ht="28.8" x14ac:dyDescent="0.3">
      <c r="A72" s="40" t="s">
        <v>709</v>
      </c>
      <c r="B72" s="281" t="str">
        <f t="shared" si="10"/>
        <v>Насос НД 2,5 2,5х100 К14В, химреагент</v>
      </c>
      <c r="C72" s="282">
        <v>1</v>
      </c>
      <c r="D72">
        <v>0.02</v>
      </c>
      <c r="E72" s="294">
        <f t="shared" si="9"/>
        <v>0.02</v>
      </c>
      <c r="F72" s="291" t="s">
        <v>374</v>
      </c>
      <c r="G72" s="278">
        <v>10</v>
      </c>
      <c r="H72" s="283" t="s">
        <v>699</v>
      </c>
      <c r="I72" s="50">
        <f t="shared" si="11"/>
        <v>1.4137166941154067E-2</v>
      </c>
      <c r="J72" s="51">
        <v>20</v>
      </c>
      <c r="K72" s="49">
        <v>30</v>
      </c>
      <c r="L72" s="204">
        <v>0</v>
      </c>
      <c r="M72" s="285">
        <v>5.1999999999999998E-2</v>
      </c>
      <c r="N72" s="286">
        <v>0.86099999999999999</v>
      </c>
      <c r="O72" s="287">
        <v>25</v>
      </c>
      <c r="P72" s="288">
        <v>0.1</v>
      </c>
      <c r="Q72" s="54">
        <v>0</v>
      </c>
      <c r="R72" t="s">
        <v>676</v>
      </c>
      <c r="Y72" t="s">
        <v>550</v>
      </c>
      <c r="Z72" t="s">
        <v>676</v>
      </c>
    </row>
    <row r="73" spans="1:26" ht="43.2" x14ac:dyDescent="0.3">
      <c r="A73" s="40" t="s">
        <v>709</v>
      </c>
      <c r="B73" s="281" t="str">
        <f t="shared" si="10"/>
        <v>Блочная установка для дозирования реагента БР-2.5, деэмульгатор</v>
      </c>
      <c r="C73" s="283">
        <v>1</v>
      </c>
      <c r="D73">
        <v>0.6</v>
      </c>
      <c r="E73" s="294">
        <f t="shared" si="9"/>
        <v>0.6</v>
      </c>
      <c r="F73" s="291" t="s">
        <v>374</v>
      </c>
      <c r="G73" s="278">
        <v>1</v>
      </c>
      <c r="H73" s="283" t="s">
        <v>699</v>
      </c>
      <c r="I73" s="50">
        <f t="shared" si="11"/>
        <v>1.4137166941154067E-2</v>
      </c>
      <c r="J73" s="51">
        <v>20</v>
      </c>
      <c r="K73" s="49">
        <v>30</v>
      </c>
      <c r="L73" s="204">
        <v>0</v>
      </c>
      <c r="M73" s="285">
        <v>5.1999999999999998E-2</v>
      </c>
      <c r="N73" s="286">
        <v>0.86099999999999999</v>
      </c>
      <c r="O73" s="287">
        <v>25</v>
      </c>
      <c r="P73" s="288">
        <v>0.1</v>
      </c>
      <c r="Q73" s="54">
        <v>0</v>
      </c>
      <c r="R73" t="s">
        <v>678</v>
      </c>
      <c r="Y73" t="s">
        <v>551</v>
      </c>
      <c r="Z73" t="s">
        <v>678</v>
      </c>
    </row>
    <row r="74" spans="1:26" ht="43.2" x14ac:dyDescent="0.3">
      <c r="A74" s="40" t="s">
        <v>709</v>
      </c>
      <c r="B74" s="281" t="str">
        <f t="shared" si="10"/>
        <v>Блочная установка для дозирования реагента БР-2.5/2, бактерицид</v>
      </c>
      <c r="C74" s="289">
        <v>1</v>
      </c>
      <c r="D74">
        <v>0.6</v>
      </c>
      <c r="E74" s="294">
        <f t="shared" si="9"/>
        <v>0.6</v>
      </c>
      <c r="F74" s="291" t="s">
        <v>374</v>
      </c>
      <c r="G74" s="278">
        <v>1</v>
      </c>
      <c r="H74" s="283" t="s">
        <v>699</v>
      </c>
      <c r="I74" s="50">
        <f t="shared" si="11"/>
        <v>1.4137166941154067E-2</v>
      </c>
      <c r="J74" s="51">
        <v>20</v>
      </c>
      <c r="K74" s="49">
        <v>30</v>
      </c>
      <c r="L74" s="204">
        <v>0</v>
      </c>
      <c r="M74" s="285">
        <v>5.1999999999999998E-2</v>
      </c>
      <c r="N74" s="286">
        <v>0.86099999999999999</v>
      </c>
      <c r="O74" s="287">
        <v>25</v>
      </c>
      <c r="P74" s="288">
        <v>0.1</v>
      </c>
      <c r="Q74" s="54">
        <v>0</v>
      </c>
      <c r="R74" t="s">
        <v>677</v>
      </c>
      <c r="Y74" t="s">
        <v>552</v>
      </c>
      <c r="Z74" t="s">
        <v>677</v>
      </c>
    </row>
    <row r="75" spans="1:26" ht="43.2" x14ac:dyDescent="0.3">
      <c r="A75" s="40" t="s">
        <v>709</v>
      </c>
      <c r="B75" s="281" t="str">
        <f t="shared" si="10"/>
        <v>Блочная установка для дозирования реагента БР-2.5, деэмульгатор</v>
      </c>
      <c r="C75" s="289">
        <v>1</v>
      </c>
      <c r="D75">
        <v>0.2</v>
      </c>
      <c r="E75" s="294">
        <f t="shared" si="9"/>
        <v>0.2</v>
      </c>
      <c r="F75" s="291" t="s">
        <v>374</v>
      </c>
      <c r="G75" s="278">
        <v>1</v>
      </c>
      <c r="H75" s="283" t="s">
        <v>699</v>
      </c>
      <c r="I75" s="50">
        <f t="shared" si="11"/>
        <v>1.4137166941154067E-2</v>
      </c>
      <c r="J75" s="51">
        <v>20</v>
      </c>
      <c r="K75" s="49">
        <v>30</v>
      </c>
      <c r="L75" s="204">
        <v>0</v>
      </c>
      <c r="M75" s="285">
        <v>5.1999999999999998E-2</v>
      </c>
      <c r="N75" s="286">
        <v>0.86099999999999999</v>
      </c>
      <c r="O75" s="287">
        <v>25</v>
      </c>
      <c r="P75" s="288">
        <v>0.1</v>
      </c>
      <c r="Q75" s="54">
        <v>0</v>
      </c>
      <c r="R75" t="s">
        <v>678</v>
      </c>
      <c r="Y75" t="s">
        <v>551</v>
      </c>
      <c r="Z75" t="s">
        <v>678</v>
      </c>
    </row>
    <row r="76" spans="1:26" ht="28.8" x14ac:dyDescent="0.3">
      <c r="A76" s="40" t="s">
        <v>709</v>
      </c>
      <c r="B76" s="281" t="str">
        <f t="shared" si="10"/>
        <v>Блок дозирования реагента УДЭ, деэмульгатор</v>
      </c>
      <c r="C76" s="289">
        <v>1</v>
      </c>
      <c r="D76">
        <v>0.2</v>
      </c>
      <c r="E76" s="294">
        <f t="shared" si="9"/>
        <v>0.2</v>
      </c>
      <c r="F76" s="291" t="s">
        <v>374</v>
      </c>
      <c r="G76" s="278">
        <v>1</v>
      </c>
      <c r="H76" s="283" t="s">
        <v>699</v>
      </c>
      <c r="I76" s="50">
        <f t="shared" si="11"/>
        <v>1.4137166941154067E-2</v>
      </c>
      <c r="J76" s="51">
        <v>20</v>
      </c>
      <c r="K76" s="49">
        <v>30</v>
      </c>
      <c r="L76" s="204">
        <v>0</v>
      </c>
      <c r="M76" s="285">
        <v>5.1999999999999998E-2</v>
      </c>
      <c r="N76" s="286">
        <v>0.86099999999999999</v>
      </c>
      <c r="O76" s="287">
        <v>25</v>
      </c>
      <c r="P76" s="288">
        <v>0.1</v>
      </c>
      <c r="Q76" s="54">
        <v>0</v>
      </c>
      <c r="R76" t="s">
        <v>678</v>
      </c>
      <c r="Y76" t="s">
        <v>553</v>
      </c>
      <c r="Z76" t="s">
        <v>678</v>
      </c>
    </row>
    <row r="77" spans="1:26" ht="28.8" x14ac:dyDescent="0.3">
      <c r="A77" s="40" t="s">
        <v>709</v>
      </c>
      <c r="B77" s="281" t="str">
        <f t="shared" si="10"/>
        <v>Блок контроля качества нефти оперативный, нефть</v>
      </c>
      <c r="C77" s="289">
        <v>1</v>
      </c>
      <c r="D77">
        <v>0.1</v>
      </c>
      <c r="E77" s="294">
        <f t="shared" si="9"/>
        <v>0.1</v>
      </c>
      <c r="F77" s="291" t="s">
        <v>374</v>
      </c>
      <c r="G77" s="278">
        <v>0.6</v>
      </c>
      <c r="H77" s="283" t="s">
        <v>699</v>
      </c>
      <c r="I77" s="50">
        <f t="shared" si="11"/>
        <v>1.4137166941154067E-2</v>
      </c>
      <c r="J77" s="51">
        <v>20</v>
      </c>
      <c r="K77" s="49">
        <v>30</v>
      </c>
      <c r="L77" s="204">
        <v>0</v>
      </c>
      <c r="M77" s="285">
        <v>5.1999999999999998E-2</v>
      </c>
      <c r="N77" s="286">
        <v>0.86099999999999999</v>
      </c>
      <c r="O77" s="287">
        <v>25</v>
      </c>
      <c r="P77" s="288">
        <v>0.1</v>
      </c>
      <c r="Q77" s="54">
        <v>0</v>
      </c>
      <c r="R77" t="s">
        <v>98</v>
      </c>
      <c r="Y77" t="s">
        <v>554</v>
      </c>
      <c r="Z77" t="s">
        <v>98</v>
      </c>
    </row>
    <row r="78" spans="1:26" ht="28.8" x14ac:dyDescent="0.3">
      <c r="A78" s="40" t="s">
        <v>709</v>
      </c>
      <c r="B78" s="281" t="str">
        <f t="shared" si="10"/>
        <v>Система измерения количества и показателей качества нефти, нефть</v>
      </c>
      <c r="C78" s="289">
        <v>1</v>
      </c>
      <c r="D78">
        <v>3.6</v>
      </c>
      <c r="E78" s="294">
        <f t="shared" si="9"/>
        <v>3.6</v>
      </c>
      <c r="F78" s="291" t="s">
        <v>374</v>
      </c>
      <c r="G78" s="278">
        <v>4</v>
      </c>
      <c r="H78" s="283" t="s">
        <v>699</v>
      </c>
      <c r="I78" s="50">
        <f t="shared" si="11"/>
        <v>1.4137166941154067E-2</v>
      </c>
      <c r="J78" s="51">
        <v>20</v>
      </c>
      <c r="K78" s="49">
        <v>30</v>
      </c>
      <c r="L78" s="204">
        <v>0</v>
      </c>
      <c r="M78" s="285">
        <v>5.1999999999999998E-2</v>
      </c>
      <c r="N78" s="286">
        <v>0.86099999999999999</v>
      </c>
      <c r="O78" s="287">
        <v>25</v>
      </c>
      <c r="P78" s="288">
        <v>0.1</v>
      </c>
      <c r="Q78" s="54">
        <v>0</v>
      </c>
      <c r="R78" t="s">
        <v>98</v>
      </c>
      <c r="Y78" t="s">
        <v>555</v>
      </c>
      <c r="Z78" t="s">
        <v>98</v>
      </c>
    </row>
    <row r="79" spans="1:26" ht="28.8" x14ac:dyDescent="0.3">
      <c r="A79" s="40" t="s">
        <v>709</v>
      </c>
      <c r="B79" s="281" t="str">
        <f t="shared" si="10"/>
        <v>Система факельная для сжигания газа, попутный нефтяной  газ</v>
      </c>
      <c r="C79" s="289">
        <v>1</v>
      </c>
      <c r="D79" s="3">
        <v>1.6359999999999999</v>
      </c>
      <c r="E79" s="294">
        <f t="shared" si="9"/>
        <v>1.6359999999999999</v>
      </c>
      <c r="F79" s="289" t="s">
        <v>372</v>
      </c>
      <c r="G79" s="278">
        <v>0.6</v>
      </c>
      <c r="H79" s="283" t="s">
        <v>699</v>
      </c>
      <c r="I79" s="50">
        <f t="shared" si="11"/>
        <v>1.4137166941154067E-2</v>
      </c>
      <c r="J79" s="51">
        <v>20</v>
      </c>
      <c r="K79" s="49">
        <v>30</v>
      </c>
      <c r="L79" s="204">
        <v>0</v>
      </c>
      <c r="M79" s="285">
        <v>5.1999999999999998E-2</v>
      </c>
      <c r="N79" s="286">
        <v>0.86099999999999999</v>
      </c>
      <c r="O79" s="287">
        <v>25</v>
      </c>
      <c r="P79" s="288">
        <v>0.1</v>
      </c>
      <c r="Q79" s="54">
        <v>0</v>
      </c>
      <c r="R79" s="306" t="s">
        <v>679</v>
      </c>
      <c r="Y79" t="s">
        <v>556</v>
      </c>
      <c r="Z79" s="306" t="s">
        <v>679</v>
      </c>
    </row>
    <row r="80" spans="1:26" ht="28.8" x14ac:dyDescent="0.3">
      <c r="A80" s="40" t="s">
        <v>709</v>
      </c>
      <c r="B80" s="281" t="str">
        <f t="shared" si="10"/>
        <v>Система факельная для сжигания газа, попутный нефтяной  газ</v>
      </c>
      <c r="C80" s="282">
        <v>1</v>
      </c>
      <c r="D80" s="3">
        <v>1.6359999999999999</v>
      </c>
      <c r="E80" s="294">
        <f t="shared" si="9"/>
        <v>1.6359999999999999</v>
      </c>
      <c r="F80" s="289" t="s">
        <v>372</v>
      </c>
      <c r="G80" s="278">
        <v>7.0999999999999994E-2</v>
      </c>
      <c r="H80" s="283" t="s">
        <v>699</v>
      </c>
      <c r="I80" s="50">
        <f t="shared" si="11"/>
        <v>1.4137166941154067E-2</v>
      </c>
      <c r="J80" s="51">
        <v>20</v>
      </c>
      <c r="K80" s="49">
        <v>30</v>
      </c>
      <c r="L80" s="204">
        <v>0</v>
      </c>
      <c r="M80" s="285">
        <v>5.1999999999999998E-2</v>
      </c>
      <c r="N80" s="286">
        <v>0.86099999999999999</v>
      </c>
      <c r="O80" s="287">
        <v>25</v>
      </c>
      <c r="P80" s="288">
        <v>0.1</v>
      </c>
      <c r="Q80" s="54">
        <v>0</v>
      </c>
      <c r="R80" s="306" t="s">
        <v>679</v>
      </c>
      <c r="Y80" t="s">
        <v>556</v>
      </c>
      <c r="Z80" s="306" t="s">
        <v>679</v>
      </c>
    </row>
    <row r="81" spans="1:26" ht="28.8" x14ac:dyDescent="0.3">
      <c r="A81" s="40" t="s">
        <v>709</v>
      </c>
      <c r="B81" s="281" t="str">
        <f t="shared" si="10"/>
        <v>Емкость подземная ЕП 63-3000-2-2, пластовая (сточная) вода</v>
      </c>
      <c r="C81" s="282">
        <v>1</v>
      </c>
      <c r="D81">
        <v>0.1</v>
      </c>
      <c r="E81" s="294">
        <f t="shared" ref="E81:E144" si="12">D81*C81</f>
        <v>0.1</v>
      </c>
      <c r="F81" s="291" t="s">
        <v>374</v>
      </c>
      <c r="G81" s="278">
        <v>7.0000000000000007E-2</v>
      </c>
      <c r="H81" s="278" t="s">
        <v>701</v>
      </c>
      <c r="I81" s="50">
        <f t="shared" si="11"/>
        <v>1.4137166941154067E-2</v>
      </c>
      <c r="J81" s="51">
        <v>20</v>
      </c>
      <c r="K81" s="49">
        <v>30</v>
      </c>
      <c r="L81" s="204">
        <v>0</v>
      </c>
      <c r="M81" s="285">
        <v>5.1999999999999998E-2</v>
      </c>
      <c r="N81" s="286">
        <v>0.86099999999999999</v>
      </c>
      <c r="O81" s="287">
        <v>25</v>
      </c>
      <c r="P81" s="288">
        <v>0.1</v>
      </c>
      <c r="Q81" s="54">
        <v>0</v>
      </c>
      <c r="R81" t="s">
        <v>98</v>
      </c>
      <c r="Y81" t="s">
        <v>557</v>
      </c>
      <c r="Z81" t="s">
        <v>680</v>
      </c>
    </row>
    <row r="82" spans="1:26" ht="28.8" x14ac:dyDescent="0.3">
      <c r="A82" s="40" t="s">
        <v>709</v>
      </c>
      <c r="B82" s="281" t="str">
        <f t="shared" si="10"/>
        <v>Емкость подземная ЕП-40-2400-2-2, нефть</v>
      </c>
      <c r="C82" s="282">
        <v>1</v>
      </c>
      <c r="D82">
        <v>0.5</v>
      </c>
      <c r="E82" s="294">
        <f t="shared" si="12"/>
        <v>0.5</v>
      </c>
      <c r="F82" s="291" t="s">
        <v>374</v>
      </c>
      <c r="G82" s="278">
        <v>7.0000000000000007E-2</v>
      </c>
      <c r="H82" s="278" t="s">
        <v>701</v>
      </c>
      <c r="I82" s="50">
        <f t="shared" si="11"/>
        <v>1.4137166941154067E-2</v>
      </c>
      <c r="J82" s="51">
        <v>20</v>
      </c>
      <c r="K82" s="49">
        <v>30</v>
      </c>
      <c r="L82" s="204">
        <v>0</v>
      </c>
      <c r="M82" s="285">
        <v>5.1999999999999998E-2</v>
      </c>
      <c r="N82" s="286">
        <v>0.86099999999999999</v>
      </c>
      <c r="O82" s="287">
        <v>25</v>
      </c>
      <c r="P82" s="288">
        <v>0.1</v>
      </c>
      <c r="Q82" s="54">
        <v>0</v>
      </c>
      <c r="R82" t="s">
        <v>98</v>
      </c>
      <c r="Y82" t="s">
        <v>558</v>
      </c>
      <c r="Z82" t="s">
        <v>98</v>
      </c>
    </row>
    <row r="83" spans="1:26" ht="28.8" x14ac:dyDescent="0.3">
      <c r="A83" s="40" t="s">
        <v>709</v>
      </c>
      <c r="B83" s="281" t="str">
        <f t="shared" si="10"/>
        <v>Емкость подземная ЕП-40-2400-2-2, нефть</v>
      </c>
      <c r="C83" s="282">
        <v>1</v>
      </c>
      <c r="D83">
        <v>0.5</v>
      </c>
      <c r="E83" s="294">
        <f t="shared" si="12"/>
        <v>0.5</v>
      </c>
      <c r="F83" s="291" t="s">
        <v>374</v>
      </c>
      <c r="G83" s="278">
        <v>7.0000000000000007E-2</v>
      </c>
      <c r="H83" s="278" t="s">
        <v>701</v>
      </c>
      <c r="I83" s="50">
        <f t="shared" si="11"/>
        <v>1.4137166941154067E-2</v>
      </c>
      <c r="J83" s="51">
        <v>20</v>
      </c>
      <c r="K83" s="49">
        <v>30</v>
      </c>
      <c r="L83" s="204">
        <v>0</v>
      </c>
      <c r="M83" s="285">
        <v>5.1999999999999998E-2</v>
      </c>
      <c r="N83" s="286">
        <v>0.86099999999999999</v>
      </c>
      <c r="O83" s="287">
        <v>25</v>
      </c>
      <c r="P83" s="288">
        <v>0.1</v>
      </c>
      <c r="Q83" s="54">
        <v>0</v>
      </c>
      <c r="R83" t="s">
        <v>98</v>
      </c>
      <c r="Y83" t="s">
        <v>558</v>
      </c>
      <c r="Z83" t="s">
        <v>98</v>
      </c>
    </row>
    <row r="84" spans="1:26" x14ac:dyDescent="0.3">
      <c r="A84" s="40" t="s">
        <v>709</v>
      </c>
      <c r="B84" s="281" t="str">
        <f t="shared" si="10"/>
        <v>Емкость подземная, нефть, вода</v>
      </c>
      <c r="C84" s="282">
        <v>1</v>
      </c>
      <c r="D84">
        <v>0.5</v>
      </c>
      <c r="E84" s="294">
        <f t="shared" si="12"/>
        <v>0.5</v>
      </c>
      <c r="F84" s="291" t="s">
        <v>374</v>
      </c>
      <c r="G84" s="278">
        <v>7.0000000000000007E-2</v>
      </c>
      <c r="H84" s="278" t="s">
        <v>701</v>
      </c>
      <c r="I84" s="50">
        <f t="shared" si="11"/>
        <v>1.4137166941154067E-2</v>
      </c>
      <c r="J84" s="51">
        <v>20</v>
      </c>
      <c r="K84" s="49">
        <v>30</v>
      </c>
      <c r="L84" s="204">
        <v>0</v>
      </c>
      <c r="M84" s="285">
        <v>5.1999999999999998E-2</v>
      </c>
      <c r="N84" s="286">
        <v>0.86099999999999999</v>
      </c>
      <c r="O84" s="287">
        <v>25</v>
      </c>
      <c r="P84" s="288">
        <v>0.1</v>
      </c>
      <c r="Q84" s="54">
        <v>0</v>
      </c>
      <c r="R84" t="s">
        <v>98</v>
      </c>
      <c r="Y84" t="s">
        <v>559</v>
      </c>
      <c r="Z84" t="s">
        <v>681</v>
      </c>
    </row>
    <row r="85" spans="1:26" ht="15" thickBot="1" x14ac:dyDescent="0.35">
      <c r="A85" s="40" t="s">
        <v>709</v>
      </c>
      <c r="B85" s="281" t="str">
        <f t="shared" si="10"/>
        <v>Емкость ЕП -3-1400-2-2, нефть</v>
      </c>
      <c r="C85" s="282">
        <v>1</v>
      </c>
      <c r="D85">
        <v>0.5</v>
      </c>
      <c r="E85" s="294">
        <f t="shared" si="12"/>
        <v>0.5</v>
      </c>
      <c r="F85" s="291" t="s">
        <v>374</v>
      </c>
      <c r="G85" s="278">
        <v>7.0000000000000007E-2</v>
      </c>
      <c r="H85" s="278" t="s">
        <v>701</v>
      </c>
      <c r="I85" s="50">
        <f t="shared" si="11"/>
        <v>1.4137166941154067E-2</v>
      </c>
      <c r="J85" s="51">
        <v>20</v>
      </c>
      <c r="K85" s="49">
        <v>30</v>
      </c>
      <c r="L85" s="204">
        <v>0</v>
      </c>
      <c r="M85" s="285">
        <v>5.1999999999999998E-2</v>
      </c>
      <c r="N85" s="286">
        <v>0.86099999999999999</v>
      </c>
      <c r="O85" s="287">
        <v>25</v>
      </c>
      <c r="P85" s="288">
        <v>0.1</v>
      </c>
      <c r="Q85" s="54">
        <v>0</v>
      </c>
      <c r="R85" t="s">
        <v>98</v>
      </c>
      <c r="Y85" t="s">
        <v>560</v>
      </c>
      <c r="Z85" t="s">
        <v>98</v>
      </c>
    </row>
    <row r="86" spans="1:26" ht="29.4" thickBot="1" x14ac:dyDescent="0.35">
      <c r="A86" s="40" t="s">
        <v>709</v>
      </c>
      <c r="B86" s="281" t="str">
        <f t="shared" si="10"/>
        <v>Емкость подземная ЕП-40-2400-1-2, вода сточная (остатки нефти)</v>
      </c>
      <c r="C86" s="283">
        <v>1</v>
      </c>
      <c r="D86">
        <v>0.2</v>
      </c>
      <c r="E86" s="294">
        <f t="shared" si="12"/>
        <v>0.2</v>
      </c>
      <c r="F86" s="291" t="s">
        <v>374</v>
      </c>
      <c r="G86" s="278">
        <v>7.0000000000000007E-2</v>
      </c>
      <c r="H86" s="278" t="s">
        <v>701</v>
      </c>
      <c r="I86" s="50">
        <f t="shared" si="11"/>
        <v>1.4137166941154067E-2</v>
      </c>
      <c r="J86" s="51">
        <v>20</v>
      </c>
      <c r="K86" s="49">
        <v>30</v>
      </c>
      <c r="L86" s="204">
        <v>0</v>
      </c>
      <c r="M86" s="285">
        <v>5.1999999999999998E-2</v>
      </c>
      <c r="N86" s="286">
        <v>0.86099999999999999</v>
      </c>
      <c r="O86" s="287">
        <v>25</v>
      </c>
      <c r="P86" s="288">
        <v>0.1</v>
      </c>
      <c r="Q86" s="54">
        <v>0</v>
      </c>
      <c r="R86" t="s">
        <v>98</v>
      </c>
      <c r="T86" s="57"/>
      <c r="U86" s="276"/>
      <c r="Y86" t="s">
        <v>561</v>
      </c>
      <c r="Z86" t="s">
        <v>682</v>
      </c>
    </row>
    <row r="87" spans="1:26" ht="29.4" thickBot="1" x14ac:dyDescent="0.35">
      <c r="A87" s="40" t="s">
        <v>709</v>
      </c>
      <c r="B87" s="281" t="str">
        <f t="shared" si="10"/>
        <v>Емкость подземная ЕП-40-2400-1-2, нефть</v>
      </c>
      <c r="C87" s="289">
        <v>1</v>
      </c>
      <c r="D87">
        <v>0.5</v>
      </c>
      <c r="E87" s="294">
        <f t="shared" si="12"/>
        <v>0.5</v>
      </c>
      <c r="F87" s="291" t="s">
        <v>374</v>
      </c>
      <c r="G87" s="278">
        <v>7.0000000000000007E-2</v>
      </c>
      <c r="H87" s="278" t="s">
        <v>701</v>
      </c>
      <c r="I87" s="50">
        <f t="shared" si="11"/>
        <v>1.4137166941154067E-2</v>
      </c>
      <c r="J87" s="51">
        <v>20</v>
      </c>
      <c r="K87" s="49">
        <v>30</v>
      </c>
      <c r="L87" s="204">
        <v>0</v>
      </c>
      <c r="M87" s="285">
        <v>5.1999999999999998E-2</v>
      </c>
      <c r="N87" s="286">
        <v>0.86099999999999999</v>
      </c>
      <c r="O87" s="287">
        <v>25</v>
      </c>
      <c r="P87" s="288">
        <v>0.1</v>
      </c>
      <c r="Q87" s="54">
        <v>0</v>
      </c>
      <c r="R87" t="s">
        <v>98</v>
      </c>
      <c r="T87" s="57"/>
      <c r="U87" s="276"/>
      <c r="Y87" t="s">
        <v>561</v>
      </c>
      <c r="Z87" t="s">
        <v>98</v>
      </c>
    </row>
    <row r="88" spans="1:26" ht="29.4" thickBot="1" x14ac:dyDescent="0.35">
      <c r="A88" s="40" t="s">
        <v>709</v>
      </c>
      <c r="B88" s="281" t="str">
        <f t="shared" si="10"/>
        <v>Емкость подземная ЕП-40-2400-2-2, нефть</v>
      </c>
      <c r="C88" s="289">
        <v>1</v>
      </c>
      <c r="D88">
        <v>0.5</v>
      </c>
      <c r="E88" s="294">
        <f t="shared" si="12"/>
        <v>0.5</v>
      </c>
      <c r="F88" s="291" t="s">
        <v>374</v>
      </c>
      <c r="G88" s="278">
        <v>7.0000000000000007E-2</v>
      </c>
      <c r="H88" s="278" t="s">
        <v>701</v>
      </c>
      <c r="I88" s="50">
        <f t="shared" si="11"/>
        <v>1.4137166941154067E-2</v>
      </c>
      <c r="J88" s="51">
        <v>20</v>
      </c>
      <c r="K88" s="49">
        <v>30</v>
      </c>
      <c r="L88" s="204">
        <v>0</v>
      </c>
      <c r="M88" s="285">
        <v>5.1999999999999998E-2</v>
      </c>
      <c r="N88" s="286">
        <v>0.86099999999999999</v>
      </c>
      <c r="O88" s="287">
        <v>25</v>
      </c>
      <c r="P88" s="288">
        <v>0.1</v>
      </c>
      <c r="Q88" s="54">
        <v>0</v>
      </c>
      <c r="R88" t="s">
        <v>98</v>
      </c>
      <c r="T88" s="57"/>
      <c r="U88" s="276"/>
      <c r="Y88" t="s">
        <v>558</v>
      </c>
      <c r="Z88" t="s">
        <v>98</v>
      </c>
    </row>
    <row r="89" spans="1:26" ht="29.4" thickBot="1" x14ac:dyDescent="0.35">
      <c r="A89" s="40" t="s">
        <v>709</v>
      </c>
      <c r="B89" s="281" t="str">
        <f t="shared" si="10"/>
        <v>Емкость подземная ЕП-40-2400-1-2, нефть</v>
      </c>
      <c r="C89" s="289">
        <v>1</v>
      </c>
      <c r="D89">
        <v>0.5</v>
      </c>
      <c r="E89" s="294">
        <f t="shared" si="12"/>
        <v>0.5</v>
      </c>
      <c r="F89" s="291" t="s">
        <v>374</v>
      </c>
      <c r="G89" s="278">
        <v>7.0000000000000007E-2</v>
      </c>
      <c r="H89" s="278" t="s">
        <v>701</v>
      </c>
      <c r="I89" s="50">
        <f t="shared" si="11"/>
        <v>1.4137166941154067E-2</v>
      </c>
      <c r="J89" s="51">
        <v>20</v>
      </c>
      <c r="K89" s="49">
        <v>30</v>
      </c>
      <c r="L89" s="204">
        <v>0</v>
      </c>
      <c r="M89" s="285">
        <v>5.1999999999999998E-2</v>
      </c>
      <c r="N89" s="286">
        <v>0.86099999999999999</v>
      </c>
      <c r="O89" s="287">
        <v>25</v>
      </c>
      <c r="P89" s="288">
        <v>0.1</v>
      </c>
      <c r="Q89" s="54">
        <v>0</v>
      </c>
      <c r="R89" t="s">
        <v>98</v>
      </c>
      <c r="T89" s="57"/>
      <c r="U89" s="276"/>
      <c r="Y89" t="s">
        <v>561</v>
      </c>
      <c r="Z89" t="s">
        <v>98</v>
      </c>
    </row>
    <row r="90" spans="1:26" ht="29.4" thickBot="1" x14ac:dyDescent="0.35">
      <c r="A90" s="40" t="s">
        <v>709</v>
      </c>
      <c r="B90" s="281" t="str">
        <f t="shared" si="10"/>
        <v>Емкость подземная ЕП-40-2400-1-2, нефть</v>
      </c>
      <c r="C90" s="289">
        <v>1</v>
      </c>
      <c r="D90">
        <v>0.5</v>
      </c>
      <c r="E90" s="294">
        <f t="shared" si="12"/>
        <v>0.5</v>
      </c>
      <c r="F90" s="291" t="s">
        <v>374</v>
      </c>
      <c r="G90" s="278">
        <v>7.0000000000000007E-2</v>
      </c>
      <c r="H90" s="278" t="s">
        <v>701</v>
      </c>
      <c r="I90" s="50">
        <f t="shared" si="11"/>
        <v>1.4137166941154067E-2</v>
      </c>
      <c r="J90" s="51">
        <v>20</v>
      </c>
      <c r="K90" s="49">
        <v>30</v>
      </c>
      <c r="L90" s="204">
        <v>0</v>
      </c>
      <c r="M90" s="285">
        <v>5.1999999999999998E-2</v>
      </c>
      <c r="N90" s="286">
        <v>0.86099999999999999</v>
      </c>
      <c r="O90" s="287">
        <v>25</v>
      </c>
      <c r="P90" s="288">
        <v>0.1</v>
      </c>
      <c r="Q90" s="54">
        <v>0</v>
      </c>
      <c r="R90" t="s">
        <v>98</v>
      </c>
      <c r="T90" s="57"/>
      <c r="U90" s="276"/>
      <c r="Y90" t="s">
        <v>561</v>
      </c>
      <c r="Z90" t="s">
        <v>98</v>
      </c>
    </row>
    <row r="91" spans="1:26" ht="29.4" thickBot="1" x14ac:dyDescent="0.35">
      <c r="A91" s="40" t="s">
        <v>709</v>
      </c>
      <c r="B91" s="281" t="str">
        <f t="shared" si="10"/>
        <v>Емкость подземная ЕП-12,5-2000-1-2, нефть</v>
      </c>
      <c r="C91" s="289">
        <v>1</v>
      </c>
      <c r="D91">
        <v>0.5</v>
      </c>
      <c r="E91" s="294">
        <f t="shared" si="12"/>
        <v>0.5</v>
      </c>
      <c r="F91" s="291" t="s">
        <v>374</v>
      </c>
      <c r="G91" s="278">
        <v>7.0000000000000007E-2</v>
      </c>
      <c r="H91" s="278" t="s">
        <v>701</v>
      </c>
      <c r="I91" s="50">
        <f t="shared" si="11"/>
        <v>1.4137166941154067E-2</v>
      </c>
      <c r="J91" s="51">
        <v>20</v>
      </c>
      <c r="K91" s="49">
        <v>30</v>
      </c>
      <c r="L91" s="204">
        <v>0</v>
      </c>
      <c r="M91" s="285">
        <v>5.1999999999999998E-2</v>
      </c>
      <c r="N91" s="286">
        <v>0.86099999999999999</v>
      </c>
      <c r="O91" s="287">
        <v>25</v>
      </c>
      <c r="P91" s="288">
        <v>0.1</v>
      </c>
      <c r="Q91" s="54">
        <v>0</v>
      </c>
      <c r="R91" t="s">
        <v>98</v>
      </c>
      <c r="T91" s="57"/>
      <c r="U91" s="276"/>
      <c r="Y91" t="s">
        <v>562</v>
      </c>
      <c r="Z91" t="s">
        <v>98</v>
      </c>
    </row>
    <row r="92" spans="1:26" ht="28.8" x14ac:dyDescent="0.3">
      <c r="A92" s="40" t="s">
        <v>709</v>
      </c>
      <c r="B92" s="281" t="str">
        <f t="shared" si="10"/>
        <v>Емкость подземная ЕП-12,5-2000-1-2, деэмульгатор</v>
      </c>
      <c r="C92" s="289">
        <v>1</v>
      </c>
      <c r="D92">
        <v>0.5</v>
      </c>
      <c r="E92" s="294">
        <f t="shared" si="12"/>
        <v>0.5</v>
      </c>
      <c r="F92" s="291" t="s">
        <v>374</v>
      </c>
      <c r="G92" s="278">
        <v>7.0000000000000007E-2</v>
      </c>
      <c r="H92" s="278" t="s">
        <v>701</v>
      </c>
      <c r="I92" s="50">
        <f t="shared" si="11"/>
        <v>1.4137166941154067E-2</v>
      </c>
      <c r="J92" s="51">
        <v>20</v>
      </c>
      <c r="K92" s="49">
        <v>30</v>
      </c>
      <c r="L92" s="204">
        <v>0</v>
      </c>
      <c r="M92" s="285">
        <v>5.1999999999999998E-2</v>
      </c>
      <c r="N92" s="286">
        <v>0.86099999999999999</v>
      </c>
      <c r="O92" s="287">
        <v>25</v>
      </c>
      <c r="P92" s="288">
        <v>0.1</v>
      </c>
      <c r="Q92" s="54">
        <v>0</v>
      </c>
      <c r="R92" t="s">
        <v>678</v>
      </c>
      <c r="T92" s="57"/>
      <c r="U92" s="276"/>
      <c r="Y92" t="s">
        <v>562</v>
      </c>
      <c r="Z92" t="s">
        <v>678</v>
      </c>
    </row>
    <row r="93" spans="1:26" x14ac:dyDescent="0.3">
      <c r="A93" s="40" t="s">
        <v>709</v>
      </c>
      <c r="B93" s="281" t="str">
        <f t="shared" si="10"/>
        <v>Емкость подземная, деэмульгатор</v>
      </c>
      <c r="C93" s="282">
        <v>1</v>
      </c>
      <c r="D93">
        <v>0.13</v>
      </c>
      <c r="E93" s="294">
        <f t="shared" si="12"/>
        <v>0.13</v>
      </c>
      <c r="F93" s="291" t="s">
        <v>374</v>
      </c>
      <c r="G93" s="278">
        <v>7.0000000000000007E-2</v>
      </c>
      <c r="H93" s="278" t="s">
        <v>701</v>
      </c>
      <c r="I93" s="50">
        <f t="shared" si="11"/>
        <v>1.4137166941154067E-2</v>
      </c>
      <c r="J93" s="51">
        <v>20</v>
      </c>
      <c r="K93" s="49">
        <v>30</v>
      </c>
      <c r="L93" s="204">
        <v>0</v>
      </c>
      <c r="M93" s="285">
        <v>5.1999999999999998E-2</v>
      </c>
      <c r="N93" s="286">
        <v>0.86099999999999999</v>
      </c>
      <c r="O93" s="287">
        <v>25</v>
      </c>
      <c r="P93" s="288">
        <v>0.1</v>
      </c>
      <c r="Q93" s="54">
        <v>0</v>
      </c>
      <c r="R93" t="s">
        <v>678</v>
      </c>
      <c r="Y93" t="s">
        <v>559</v>
      </c>
      <c r="Z93" t="s">
        <v>678</v>
      </c>
    </row>
    <row r="94" spans="1:26" ht="28.8" x14ac:dyDescent="0.3">
      <c r="A94" s="40" t="s">
        <v>709</v>
      </c>
      <c r="B94" s="281" t="str">
        <f t="shared" si="10"/>
        <v>Емкость подземная ЕП-12,5-2000-1-2, попутный нефтяной газ</v>
      </c>
      <c r="C94" s="282">
        <v>1</v>
      </c>
      <c r="D94">
        <v>1.4999999999999999E-2</v>
      </c>
      <c r="E94" s="294">
        <f t="shared" si="12"/>
        <v>1.4999999999999999E-2</v>
      </c>
      <c r="F94" s="291" t="s">
        <v>372</v>
      </c>
      <c r="G94" s="278">
        <v>7.0000000000000007E-2</v>
      </c>
      <c r="H94" s="278" t="s">
        <v>702</v>
      </c>
      <c r="I94" s="50">
        <f t="shared" si="11"/>
        <v>1.4137166941154067E-2</v>
      </c>
      <c r="J94" s="51">
        <v>20</v>
      </c>
      <c r="K94" s="49">
        <v>30</v>
      </c>
      <c r="L94" s="204">
        <v>0</v>
      </c>
      <c r="M94" s="285">
        <v>5.1999999999999998E-2</v>
      </c>
      <c r="N94" s="286">
        <v>0.86099999999999999</v>
      </c>
      <c r="O94" s="287">
        <v>25</v>
      </c>
      <c r="P94" s="288">
        <v>0.1</v>
      </c>
      <c r="Q94" s="54">
        <v>0</v>
      </c>
      <c r="R94" t="s">
        <v>670</v>
      </c>
      <c r="Y94" t="s">
        <v>562</v>
      </c>
      <c r="Z94" t="s">
        <v>670</v>
      </c>
    </row>
    <row r="95" spans="1:26" ht="28.8" x14ac:dyDescent="0.3">
      <c r="A95" s="40" t="s">
        <v>709</v>
      </c>
      <c r="B95" s="281" t="str">
        <f t="shared" si="10"/>
        <v>Емкость подземная ЕП-12,5-2000-1-2, попутный нефтяной газ</v>
      </c>
      <c r="C95" s="282">
        <v>1</v>
      </c>
      <c r="D95">
        <v>1.4999999999999999E-2</v>
      </c>
      <c r="E95" s="294">
        <f t="shared" si="12"/>
        <v>1.4999999999999999E-2</v>
      </c>
      <c r="F95" s="291" t="s">
        <v>372</v>
      </c>
      <c r="G95" s="278">
        <v>7.0000000000000007E-2</v>
      </c>
      <c r="H95" s="278" t="s">
        <v>702</v>
      </c>
      <c r="I95" s="50">
        <f t="shared" si="11"/>
        <v>1.4137166941154067E-2</v>
      </c>
      <c r="J95" s="51">
        <v>20</v>
      </c>
      <c r="K95" s="49">
        <v>30</v>
      </c>
      <c r="L95" s="204">
        <v>0</v>
      </c>
      <c r="M95" s="285">
        <v>5.1999999999999998E-2</v>
      </c>
      <c r="N95" s="286">
        <v>0.86099999999999999</v>
      </c>
      <c r="O95" s="287">
        <v>25</v>
      </c>
      <c r="P95" s="288">
        <v>0.1</v>
      </c>
      <c r="Q95" s="54">
        <v>0</v>
      </c>
      <c r="R95" t="s">
        <v>670</v>
      </c>
      <c r="Y95" t="s">
        <v>562</v>
      </c>
      <c r="Z95" t="s">
        <v>670</v>
      </c>
    </row>
    <row r="96" spans="1:26" ht="28.8" x14ac:dyDescent="0.3">
      <c r="A96" s="40" t="s">
        <v>709</v>
      </c>
      <c r="B96" s="281" t="str">
        <f t="shared" si="10"/>
        <v>Емкость подземная ЕП-12,5-2000-1-2, попутный нефтяной газ</v>
      </c>
      <c r="C96" s="282">
        <v>1</v>
      </c>
      <c r="D96">
        <v>1.4999999999999999E-2</v>
      </c>
      <c r="E96" s="294">
        <f t="shared" si="12"/>
        <v>1.4999999999999999E-2</v>
      </c>
      <c r="F96" s="291" t="s">
        <v>372</v>
      </c>
      <c r="G96" s="278">
        <v>7.0000000000000007E-2</v>
      </c>
      <c r="H96" s="278" t="s">
        <v>701</v>
      </c>
      <c r="I96" s="50">
        <f t="shared" si="11"/>
        <v>1.4137166941154067E-2</v>
      </c>
      <c r="J96" s="51">
        <v>20</v>
      </c>
      <c r="K96" s="49">
        <v>30</v>
      </c>
      <c r="L96" s="204">
        <v>0</v>
      </c>
      <c r="M96" s="285">
        <v>5.1999999999999998E-2</v>
      </c>
      <c r="N96" s="286">
        <v>0.86099999999999999</v>
      </c>
      <c r="O96" s="287">
        <v>25</v>
      </c>
      <c r="P96" s="288">
        <v>0.1</v>
      </c>
      <c r="Q96" s="54">
        <v>0</v>
      </c>
      <c r="R96" t="s">
        <v>670</v>
      </c>
      <c r="Y96" t="s">
        <v>562</v>
      </c>
      <c r="Z96" t="s">
        <v>670</v>
      </c>
    </row>
    <row r="97" spans="1:28" ht="28.8" x14ac:dyDescent="0.3">
      <c r="A97" s="40" t="s">
        <v>709</v>
      </c>
      <c r="B97" s="281" t="str">
        <f t="shared" si="10"/>
        <v>Емкость подземная, попутный нефтяной газ</v>
      </c>
      <c r="C97" s="282">
        <v>1</v>
      </c>
      <c r="D97">
        <v>1.4999999999999999E-2</v>
      </c>
      <c r="E97" s="294">
        <f t="shared" si="12"/>
        <v>1.4999999999999999E-2</v>
      </c>
      <c r="F97" s="291" t="s">
        <v>372</v>
      </c>
      <c r="G97" s="278">
        <v>7.0000000000000007E-2</v>
      </c>
      <c r="H97" s="278" t="s">
        <v>702</v>
      </c>
      <c r="I97" s="50">
        <f t="shared" si="11"/>
        <v>1.4137166941154067E-2</v>
      </c>
      <c r="J97" s="51">
        <v>20</v>
      </c>
      <c r="K97" s="49">
        <v>30</v>
      </c>
      <c r="L97" s="204">
        <v>0</v>
      </c>
      <c r="M97" s="285">
        <v>5.1999999999999998E-2</v>
      </c>
      <c r="N97" s="286">
        <v>0.86099999999999999</v>
      </c>
      <c r="O97" s="287">
        <v>25</v>
      </c>
      <c r="P97" s="288">
        <v>0.1</v>
      </c>
      <c r="Q97" s="54">
        <v>0</v>
      </c>
      <c r="R97" t="s">
        <v>670</v>
      </c>
      <c r="Y97" t="s">
        <v>559</v>
      </c>
      <c r="Z97" t="s">
        <v>670</v>
      </c>
    </row>
    <row r="98" spans="1:28" x14ac:dyDescent="0.3">
      <c r="A98" s="40" t="s">
        <v>709</v>
      </c>
      <c r="B98" s="281" t="str">
        <f t="shared" si="10"/>
        <v>Шламонакопитель, нефтешлам</v>
      </c>
      <c r="C98" s="282">
        <v>1</v>
      </c>
      <c r="D98" s="3">
        <v>126</v>
      </c>
      <c r="E98" s="294">
        <f t="shared" si="12"/>
        <v>126</v>
      </c>
      <c r="F98" s="291" t="s">
        <v>374</v>
      </c>
      <c r="G98" s="278" t="s">
        <v>692</v>
      </c>
      <c r="H98" s="278" t="s">
        <v>698</v>
      </c>
      <c r="I98" s="50">
        <f t="shared" si="11"/>
        <v>1.4137166941154067E-2</v>
      </c>
      <c r="J98" s="51">
        <v>20</v>
      </c>
      <c r="K98" s="49">
        <v>30</v>
      </c>
      <c r="L98" s="204">
        <v>0</v>
      </c>
      <c r="M98" s="285">
        <v>5.1999999999999998E-2</v>
      </c>
      <c r="N98" s="286">
        <v>0.86099999999999999</v>
      </c>
      <c r="O98" s="287">
        <v>25</v>
      </c>
      <c r="P98" s="288">
        <v>0.1</v>
      </c>
      <c r="Q98" s="54">
        <v>0</v>
      </c>
      <c r="R98" t="s">
        <v>683</v>
      </c>
      <c r="Y98" t="s">
        <v>563</v>
      </c>
      <c r="Z98" t="s">
        <v>683</v>
      </c>
    </row>
    <row r="99" spans="1:28" ht="86.4" x14ac:dyDescent="0.3">
      <c r="A99" s="40" t="s">
        <v>709</v>
      </c>
      <c r="B99" s="281" t="str">
        <f t="shared" si="10"/>
        <v>Технологический трубопровод ввод сырья с СЦДНГ («Урашак», «Добро-волка») на вход в депульсатор Д-1.2., нефть, попутный нефтяной газ, пластовая вода</v>
      </c>
      <c r="C99" s="283">
        <v>1</v>
      </c>
      <c r="D99">
        <v>1.38</v>
      </c>
      <c r="E99" s="294">
        <f t="shared" si="12"/>
        <v>1.38</v>
      </c>
      <c r="F99" s="289" t="s">
        <v>459</v>
      </c>
      <c r="G99" s="278">
        <v>0.6</v>
      </c>
      <c r="H99" s="278" t="s">
        <v>698</v>
      </c>
      <c r="I99" s="50">
        <f t="shared" si="11"/>
        <v>1.4137166941154067E-2</v>
      </c>
      <c r="J99" s="51">
        <v>20</v>
      </c>
      <c r="K99" s="49">
        <v>30</v>
      </c>
      <c r="L99" s="204">
        <v>0</v>
      </c>
      <c r="M99" s="285">
        <v>5.1999999999999998E-2</v>
      </c>
      <c r="N99" s="286">
        <v>0.86099999999999999</v>
      </c>
      <c r="O99" s="287">
        <v>25</v>
      </c>
      <c r="P99" s="288">
        <v>0.1</v>
      </c>
      <c r="Q99" s="54">
        <v>0</v>
      </c>
      <c r="R99" t="s">
        <v>98</v>
      </c>
      <c r="Y99" t="s">
        <v>564</v>
      </c>
      <c r="Z99" t="s">
        <v>684</v>
      </c>
    </row>
    <row r="100" spans="1:28" ht="86.4" x14ac:dyDescent="0.3">
      <c r="A100" s="40" t="s">
        <v>709</v>
      </c>
      <c r="B100" s="281" t="str">
        <f t="shared" si="10"/>
        <v>Технологический трубопровод 
депульсатор Д-1.2, нефть, попутный нефтяной газ, пластовая вода</v>
      </c>
      <c r="C100" s="289">
        <v>1</v>
      </c>
      <c r="D100">
        <v>1.18</v>
      </c>
      <c r="E100" s="294">
        <f t="shared" si="12"/>
        <v>1.18</v>
      </c>
      <c r="F100" s="289" t="s">
        <v>459</v>
      </c>
      <c r="G100" s="11">
        <v>0.35</v>
      </c>
      <c r="H100" s="278" t="s">
        <v>698</v>
      </c>
      <c r="I100" s="50">
        <f t="shared" si="11"/>
        <v>1.4137166941154067E-2</v>
      </c>
      <c r="J100" s="51">
        <v>20</v>
      </c>
      <c r="K100" s="49">
        <v>30</v>
      </c>
      <c r="L100" s="204">
        <v>0</v>
      </c>
      <c r="M100" s="285">
        <v>5.1999999999999998E-2</v>
      </c>
      <c r="N100" s="286">
        <v>0.86099999999999999</v>
      </c>
      <c r="O100" s="287">
        <v>25</v>
      </c>
      <c r="P100" s="288">
        <v>0.1</v>
      </c>
      <c r="Q100" s="54">
        <v>0</v>
      </c>
      <c r="R100" t="s">
        <v>98</v>
      </c>
      <c r="Y100" s="7" t="s">
        <v>565</v>
      </c>
      <c r="Z100" t="s">
        <v>684</v>
      </c>
    </row>
    <row r="101" spans="1:28" ht="72" x14ac:dyDescent="0.3">
      <c r="A101" s="40" t="s">
        <v>709</v>
      </c>
      <c r="B101" s="281" t="str">
        <f t="shared" si="10"/>
        <v>Технологический трубопровод ввода сырья с СЦДНГ (УПС «Болотино»),на вход в депульсатор Д-1.1., нефть, попутный нефтяной газ, пластовая вода</v>
      </c>
      <c r="C101" s="289">
        <v>1</v>
      </c>
      <c r="D101">
        <v>1.82</v>
      </c>
      <c r="E101" s="294">
        <f t="shared" si="12"/>
        <v>1.82</v>
      </c>
      <c r="F101" s="289" t="s">
        <v>459</v>
      </c>
      <c r="G101" s="11">
        <v>0.6</v>
      </c>
      <c r="H101" s="278" t="s">
        <v>698</v>
      </c>
      <c r="I101" s="50">
        <f t="shared" si="11"/>
        <v>1.4137166941154067E-2</v>
      </c>
      <c r="J101" s="51">
        <v>20</v>
      </c>
      <c r="K101" s="49">
        <v>30</v>
      </c>
      <c r="L101" s="204">
        <v>0</v>
      </c>
      <c r="M101" s="285">
        <v>5.1999999999999998E-2</v>
      </c>
      <c r="N101" s="286">
        <v>0.86099999999999999</v>
      </c>
      <c r="O101" s="287">
        <v>25</v>
      </c>
      <c r="P101" s="288">
        <v>0.1</v>
      </c>
      <c r="Q101" s="54">
        <v>0</v>
      </c>
      <c r="R101" t="s">
        <v>98</v>
      </c>
      <c r="Y101" t="s">
        <v>566</v>
      </c>
      <c r="Z101" t="s">
        <v>684</v>
      </c>
    </row>
    <row r="102" spans="1:28" ht="57.6" x14ac:dyDescent="0.3">
      <c r="A102" s="40" t="s">
        <v>709</v>
      </c>
      <c r="B102" s="281" t="str">
        <f t="shared" si="10"/>
        <v>Технологический трубопровод депульсатор Д-1.1, нефть, попутный нефтяной газ, пластовая вода</v>
      </c>
      <c r="C102" s="289">
        <v>1</v>
      </c>
      <c r="D102">
        <v>0.68</v>
      </c>
      <c r="E102" s="294">
        <f t="shared" si="12"/>
        <v>0.68</v>
      </c>
      <c r="F102" s="289" t="s">
        <v>459</v>
      </c>
      <c r="G102">
        <v>0.35</v>
      </c>
      <c r="H102" s="278" t="s">
        <v>698</v>
      </c>
      <c r="I102" s="50">
        <f t="shared" si="11"/>
        <v>1.4137166941154067E-2</v>
      </c>
      <c r="J102" s="51">
        <v>20</v>
      </c>
      <c r="K102" s="49">
        <v>30</v>
      </c>
      <c r="L102" s="204">
        <v>0</v>
      </c>
      <c r="M102" s="285">
        <v>5.1999999999999998E-2</v>
      </c>
      <c r="N102" s="286">
        <v>0.86099999999999999</v>
      </c>
      <c r="O102" s="287">
        <v>25</v>
      </c>
      <c r="P102" s="288">
        <v>0.1</v>
      </c>
      <c r="Q102" s="54">
        <v>0</v>
      </c>
      <c r="R102" t="s">
        <v>98</v>
      </c>
      <c r="Y102" t="s">
        <v>567</v>
      </c>
      <c r="Z102" t="s">
        <v>684</v>
      </c>
    </row>
    <row r="103" spans="1:28" ht="86.4" x14ac:dyDescent="0.3">
      <c r="A103" s="40" t="s">
        <v>709</v>
      </c>
      <c r="B103" s="281" t="str">
        <f t="shared" si="10"/>
        <v>Технологический трубопровод подачи нефти от сепараторов С-1.1,С-1.2 в отстойник О-1.1 и О-1.2 (задв.№4-52,№-4-53)., нефть, попутный нефтяной газ, пластовая вода</v>
      </c>
      <c r="C103" s="289">
        <v>1</v>
      </c>
      <c r="D103">
        <v>1.6</v>
      </c>
      <c r="E103" s="294">
        <f t="shared" si="12"/>
        <v>1.6</v>
      </c>
      <c r="F103" s="289" t="s">
        <v>459</v>
      </c>
      <c r="G103">
        <v>0.35</v>
      </c>
      <c r="H103" s="278" t="s">
        <v>698</v>
      </c>
      <c r="I103" s="50">
        <f t="shared" si="11"/>
        <v>1.4137166941154067E-2</v>
      </c>
      <c r="J103" s="51">
        <v>20</v>
      </c>
      <c r="K103" s="49">
        <v>30</v>
      </c>
      <c r="L103" s="204">
        <v>0</v>
      </c>
      <c r="M103" s="285">
        <v>5.1999999999999998E-2</v>
      </c>
      <c r="N103" s="286">
        <v>0.86099999999999999</v>
      </c>
      <c r="O103" s="287">
        <v>25</v>
      </c>
      <c r="P103" s="288">
        <v>0.1</v>
      </c>
      <c r="Q103" s="54">
        <v>0</v>
      </c>
      <c r="R103" t="s">
        <v>98</v>
      </c>
      <c r="Y103" t="s">
        <v>568</v>
      </c>
      <c r="Z103" t="s">
        <v>684</v>
      </c>
    </row>
    <row r="104" spans="1:28" ht="86.4" x14ac:dyDescent="0.3">
      <c r="A104" s="40" t="s">
        <v>709</v>
      </c>
      <c r="B104" s="281" t="str">
        <f t="shared" si="1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04" s="289">
        <v>1</v>
      </c>
      <c r="D104" s="3">
        <v>4</v>
      </c>
      <c r="E104" s="294">
        <f t="shared" si="12"/>
        <v>4</v>
      </c>
      <c r="F104" s="289" t="s">
        <v>459</v>
      </c>
      <c r="G104">
        <v>0.25</v>
      </c>
      <c r="H104" s="278" t="s">
        <v>698</v>
      </c>
      <c r="I104" s="50">
        <f t="shared" si="11"/>
        <v>1.4137166941154067E-2</v>
      </c>
      <c r="J104" s="51">
        <v>20</v>
      </c>
      <c r="K104" s="49">
        <v>30</v>
      </c>
      <c r="L104" s="204">
        <v>0</v>
      </c>
      <c r="M104" s="285">
        <v>5.1999999999999998E-2</v>
      </c>
      <c r="N104" s="286">
        <v>0.86099999999999999</v>
      </c>
      <c r="O104" s="287">
        <v>25</v>
      </c>
      <c r="P104" s="288">
        <v>0.1</v>
      </c>
      <c r="Q104" s="54">
        <v>0</v>
      </c>
      <c r="R104" t="s">
        <v>98</v>
      </c>
      <c r="Y104" t="s">
        <v>569</v>
      </c>
      <c r="Z104" t="s">
        <v>684</v>
      </c>
    </row>
    <row r="105" spans="1:28" ht="57.6" x14ac:dyDescent="0.3">
      <c r="A105" s="40" t="s">
        <v>709</v>
      </c>
      <c r="B105" s="281" t="str">
        <f t="shared" si="10"/>
        <v>Технологический трубопровод выхода нефти из сепараторов С-2.1,С-2.2., нефть, попутный нефтяной газ, пластовая вода</v>
      </c>
      <c r="C105" s="289">
        <v>1</v>
      </c>
      <c r="D105">
        <v>0.4</v>
      </c>
      <c r="E105" s="294">
        <f t="shared" si="12"/>
        <v>0.4</v>
      </c>
      <c r="F105" s="289" t="s">
        <v>459</v>
      </c>
      <c r="G105">
        <v>0.15</v>
      </c>
      <c r="H105" s="278" t="s">
        <v>698</v>
      </c>
      <c r="I105" s="50">
        <f t="shared" si="11"/>
        <v>1.4137166941154067E-2</v>
      </c>
      <c r="J105" s="51">
        <v>20</v>
      </c>
      <c r="K105" s="49">
        <v>30</v>
      </c>
      <c r="L105" s="204">
        <v>0</v>
      </c>
      <c r="M105" s="285">
        <v>5.1999999999999998E-2</v>
      </c>
      <c r="N105" s="286">
        <v>0.86099999999999999</v>
      </c>
      <c r="O105" s="287">
        <v>25</v>
      </c>
      <c r="P105" s="288">
        <v>0.1</v>
      </c>
      <c r="Q105" s="54">
        <v>0</v>
      </c>
      <c r="R105" t="s">
        <v>98</v>
      </c>
      <c r="Y105" t="s">
        <v>570</v>
      </c>
      <c r="Z105" t="s">
        <v>684</v>
      </c>
    </row>
    <row r="106" spans="1:28" ht="72.599999999999994" thickBot="1" x14ac:dyDescent="0.35">
      <c r="A106" s="40" t="s">
        <v>709</v>
      </c>
      <c r="B106" s="281" t="str">
        <f t="shared" si="10"/>
        <v>Технологический трубопровод подачи нефти от трубопровода рег.№5 до задв.№2-3, №2-36), нефть, попутный нефтяной газ, пластовая вода</v>
      </c>
      <c r="C106" s="282">
        <v>1</v>
      </c>
      <c r="D106">
        <v>2.4</v>
      </c>
      <c r="E106" s="294">
        <f t="shared" si="12"/>
        <v>2.4</v>
      </c>
      <c r="F106" s="289" t="s">
        <v>459</v>
      </c>
      <c r="G106">
        <v>0.15</v>
      </c>
      <c r="H106" s="278" t="s">
        <v>698</v>
      </c>
      <c r="I106" s="50">
        <f t="shared" si="11"/>
        <v>1.4137166941154067E-2</v>
      </c>
      <c r="J106" s="51">
        <v>20</v>
      </c>
      <c r="K106" s="49">
        <v>30</v>
      </c>
      <c r="L106" s="204">
        <v>0</v>
      </c>
      <c r="M106" s="285">
        <v>5.1999999999999998E-2</v>
      </c>
      <c r="N106" s="286">
        <v>0.86099999999999999</v>
      </c>
      <c r="O106" s="287">
        <v>25</v>
      </c>
      <c r="P106" s="288">
        <v>0.1</v>
      </c>
      <c r="Q106" s="54">
        <v>0</v>
      </c>
      <c r="R106" t="s">
        <v>98</v>
      </c>
      <c r="Y106" t="s">
        <v>571</v>
      </c>
      <c r="Z106" t="s">
        <v>684</v>
      </c>
    </row>
    <row r="107" spans="1:28" ht="72.599999999999994" thickBot="1" x14ac:dyDescent="0.35">
      <c r="A107" s="40" t="s">
        <v>709</v>
      </c>
      <c r="B107" s="281" t="str">
        <f t="shared" si="10"/>
        <v>Технологический трубопровод подачи нефти от трубопровода рег.№5 в резервуар РВС №6 (от задв.№5-29 до задв.№2-4), нефть, пластовая вода</v>
      </c>
      <c r="C107" s="282">
        <v>1</v>
      </c>
      <c r="D107" s="3">
        <v>1</v>
      </c>
      <c r="E107" s="294">
        <f t="shared" si="12"/>
        <v>1</v>
      </c>
      <c r="F107" s="40" t="s">
        <v>374</v>
      </c>
      <c r="G107">
        <v>0.1</v>
      </c>
      <c r="H107" s="278" t="s">
        <v>698</v>
      </c>
      <c r="I107" s="50">
        <f t="shared" si="11"/>
        <v>1.4137166941154067E-2</v>
      </c>
      <c r="J107" s="51">
        <v>20</v>
      </c>
      <c r="K107" s="49">
        <v>30</v>
      </c>
      <c r="L107" s="204">
        <v>0</v>
      </c>
      <c r="M107" s="285">
        <v>5.1999999999999998E-2</v>
      </c>
      <c r="N107" s="286">
        <v>0.86099999999999999</v>
      </c>
      <c r="O107" s="287">
        <v>25</v>
      </c>
      <c r="P107" s="288">
        <v>0.1</v>
      </c>
      <c r="Q107" s="54">
        <v>0</v>
      </c>
      <c r="R107" t="s">
        <v>98</v>
      </c>
      <c r="T107" s="269" t="s">
        <v>369</v>
      </c>
      <c r="U107" s="270"/>
      <c r="V107" s="271"/>
      <c r="W107" s="268" t="s">
        <v>377</v>
      </c>
      <c r="Y107" t="s">
        <v>572</v>
      </c>
      <c r="Z107" t="s">
        <v>673</v>
      </c>
      <c r="AA107" s="268" t="s">
        <v>381</v>
      </c>
    </row>
    <row r="108" spans="1:28" ht="57.6" x14ac:dyDescent="0.3">
      <c r="A108" s="40" t="s">
        <v>709</v>
      </c>
      <c r="B108" s="281" t="str">
        <f t="shared" si="10"/>
        <v>Технологический трубопровод подачи нефти в резервуар РВС №5 (от задв.№2-2 до задв.№2-12), нефть, пластовая вода</v>
      </c>
      <c r="C108" s="282">
        <v>1</v>
      </c>
      <c r="D108">
        <v>0.43</v>
      </c>
      <c r="E108" s="294">
        <f t="shared" si="12"/>
        <v>0.43</v>
      </c>
      <c r="F108" s="40" t="s">
        <v>374</v>
      </c>
      <c r="G108">
        <v>0.1</v>
      </c>
      <c r="H108" s="278" t="s">
        <v>698</v>
      </c>
      <c r="I108" s="50">
        <f t="shared" si="11"/>
        <v>1.4137166941154067E-2</v>
      </c>
      <c r="J108" s="51">
        <v>20</v>
      </c>
      <c r="K108" s="49">
        <v>30</v>
      </c>
      <c r="L108" s="204">
        <v>0</v>
      </c>
      <c r="M108" s="285">
        <v>5.1999999999999998E-2</v>
      </c>
      <c r="N108" s="286">
        <v>0.86099999999999999</v>
      </c>
      <c r="O108" s="287">
        <v>25</v>
      </c>
      <c r="P108" s="288">
        <v>0.1</v>
      </c>
      <c r="Q108" s="54">
        <v>0</v>
      </c>
      <c r="R108" t="s">
        <v>98</v>
      </c>
      <c r="T108" s="268" t="s">
        <v>370</v>
      </c>
      <c r="U108" s="16">
        <v>50</v>
      </c>
      <c r="V108" s="268" t="s">
        <v>371</v>
      </c>
      <c r="W108" s="16">
        <v>0.1</v>
      </c>
      <c r="Y108" t="s">
        <v>573</v>
      </c>
      <c r="Z108" t="s">
        <v>673</v>
      </c>
      <c r="AA108" s="272" t="e">
        <f>(($U$108/1000)*W108*POWER(10,6)/(8.31*($Y$108+273)))</f>
        <v>#VALUE!</v>
      </c>
      <c r="AB108" s="268" t="s">
        <v>382</v>
      </c>
    </row>
    <row r="109" spans="1:28" ht="86.4" x14ac:dyDescent="0.3">
      <c r="A109" s="40" t="s">
        <v>709</v>
      </c>
      <c r="B109" s="281" t="str">
        <f t="shared" si="10"/>
        <v>Технологический трубопровод подачи нефти в трубопровод рег.№10 (на прием сырьевых насосов Н-1.1 зав.№1-23, Н-1.2 задв.№1-21), нефть, пластовая вода</v>
      </c>
      <c r="C109" s="282">
        <v>1</v>
      </c>
      <c r="D109">
        <v>1.56</v>
      </c>
      <c r="E109" s="294">
        <f t="shared" si="12"/>
        <v>1.56</v>
      </c>
      <c r="F109" s="40" t="s">
        <v>374</v>
      </c>
      <c r="G109">
        <v>0.5</v>
      </c>
      <c r="H109" s="278" t="s">
        <v>698</v>
      </c>
      <c r="I109" s="50">
        <f t="shared" si="11"/>
        <v>1.4137166941154067E-2</v>
      </c>
      <c r="J109" s="51">
        <v>20</v>
      </c>
      <c r="K109" s="49">
        <v>30</v>
      </c>
      <c r="L109" s="204">
        <v>0</v>
      </c>
      <c r="M109" s="285">
        <v>5.1999999999999998E-2</v>
      </c>
      <c r="N109" s="286">
        <v>0.86099999999999999</v>
      </c>
      <c r="O109" s="287">
        <v>25</v>
      </c>
      <c r="P109" s="288">
        <v>0.1</v>
      </c>
      <c r="Q109" s="54">
        <v>0</v>
      </c>
      <c r="R109" t="s">
        <v>98</v>
      </c>
      <c r="W109" s="16">
        <v>0.2</v>
      </c>
      <c r="Y109" t="s">
        <v>574</v>
      </c>
      <c r="Z109" t="s">
        <v>673</v>
      </c>
      <c r="AA109" s="272" t="e">
        <f t="shared" ref="AA109:AA127" si="13">(($U$108/1000)*W109*POWER(10,6)/(8.31*($Y$108+273)))</f>
        <v>#VALUE!</v>
      </c>
    </row>
    <row r="110" spans="1:28" ht="72" x14ac:dyDescent="0.3">
      <c r="A110" s="40" t="s">
        <v>709</v>
      </c>
      <c r="B110" s="281" t="str">
        <f t="shared" si="10"/>
        <v>Технологический трубопровод подачи нефти из резервуара РВС №6 (задв. №2-7, №2-8) на прием сырьевых насосов Н-1.1, Н-1.2, нефть</v>
      </c>
      <c r="C110" s="282">
        <v>1</v>
      </c>
      <c r="D110">
        <v>0.61</v>
      </c>
      <c r="E110" s="294">
        <f t="shared" si="12"/>
        <v>0.61</v>
      </c>
      <c r="F110" s="40" t="s">
        <v>374</v>
      </c>
      <c r="G110">
        <v>0.1</v>
      </c>
      <c r="H110" s="278" t="s">
        <v>698</v>
      </c>
      <c r="I110" s="50">
        <f t="shared" si="11"/>
        <v>1.4137166941154067E-2</v>
      </c>
      <c r="J110" s="51">
        <v>20</v>
      </c>
      <c r="K110" s="49">
        <v>30</v>
      </c>
      <c r="L110" s="204">
        <v>0</v>
      </c>
      <c r="M110" s="285">
        <v>5.1999999999999998E-2</v>
      </c>
      <c r="N110" s="286">
        <v>0.86099999999999999</v>
      </c>
      <c r="O110" s="287">
        <v>25</v>
      </c>
      <c r="P110" s="288">
        <v>0.1</v>
      </c>
      <c r="Q110" s="54">
        <v>0</v>
      </c>
      <c r="R110" t="s">
        <v>98</v>
      </c>
      <c r="W110" s="16">
        <v>0.3</v>
      </c>
      <c r="Y110" t="s">
        <v>575</v>
      </c>
      <c r="Z110" t="s">
        <v>98</v>
      </c>
      <c r="AA110" s="272" t="e">
        <f t="shared" si="13"/>
        <v>#VALUE!</v>
      </c>
    </row>
    <row r="111" spans="1:28" ht="57.6" x14ac:dyDescent="0.3">
      <c r="A111" s="40" t="s">
        <v>709</v>
      </c>
      <c r="B111" s="281" t="str">
        <f t="shared" si="10"/>
        <v>Технологический трубопровод подачи нефти из резервуара РВС №5 (задв.№2-15,№2-16) в трубопровод рег№10, нефть</v>
      </c>
      <c r="C111" s="282">
        <v>1</v>
      </c>
      <c r="D111" s="3">
        <v>1.73</v>
      </c>
      <c r="E111" s="294">
        <f t="shared" si="12"/>
        <v>1.73</v>
      </c>
      <c r="F111" s="40" t="s">
        <v>374</v>
      </c>
      <c r="G111">
        <v>0.1</v>
      </c>
      <c r="H111" s="278" t="s">
        <v>698</v>
      </c>
      <c r="I111" s="50">
        <f t="shared" si="11"/>
        <v>1.4137166941154067E-2</v>
      </c>
      <c r="J111" s="51">
        <v>20</v>
      </c>
      <c r="K111" s="49">
        <v>30</v>
      </c>
      <c r="L111" s="204">
        <v>0</v>
      </c>
      <c r="M111" s="285">
        <v>5.1999999999999998E-2</v>
      </c>
      <c r="N111" s="286">
        <v>0.86099999999999999</v>
      </c>
      <c r="O111" s="287">
        <v>25</v>
      </c>
      <c r="P111" s="288">
        <v>0.1</v>
      </c>
      <c r="Q111" s="54">
        <v>0</v>
      </c>
      <c r="R111" t="s">
        <v>98</v>
      </c>
      <c r="W111" s="16">
        <v>0.4</v>
      </c>
      <c r="Y111" t="s">
        <v>576</v>
      </c>
      <c r="Z111" t="s">
        <v>98</v>
      </c>
      <c r="AA111" s="272" t="e">
        <f t="shared" si="13"/>
        <v>#VALUE!</v>
      </c>
    </row>
    <row r="112" spans="1:28" ht="43.2" x14ac:dyDescent="0.3">
      <c r="A112" s="40" t="s">
        <v>709</v>
      </c>
      <c r="B112" s="281" t="str">
        <f t="shared" si="10"/>
        <v>Технологический трубопровод подачи нефти насосом Н-1.1, Н-1.2 в теплообменник Т-1., нефть</v>
      </c>
      <c r="C112" s="283">
        <v>1</v>
      </c>
      <c r="D112">
        <v>2.1</v>
      </c>
      <c r="E112" s="294">
        <f t="shared" si="12"/>
        <v>2.1</v>
      </c>
      <c r="F112" s="40" t="s">
        <v>374</v>
      </c>
      <c r="G112">
        <v>0.8</v>
      </c>
      <c r="H112" s="278" t="s">
        <v>698</v>
      </c>
      <c r="I112" s="50">
        <f t="shared" si="11"/>
        <v>1.4137166941154067E-2</v>
      </c>
      <c r="J112" s="51">
        <v>20</v>
      </c>
      <c r="K112" s="49">
        <v>30</v>
      </c>
      <c r="L112" s="204">
        <v>0</v>
      </c>
      <c r="M112" s="285">
        <v>5.1999999999999998E-2</v>
      </c>
      <c r="N112" s="286">
        <v>0.86099999999999999</v>
      </c>
      <c r="O112" s="287">
        <v>25</v>
      </c>
      <c r="P112" s="288">
        <v>0.1</v>
      </c>
      <c r="Q112" s="54">
        <v>0</v>
      </c>
      <c r="R112" t="s">
        <v>98</v>
      </c>
      <c r="W112" s="16">
        <v>0.5</v>
      </c>
      <c r="Y112" t="s">
        <v>577</v>
      </c>
      <c r="Z112" t="s">
        <v>98</v>
      </c>
      <c r="AA112" s="272" t="e">
        <f t="shared" si="13"/>
        <v>#VALUE!</v>
      </c>
    </row>
    <row r="113" spans="1:27" ht="43.2" x14ac:dyDescent="0.3">
      <c r="A113" s="40" t="s">
        <v>709</v>
      </c>
      <c r="B113" s="281" t="str">
        <f t="shared" si="10"/>
        <v>Технологический трубопровод подачи нефти насосом Н-1.2 в трубопровод рег.№12., нефть</v>
      </c>
      <c r="C113" s="289">
        <v>1</v>
      </c>
      <c r="D113">
        <v>0.21</v>
      </c>
      <c r="E113" s="294">
        <f t="shared" si="12"/>
        <v>0.21</v>
      </c>
      <c r="F113" s="40" t="s">
        <v>374</v>
      </c>
      <c r="G113">
        <v>0.8</v>
      </c>
      <c r="H113" s="278" t="s">
        <v>698</v>
      </c>
      <c r="I113" s="50">
        <f t="shared" si="11"/>
        <v>1.4137166941154067E-2</v>
      </c>
      <c r="J113" s="51">
        <v>20</v>
      </c>
      <c r="K113" s="49">
        <v>30</v>
      </c>
      <c r="L113" s="204">
        <v>0</v>
      </c>
      <c r="M113" s="285">
        <v>5.1999999999999998E-2</v>
      </c>
      <c r="N113" s="286">
        <v>0.86099999999999999</v>
      </c>
      <c r="O113" s="287">
        <v>25</v>
      </c>
      <c r="P113" s="288">
        <v>0.1</v>
      </c>
      <c r="Q113" s="54">
        <v>0</v>
      </c>
      <c r="R113" t="s">
        <v>98</v>
      </c>
      <c r="W113" s="16">
        <v>0.6</v>
      </c>
      <c r="Y113" t="s">
        <v>578</v>
      </c>
      <c r="Z113" t="s">
        <v>98</v>
      </c>
      <c r="AA113" s="272" t="e">
        <f t="shared" si="13"/>
        <v>#VALUE!</v>
      </c>
    </row>
    <row r="114" spans="1:27" ht="43.2" x14ac:dyDescent="0.3">
      <c r="A114" s="40" t="s">
        <v>709</v>
      </c>
      <c r="B114" s="281" t="str">
        <f t="shared" si="10"/>
        <v>Технологический трубопровод подачи нефти из теплообменника Т-1 в печи ППН №1,№2., нефть</v>
      </c>
      <c r="C114" s="289">
        <v>1</v>
      </c>
      <c r="D114">
        <v>0.81</v>
      </c>
      <c r="E114" s="294">
        <f t="shared" si="12"/>
        <v>0.81</v>
      </c>
      <c r="F114" s="40" t="s">
        <v>374</v>
      </c>
      <c r="G114">
        <v>0.8</v>
      </c>
      <c r="H114" s="278" t="s">
        <v>698</v>
      </c>
      <c r="I114" s="50">
        <f t="shared" si="11"/>
        <v>1.4137166941154067E-2</v>
      </c>
      <c r="J114" s="51">
        <v>20</v>
      </c>
      <c r="K114" s="49">
        <v>30</v>
      </c>
      <c r="L114" s="204">
        <v>0</v>
      </c>
      <c r="M114" s="285">
        <v>5.1999999999999998E-2</v>
      </c>
      <c r="N114" s="286">
        <v>0.86099999999999999</v>
      </c>
      <c r="O114" s="287">
        <v>25</v>
      </c>
      <c r="P114" s="288">
        <v>0.1</v>
      </c>
      <c r="Q114" s="54">
        <v>0</v>
      </c>
      <c r="R114" t="s">
        <v>98</v>
      </c>
      <c r="W114" s="16">
        <v>0.7</v>
      </c>
      <c r="Y114" t="s">
        <v>579</v>
      </c>
      <c r="Z114" t="s">
        <v>98</v>
      </c>
      <c r="AA114" s="272" t="e">
        <f t="shared" si="13"/>
        <v>#VALUE!</v>
      </c>
    </row>
    <row r="115" spans="1:27" ht="86.4" x14ac:dyDescent="0.3">
      <c r="A115" s="40" t="s">
        <v>709</v>
      </c>
      <c r="B115" s="281" t="str">
        <f t="shared" si="10"/>
        <v>Технологический трубопровод подачи нефти горячей нефти из печи ППН №1 в отстойники О-2 (задв.№8-1,№8-2),О-3 (задв.№8-17, 8-18), О-4(задв.№8-33,№8-34), нефть</v>
      </c>
      <c r="C115" s="289">
        <v>1</v>
      </c>
      <c r="D115" s="3">
        <v>1</v>
      </c>
      <c r="E115" s="294">
        <f t="shared" si="12"/>
        <v>1</v>
      </c>
      <c r="F115" s="40" t="s">
        <v>374</v>
      </c>
      <c r="G115">
        <v>0.8</v>
      </c>
      <c r="H115" s="278" t="s">
        <v>698</v>
      </c>
      <c r="I115" s="50">
        <f t="shared" si="11"/>
        <v>1.4137166941154067E-2</v>
      </c>
      <c r="J115" s="51">
        <v>20</v>
      </c>
      <c r="K115" s="49">
        <v>30</v>
      </c>
      <c r="L115" s="204">
        <v>0</v>
      </c>
      <c r="M115" s="285">
        <v>5.1999999999999998E-2</v>
      </c>
      <c r="N115" s="286">
        <v>0.86099999999999999</v>
      </c>
      <c r="O115" s="287">
        <v>25</v>
      </c>
      <c r="P115" s="288">
        <v>0.1</v>
      </c>
      <c r="Q115" s="54">
        <v>0</v>
      </c>
      <c r="R115" t="s">
        <v>98</v>
      </c>
      <c r="W115" s="16">
        <v>0.8</v>
      </c>
      <c r="Y115" t="s">
        <v>580</v>
      </c>
      <c r="Z115" t="s">
        <v>98</v>
      </c>
      <c r="AA115" s="272" t="e">
        <f t="shared" si="13"/>
        <v>#VALUE!</v>
      </c>
    </row>
    <row r="116" spans="1:27" ht="43.2" x14ac:dyDescent="0.3">
      <c r="A116" s="40" t="s">
        <v>709</v>
      </c>
      <c r="B116" s="281" t="str">
        <f t="shared" si="10"/>
        <v>Технологический трубопровод подачи нефти из отстойника О-2 в трубопровод рег.№15., нефть</v>
      </c>
      <c r="C116" s="289">
        <v>1</v>
      </c>
      <c r="D116">
        <v>0.11</v>
      </c>
      <c r="E116" s="294">
        <f t="shared" si="12"/>
        <v>0.11</v>
      </c>
      <c r="F116" s="40" t="s">
        <v>374</v>
      </c>
      <c r="G116">
        <v>0.6</v>
      </c>
      <c r="H116" s="278" t="s">
        <v>698</v>
      </c>
      <c r="I116" s="50">
        <f t="shared" si="11"/>
        <v>1.4137166941154067E-2</v>
      </c>
      <c r="J116" s="51">
        <v>20</v>
      </c>
      <c r="K116" s="49">
        <v>30</v>
      </c>
      <c r="L116" s="204">
        <v>0</v>
      </c>
      <c r="M116" s="285">
        <v>5.1999999999999998E-2</v>
      </c>
      <c r="N116" s="286">
        <v>0.86099999999999999</v>
      </c>
      <c r="O116" s="287">
        <v>25</v>
      </c>
      <c r="P116" s="288">
        <v>0.1</v>
      </c>
      <c r="Q116" s="54">
        <v>0</v>
      </c>
      <c r="R116" t="s">
        <v>98</v>
      </c>
      <c r="W116" s="16">
        <v>0.9</v>
      </c>
      <c r="Y116" t="s">
        <v>581</v>
      </c>
      <c r="Z116" t="s">
        <v>98</v>
      </c>
      <c r="AA116" s="272" t="e">
        <f t="shared" si="13"/>
        <v>#VALUE!</v>
      </c>
    </row>
    <row r="117" spans="1:27" ht="43.2" x14ac:dyDescent="0.3">
      <c r="A117" s="40" t="s">
        <v>709</v>
      </c>
      <c r="B117" s="281" t="str">
        <f t="shared" si="10"/>
        <v>Технологический трубопровод подачи нефти из отстойника О-3 в трубопровод рег.№15, нефть</v>
      </c>
      <c r="C117" s="289">
        <v>1</v>
      </c>
      <c r="D117">
        <v>0.11</v>
      </c>
      <c r="E117" s="294">
        <f t="shared" si="12"/>
        <v>0.11</v>
      </c>
      <c r="F117" s="40" t="s">
        <v>374</v>
      </c>
      <c r="G117">
        <v>0.6</v>
      </c>
      <c r="H117" s="278" t="s">
        <v>698</v>
      </c>
      <c r="I117" s="50">
        <f t="shared" si="11"/>
        <v>1.4137166941154067E-2</v>
      </c>
      <c r="J117" s="51">
        <v>20</v>
      </c>
      <c r="K117" s="49">
        <v>30</v>
      </c>
      <c r="L117" s="204">
        <v>0</v>
      </c>
      <c r="M117" s="285">
        <v>5.1999999999999998E-2</v>
      </c>
      <c r="N117" s="286">
        <v>0.86099999999999999</v>
      </c>
      <c r="O117" s="287">
        <v>25</v>
      </c>
      <c r="P117" s="288">
        <v>0.1</v>
      </c>
      <c r="Q117" s="54">
        <v>0</v>
      </c>
      <c r="R117" t="s">
        <v>98</v>
      </c>
      <c r="W117" s="16">
        <v>1</v>
      </c>
      <c r="Y117" t="s">
        <v>582</v>
      </c>
      <c r="Z117" t="s">
        <v>98</v>
      </c>
      <c r="AA117" s="272" t="e">
        <f t="shared" si="13"/>
        <v>#VALUE!</v>
      </c>
    </row>
    <row r="118" spans="1:27" ht="72" x14ac:dyDescent="0.3">
      <c r="A118" s="40" t="s">
        <v>709</v>
      </c>
      <c r="B118" s="281" t="str">
        <f t="shared" si="10"/>
        <v>Технологический трубопровод воз-врата горячей нефти от трубопровода рег.№15 (задв.№7-12) В отстойники О-1.1,О-1.2, в трубопровод рег.№7, нефть</v>
      </c>
      <c r="C118" s="289">
        <v>1</v>
      </c>
      <c r="D118">
        <v>1.1000000000000001</v>
      </c>
      <c r="E118" s="294">
        <f t="shared" si="12"/>
        <v>1.1000000000000001</v>
      </c>
      <c r="F118" s="40" t="s">
        <v>374</v>
      </c>
      <c r="G118">
        <v>0.6</v>
      </c>
      <c r="H118" s="278" t="s">
        <v>698</v>
      </c>
      <c r="I118" s="50">
        <f t="shared" si="11"/>
        <v>1.4137166941154067E-2</v>
      </c>
      <c r="J118" s="51">
        <v>20</v>
      </c>
      <c r="K118" s="49">
        <v>30</v>
      </c>
      <c r="L118" s="204">
        <v>0</v>
      </c>
      <c r="M118" s="285">
        <v>5.1999999999999998E-2</v>
      </c>
      <c r="N118" s="286">
        <v>0.86099999999999999</v>
      </c>
      <c r="O118" s="287">
        <v>25</v>
      </c>
      <c r="P118" s="288">
        <v>0.1</v>
      </c>
      <c r="Q118" s="54">
        <v>0</v>
      </c>
      <c r="R118" t="s">
        <v>98</v>
      </c>
      <c r="W118" s="16">
        <v>1.1000000000000001</v>
      </c>
      <c r="Y118" t="s">
        <v>583</v>
      </c>
      <c r="Z118" t="s">
        <v>98</v>
      </c>
      <c r="AA118" s="272" t="e">
        <f t="shared" si="13"/>
        <v>#VALUE!</v>
      </c>
    </row>
    <row r="119" spans="1:27" ht="43.2" x14ac:dyDescent="0.3">
      <c r="A119" s="40" t="s">
        <v>709</v>
      </c>
      <c r="B119" s="281" t="str">
        <f t="shared" si="10"/>
        <v>Технологический трубопровод подачи горячей нефти из печи ППН №2 в трубопровод рег.№15, нефть</v>
      </c>
      <c r="C119" s="282">
        <v>1</v>
      </c>
      <c r="D119">
        <v>0.45</v>
      </c>
      <c r="E119" s="294">
        <f t="shared" si="12"/>
        <v>0.45</v>
      </c>
      <c r="F119" s="40" t="s">
        <v>374</v>
      </c>
      <c r="G119">
        <v>0.6</v>
      </c>
      <c r="H119" s="278" t="s">
        <v>698</v>
      </c>
      <c r="I119" s="50">
        <f t="shared" si="11"/>
        <v>1.4137166941154067E-2</v>
      </c>
      <c r="J119" s="51">
        <v>20</v>
      </c>
      <c r="K119" s="49">
        <v>30</v>
      </c>
      <c r="L119" s="204">
        <v>0</v>
      </c>
      <c r="M119" s="285">
        <v>5.1999999999999998E-2</v>
      </c>
      <c r="N119" s="286">
        <v>0.86099999999999999</v>
      </c>
      <c r="O119" s="287">
        <v>25</v>
      </c>
      <c r="P119" s="288">
        <v>0.1</v>
      </c>
      <c r="Q119" s="54">
        <v>0</v>
      </c>
      <c r="R119" t="s">
        <v>98</v>
      </c>
      <c r="W119" s="16">
        <v>1.2</v>
      </c>
      <c r="Y119" t="s">
        <v>584</v>
      </c>
      <c r="Z119" t="s">
        <v>98</v>
      </c>
      <c r="AA119" s="272" t="e">
        <f t="shared" si="13"/>
        <v>#VALUE!</v>
      </c>
    </row>
    <row r="120" spans="1:27" ht="86.4" x14ac:dyDescent="0.3">
      <c r="A120" s="40" t="s">
        <v>709</v>
      </c>
      <c r="B120" s="281" t="str">
        <f t="shared" si="10"/>
        <v>Технологический трубопровод подачи нефти из отстойника О-4 в межтрубное пространство теплообменника Т-1(задв.№6-3,№6-7,№6-11,№6-15,№6-17), нефть</v>
      </c>
      <c r="C120" s="282">
        <v>1</v>
      </c>
      <c r="D120">
        <v>1.25</v>
      </c>
      <c r="E120" s="294">
        <f t="shared" si="12"/>
        <v>1.25</v>
      </c>
      <c r="F120" s="40" t="s">
        <v>374</v>
      </c>
      <c r="G120">
        <v>0.6</v>
      </c>
      <c r="H120" s="278" t="s">
        <v>698</v>
      </c>
      <c r="I120" s="50">
        <f t="shared" si="11"/>
        <v>1.4137166941154067E-2</v>
      </c>
      <c r="J120" s="51">
        <v>20</v>
      </c>
      <c r="K120" s="49">
        <v>30</v>
      </c>
      <c r="L120" s="204">
        <v>0</v>
      </c>
      <c r="M120" s="285">
        <v>5.1999999999999998E-2</v>
      </c>
      <c r="N120" s="286">
        <v>0.86099999999999999</v>
      </c>
      <c r="O120" s="287">
        <v>25</v>
      </c>
      <c r="P120" s="288">
        <v>0.1</v>
      </c>
      <c r="Q120" s="54">
        <v>0</v>
      </c>
      <c r="R120" t="s">
        <v>98</v>
      </c>
      <c r="W120" s="16">
        <v>1.3</v>
      </c>
      <c r="Y120" t="s">
        <v>585</v>
      </c>
      <c r="Z120" t="s">
        <v>98</v>
      </c>
      <c r="AA120" s="272" t="e">
        <f t="shared" si="13"/>
        <v>#VALUE!</v>
      </c>
    </row>
    <row r="121" spans="1:27" ht="72" x14ac:dyDescent="0.3">
      <c r="A121" s="40" t="s">
        <v>709</v>
      </c>
      <c r="B121" s="281" t="str">
        <f t="shared" si="10"/>
        <v>Технологический трубопровод подачи нефти из межтрубного пространства теплообменника Т-1 (задв.№6-2,№6-10,№6-14) в БКН., нефть</v>
      </c>
      <c r="C121" s="282">
        <v>1</v>
      </c>
      <c r="D121">
        <v>0.25</v>
      </c>
      <c r="E121" s="294">
        <f t="shared" si="12"/>
        <v>0.25</v>
      </c>
      <c r="F121" s="40" t="s">
        <v>374</v>
      </c>
      <c r="G121">
        <v>0.6</v>
      </c>
      <c r="H121" s="278" t="s">
        <v>698</v>
      </c>
      <c r="I121" s="50">
        <f t="shared" si="11"/>
        <v>1.4137166941154067E-2</v>
      </c>
      <c r="J121" s="51">
        <v>20</v>
      </c>
      <c r="K121" s="49">
        <v>30</v>
      </c>
      <c r="L121" s="204">
        <v>0</v>
      </c>
      <c r="M121" s="285">
        <v>5.1999999999999998E-2</v>
      </c>
      <c r="N121" s="286">
        <v>0.86099999999999999</v>
      </c>
      <c r="O121" s="287">
        <v>25</v>
      </c>
      <c r="P121" s="288">
        <v>0.1</v>
      </c>
      <c r="Q121" s="54">
        <v>0</v>
      </c>
      <c r="R121" t="s">
        <v>98</v>
      </c>
      <c r="W121" s="16">
        <v>1.4</v>
      </c>
      <c r="Y121" t="s">
        <v>586</v>
      </c>
      <c r="Z121" t="s">
        <v>98</v>
      </c>
      <c r="AA121" s="272" t="e">
        <f t="shared" si="13"/>
        <v>#VALUE!</v>
      </c>
    </row>
    <row r="122" spans="1:27" ht="72" x14ac:dyDescent="0.3">
      <c r="A122" s="40" t="s">
        <v>709</v>
      </c>
      <c r="B122" s="281" t="str">
        <f t="shared" si="10"/>
        <v>Технологический трубопровод подачи нефти от трубопровода рег.№21 в концевой сепаратор С-3.2, в трубопровод рег.№23 (задв.№5-5), нефть</v>
      </c>
      <c r="C122" s="282">
        <v>1</v>
      </c>
      <c r="D122">
        <v>1.22</v>
      </c>
      <c r="E122" s="294">
        <f t="shared" si="12"/>
        <v>1.22</v>
      </c>
      <c r="F122" s="40" t="s">
        <v>374</v>
      </c>
      <c r="G122">
        <v>0.4</v>
      </c>
      <c r="H122" s="278" t="s">
        <v>698</v>
      </c>
      <c r="I122" s="50">
        <f t="shared" si="11"/>
        <v>1.4137166941154067E-2</v>
      </c>
      <c r="J122" s="51">
        <v>20</v>
      </c>
      <c r="K122" s="49">
        <v>30</v>
      </c>
      <c r="L122" s="204">
        <v>0</v>
      </c>
      <c r="M122" s="285">
        <v>5.1999999999999998E-2</v>
      </c>
      <c r="N122" s="286">
        <v>0.86099999999999999</v>
      </c>
      <c r="O122" s="287">
        <v>25</v>
      </c>
      <c r="P122" s="288">
        <v>0.1</v>
      </c>
      <c r="Q122" s="54">
        <v>0</v>
      </c>
      <c r="R122" t="s">
        <v>98</v>
      </c>
      <c r="W122" s="16">
        <v>1.5</v>
      </c>
      <c r="Y122" t="s">
        <v>587</v>
      </c>
      <c r="Z122" t="s">
        <v>98</v>
      </c>
      <c r="AA122" s="272" t="e">
        <f t="shared" si="13"/>
        <v>#VALUE!</v>
      </c>
    </row>
    <row r="123" spans="1:27" ht="57.6" x14ac:dyDescent="0.3">
      <c r="A123" s="40" t="s">
        <v>709</v>
      </c>
      <c r="B123" s="281" t="str">
        <f t="shared" si="10"/>
        <v>Технологический трубопровод подачи нефти от трубопроводов рег.№22,рег.№4 в сепаратор С-2.2, нефть</v>
      </c>
      <c r="C123" s="282">
        <v>1</v>
      </c>
      <c r="D123">
        <v>0.34</v>
      </c>
      <c r="E123" s="294">
        <f t="shared" si="12"/>
        <v>0.34</v>
      </c>
      <c r="F123" s="40" t="s">
        <v>374</v>
      </c>
      <c r="G123">
        <v>0.4</v>
      </c>
      <c r="H123" s="278" t="s">
        <v>698</v>
      </c>
      <c r="I123" s="50">
        <f t="shared" si="11"/>
        <v>1.4137166941154067E-2</v>
      </c>
      <c r="J123" s="51">
        <v>20</v>
      </c>
      <c r="K123" s="49">
        <v>30</v>
      </c>
      <c r="L123" s="204">
        <v>0</v>
      </c>
      <c r="M123" s="285">
        <v>5.1999999999999998E-2</v>
      </c>
      <c r="N123" s="286">
        <v>0.86099999999999999</v>
      </c>
      <c r="O123" s="287">
        <v>25</v>
      </c>
      <c r="P123" s="288">
        <v>0.1</v>
      </c>
      <c r="Q123" s="54">
        <v>0</v>
      </c>
      <c r="R123" t="s">
        <v>98</v>
      </c>
      <c r="W123" s="16">
        <v>1.6</v>
      </c>
      <c r="Y123" t="s">
        <v>588</v>
      </c>
      <c r="Z123" t="s">
        <v>98</v>
      </c>
      <c r="AA123" s="272" t="e">
        <f t="shared" si="13"/>
        <v>#VALUE!</v>
      </c>
    </row>
    <row r="124" spans="1:27" ht="57.6" x14ac:dyDescent="0.3">
      <c r="A124" s="40" t="s">
        <v>709</v>
      </c>
      <c r="B124" s="281" t="str">
        <f t="shared" si="10"/>
        <v>Технологический трубопровод подачи нефти из сепаратора С-3.2 в трубопроводы рег.№7,рег.№25,рег.№26, нефть</v>
      </c>
      <c r="C124" s="282">
        <v>1</v>
      </c>
      <c r="D124">
        <v>0.2</v>
      </c>
      <c r="E124" s="294">
        <f t="shared" si="12"/>
        <v>0.2</v>
      </c>
      <c r="F124" s="40" t="s">
        <v>374</v>
      </c>
      <c r="G124">
        <v>0.2</v>
      </c>
      <c r="H124" s="278" t="s">
        <v>698</v>
      </c>
      <c r="I124" s="50">
        <f t="shared" si="11"/>
        <v>1.4137166941154067E-2</v>
      </c>
      <c r="J124" s="51">
        <v>20</v>
      </c>
      <c r="K124" s="49">
        <v>30</v>
      </c>
      <c r="L124" s="204">
        <v>0</v>
      </c>
      <c r="M124" s="285">
        <v>5.1999999999999998E-2</v>
      </c>
      <c r="N124" s="286">
        <v>0.86099999999999999</v>
      </c>
      <c r="O124" s="287">
        <v>25</v>
      </c>
      <c r="P124" s="288">
        <v>0.1</v>
      </c>
      <c r="Q124" s="54">
        <v>0</v>
      </c>
      <c r="R124" t="s">
        <v>98</v>
      </c>
      <c r="W124" s="16">
        <v>1.7</v>
      </c>
      <c r="Y124" t="s">
        <v>589</v>
      </c>
      <c r="Z124" t="s">
        <v>98</v>
      </c>
      <c r="AA124" s="272" t="e">
        <f t="shared" si="13"/>
        <v>#VALUE!</v>
      </c>
    </row>
    <row r="125" spans="1:27" ht="43.2" x14ac:dyDescent="0.3">
      <c r="A125" s="40" t="s">
        <v>709</v>
      </c>
      <c r="B125" s="281" t="str">
        <f t="shared" si="10"/>
        <v>Технологический трубопровод подачи нефти от трубопровода рег.№24 в О-5., нефть</v>
      </c>
      <c r="C125" s="283">
        <v>1</v>
      </c>
      <c r="D125">
        <v>1.2</v>
      </c>
      <c r="E125" s="294">
        <f t="shared" si="12"/>
        <v>1.2</v>
      </c>
      <c r="F125" s="40" t="s">
        <v>374</v>
      </c>
      <c r="G125">
        <v>0.2</v>
      </c>
      <c r="H125" s="278" t="s">
        <v>698</v>
      </c>
      <c r="I125" s="50">
        <f t="shared" si="11"/>
        <v>1.4137166941154067E-2</v>
      </c>
      <c r="J125" s="51">
        <v>20</v>
      </c>
      <c r="K125" s="49">
        <v>30</v>
      </c>
      <c r="L125" s="204">
        <v>0</v>
      </c>
      <c r="M125" s="285">
        <v>5.1999999999999998E-2</v>
      </c>
      <c r="N125" s="286">
        <v>0.86099999999999999</v>
      </c>
      <c r="O125" s="287">
        <v>25</v>
      </c>
      <c r="P125" s="288">
        <v>0.1</v>
      </c>
      <c r="Q125" s="54">
        <v>0</v>
      </c>
      <c r="R125" t="s">
        <v>98</v>
      </c>
      <c r="W125" s="16">
        <v>1.8</v>
      </c>
      <c r="Y125" t="s">
        <v>590</v>
      </c>
      <c r="Z125" t="s">
        <v>98</v>
      </c>
      <c r="AA125" s="272" t="e">
        <f t="shared" si="13"/>
        <v>#VALUE!</v>
      </c>
    </row>
    <row r="126" spans="1:27" ht="57.6" x14ac:dyDescent="0.3">
      <c r="A126" s="40" t="s">
        <v>709</v>
      </c>
      <c r="B126" s="281" t="str">
        <f t="shared" si="10"/>
        <v>Технологический трубопровод подачи нефти от трубопровода рег.№26 в товарный резервуар РВС №1., нефть</v>
      </c>
      <c r="C126" s="289">
        <v>1</v>
      </c>
      <c r="D126">
        <v>0.34</v>
      </c>
      <c r="E126" s="294">
        <f t="shared" si="12"/>
        <v>0.34</v>
      </c>
      <c r="F126" s="40" t="s">
        <v>374</v>
      </c>
      <c r="G126">
        <v>0.2</v>
      </c>
      <c r="H126" s="278" t="s">
        <v>698</v>
      </c>
      <c r="I126" s="50">
        <f t="shared" si="11"/>
        <v>1.4137166941154067E-2</v>
      </c>
      <c r="J126" s="51">
        <v>20</v>
      </c>
      <c r="K126" s="49">
        <v>30</v>
      </c>
      <c r="L126" s="204">
        <v>0</v>
      </c>
      <c r="M126" s="285">
        <v>5.1999999999999998E-2</v>
      </c>
      <c r="N126" s="286">
        <v>0.86099999999999999</v>
      </c>
      <c r="O126" s="287">
        <v>25</v>
      </c>
      <c r="P126" s="288">
        <v>0.1</v>
      </c>
      <c r="Q126" s="54">
        <v>0</v>
      </c>
      <c r="R126" t="s">
        <v>98</v>
      </c>
      <c r="W126" s="16">
        <v>1.9</v>
      </c>
      <c r="Y126" t="s">
        <v>591</v>
      </c>
      <c r="Z126" t="s">
        <v>98</v>
      </c>
      <c r="AA126" s="272" t="e">
        <f t="shared" si="13"/>
        <v>#VALUE!</v>
      </c>
    </row>
    <row r="127" spans="1:27" ht="57.6" x14ac:dyDescent="0.3">
      <c r="A127" s="40" t="s">
        <v>709</v>
      </c>
      <c r="B127" s="281" t="str">
        <f t="shared" si="10"/>
        <v>Технологический трубопровод подачи нефти от трубопровода рег.№26 в товарный резервуар РВС №2., нефть</v>
      </c>
      <c r="C127" s="289">
        <v>1</v>
      </c>
      <c r="D127">
        <v>0.12</v>
      </c>
      <c r="E127" s="294">
        <f t="shared" si="12"/>
        <v>0.12</v>
      </c>
      <c r="F127" s="40" t="s">
        <v>374</v>
      </c>
      <c r="G127">
        <v>0.2</v>
      </c>
      <c r="H127" s="278" t="s">
        <v>698</v>
      </c>
      <c r="I127" s="50">
        <f t="shared" si="11"/>
        <v>1.4137166941154067E-2</v>
      </c>
      <c r="J127" s="51">
        <v>20</v>
      </c>
      <c r="K127" s="49">
        <v>30</v>
      </c>
      <c r="L127" s="204">
        <v>0</v>
      </c>
      <c r="M127" s="285">
        <v>5.1999999999999998E-2</v>
      </c>
      <c r="N127" s="286">
        <v>0.86099999999999999</v>
      </c>
      <c r="O127" s="287">
        <v>25</v>
      </c>
      <c r="P127" s="288">
        <v>0.1</v>
      </c>
      <c r="Q127" s="54">
        <v>0</v>
      </c>
      <c r="R127" t="s">
        <v>98</v>
      </c>
      <c r="W127" s="16">
        <v>2</v>
      </c>
      <c r="Y127" t="s">
        <v>592</v>
      </c>
      <c r="Z127" t="s">
        <v>98</v>
      </c>
      <c r="AA127" s="272" t="e">
        <f t="shared" si="13"/>
        <v>#VALUE!</v>
      </c>
    </row>
    <row r="128" spans="1:27" ht="57.6" x14ac:dyDescent="0.3">
      <c r="A128" s="40" t="s">
        <v>709</v>
      </c>
      <c r="B128" s="281" t="str">
        <f t="shared" si="10"/>
        <v>Технологический трубопровод подачи нефти от трубопровода рег.№26 в товарный резервуар РВС №3., нефть</v>
      </c>
      <c r="C128" s="289">
        <v>1</v>
      </c>
      <c r="D128">
        <v>0.34</v>
      </c>
      <c r="E128" s="294">
        <f t="shared" si="12"/>
        <v>0.34</v>
      </c>
      <c r="F128" s="40" t="s">
        <v>374</v>
      </c>
      <c r="G128">
        <v>0.2</v>
      </c>
      <c r="H128" s="278" t="s">
        <v>698</v>
      </c>
      <c r="I128" s="50">
        <f t="shared" si="11"/>
        <v>1.4137166941154067E-2</v>
      </c>
      <c r="J128" s="51">
        <v>20</v>
      </c>
      <c r="K128" s="49">
        <v>30</v>
      </c>
      <c r="L128" s="204">
        <v>0</v>
      </c>
      <c r="M128" s="285">
        <v>5.1999999999999998E-2</v>
      </c>
      <c r="N128" s="286">
        <v>0.86099999999999999</v>
      </c>
      <c r="O128" s="287">
        <v>25</v>
      </c>
      <c r="P128" s="288">
        <v>0.1</v>
      </c>
      <c r="Q128" s="54">
        <v>0</v>
      </c>
      <c r="R128" t="s">
        <v>98</v>
      </c>
      <c r="Y128" t="s">
        <v>593</v>
      </c>
      <c r="Z128" t="s">
        <v>98</v>
      </c>
    </row>
    <row r="129" spans="1:26" ht="57.6" x14ac:dyDescent="0.3">
      <c r="A129" s="40" t="s">
        <v>709</v>
      </c>
      <c r="B129" s="281" t="str">
        <f t="shared" si="10"/>
        <v>Технологический трубопровод подачи нефти от трубопровода рег.№26 в товарный резервуар РВС №4., нефть</v>
      </c>
      <c r="C129" s="289">
        <v>1</v>
      </c>
      <c r="D129">
        <v>0.34</v>
      </c>
      <c r="E129" s="294">
        <f t="shared" si="12"/>
        <v>0.34</v>
      </c>
      <c r="F129" s="40" t="s">
        <v>374</v>
      </c>
      <c r="G129">
        <v>0.2</v>
      </c>
      <c r="H129" s="278" t="s">
        <v>698</v>
      </c>
      <c r="I129" s="50">
        <f t="shared" si="11"/>
        <v>1.4137166941154067E-2</v>
      </c>
      <c r="J129" s="51">
        <v>20</v>
      </c>
      <c r="K129" s="49">
        <v>30</v>
      </c>
      <c r="L129" s="204">
        <v>0</v>
      </c>
      <c r="M129" s="285">
        <v>5.1999999999999998E-2</v>
      </c>
      <c r="N129" s="286">
        <v>0.86099999999999999</v>
      </c>
      <c r="O129" s="287">
        <v>25</v>
      </c>
      <c r="P129" s="288">
        <v>0.1</v>
      </c>
      <c r="Q129" s="54">
        <v>0</v>
      </c>
      <c r="R129" t="s">
        <v>98</v>
      </c>
      <c r="Y129" t="s">
        <v>594</v>
      </c>
      <c r="Z129" t="s">
        <v>98</v>
      </c>
    </row>
    <row r="130" spans="1:26" ht="72" x14ac:dyDescent="0.3">
      <c r="A130" s="40" t="s">
        <v>709</v>
      </c>
      <c r="B130" s="281" t="str">
        <f t="shared" si="10"/>
        <v>Технологический трубопровод приема нефти с КССУ «Введеновка» КПС в трубопроводы рег.№27,рег.№28,рег.№29,рег.№30, нефть</v>
      </c>
      <c r="C130" s="289">
        <v>1</v>
      </c>
      <c r="D130">
        <v>2.34</v>
      </c>
      <c r="E130" s="294">
        <f t="shared" si="12"/>
        <v>2.34</v>
      </c>
      <c r="F130" s="40" t="s">
        <v>374</v>
      </c>
      <c r="G130">
        <v>0.6</v>
      </c>
      <c r="H130" s="278" t="s">
        <v>698</v>
      </c>
      <c r="I130" s="50">
        <f t="shared" si="11"/>
        <v>1.4137166941154067E-2</v>
      </c>
      <c r="J130" s="51">
        <v>20</v>
      </c>
      <c r="K130" s="49">
        <v>30</v>
      </c>
      <c r="L130" s="204">
        <v>0</v>
      </c>
      <c r="M130" s="285">
        <v>5.1999999999999998E-2</v>
      </c>
      <c r="N130" s="286">
        <v>0.86099999999999999</v>
      </c>
      <c r="O130" s="287">
        <v>25</v>
      </c>
      <c r="P130" s="288">
        <v>0.1</v>
      </c>
      <c r="Q130" s="54">
        <v>0</v>
      </c>
      <c r="R130" t="s">
        <v>98</v>
      </c>
      <c r="Y130" t="s">
        <v>595</v>
      </c>
      <c r="Z130" t="s">
        <v>98</v>
      </c>
    </row>
    <row r="131" spans="1:26" ht="57.6" x14ac:dyDescent="0.3">
      <c r="A131" s="40" t="s">
        <v>709</v>
      </c>
      <c r="B131" s="281" t="str">
        <f t="shared" si="10"/>
        <v>Технологический трубопровод подачи нефти от товарного резервуара РВС №1 в трубопровод рег.№36, нефть</v>
      </c>
      <c r="C131" s="289">
        <v>1</v>
      </c>
      <c r="D131">
        <v>0.34</v>
      </c>
      <c r="E131" s="294">
        <f t="shared" si="12"/>
        <v>0.34</v>
      </c>
      <c r="F131" s="40" t="s">
        <v>374</v>
      </c>
      <c r="G131">
        <v>0.2</v>
      </c>
      <c r="H131" s="278" t="s">
        <v>698</v>
      </c>
      <c r="I131" s="50">
        <f t="shared" si="11"/>
        <v>1.4137166941154067E-2</v>
      </c>
      <c r="J131" s="51">
        <v>20</v>
      </c>
      <c r="K131" s="49">
        <v>30</v>
      </c>
      <c r="L131" s="204">
        <v>0</v>
      </c>
      <c r="M131" s="285">
        <v>5.1999999999999998E-2</v>
      </c>
      <c r="N131" s="286">
        <v>0.86099999999999999</v>
      </c>
      <c r="O131" s="287">
        <v>25</v>
      </c>
      <c r="P131" s="288">
        <v>0.1</v>
      </c>
      <c r="Q131" s="54">
        <v>0</v>
      </c>
      <c r="R131" t="s">
        <v>98</v>
      </c>
      <c r="Y131" t="s">
        <v>596</v>
      </c>
      <c r="Z131" t="s">
        <v>98</v>
      </c>
    </row>
    <row r="132" spans="1:26" ht="57.6" x14ac:dyDescent="0.3">
      <c r="A132" s="40" t="s">
        <v>709</v>
      </c>
      <c r="B132" s="281" t="str">
        <f t="shared" ref="B132:B195" si="14">CONCATENATE(Y132,", ",Z132)</f>
        <v>Технологический трубопровод подачи нефти от товарного резервуара РВС №2 в трубопровод рег.№36, нефть</v>
      </c>
      <c r="C132" s="282">
        <v>1</v>
      </c>
      <c r="D132">
        <v>0.16</v>
      </c>
      <c r="E132" s="294">
        <f t="shared" si="12"/>
        <v>0.16</v>
      </c>
      <c r="F132" s="40" t="s">
        <v>374</v>
      </c>
      <c r="G132">
        <v>0.2</v>
      </c>
      <c r="H132" s="278" t="s">
        <v>698</v>
      </c>
      <c r="I132" s="50">
        <f t="shared" ref="I132:I195" si="15">PI()*(POWER(K132/1000,2)/4)*J132</f>
        <v>1.4137166941154067E-2</v>
      </c>
      <c r="J132" s="51">
        <v>20</v>
      </c>
      <c r="K132" s="49">
        <v>30</v>
      </c>
      <c r="L132" s="204">
        <v>0</v>
      </c>
      <c r="M132" s="285">
        <v>5.1999999999999998E-2</v>
      </c>
      <c r="N132" s="286">
        <v>0.86099999999999999</v>
      </c>
      <c r="O132" s="287">
        <v>25</v>
      </c>
      <c r="P132" s="288">
        <v>0.1</v>
      </c>
      <c r="Q132" s="54">
        <v>0</v>
      </c>
      <c r="R132" t="s">
        <v>98</v>
      </c>
      <c r="Y132" t="s">
        <v>597</v>
      </c>
      <c r="Z132" t="s">
        <v>98</v>
      </c>
    </row>
    <row r="133" spans="1:26" ht="57.6" x14ac:dyDescent="0.3">
      <c r="A133" s="40" t="s">
        <v>709</v>
      </c>
      <c r="B133" s="281" t="str">
        <f t="shared" si="14"/>
        <v>Технологический трубопровод подачи нефти от товарного резервуара РВС №3 в трубопровод рег.№36, нефть</v>
      </c>
      <c r="C133" s="282">
        <v>1</v>
      </c>
      <c r="D133">
        <v>0.56000000000000005</v>
      </c>
      <c r="E133" s="294">
        <f t="shared" si="12"/>
        <v>0.56000000000000005</v>
      </c>
      <c r="F133" s="40" t="s">
        <v>374</v>
      </c>
      <c r="G133">
        <v>0.2</v>
      </c>
      <c r="H133" s="278" t="s">
        <v>698</v>
      </c>
      <c r="I133" s="50">
        <f t="shared" si="15"/>
        <v>1.4137166941154067E-2</v>
      </c>
      <c r="J133" s="51">
        <v>20</v>
      </c>
      <c r="K133" s="49">
        <v>30</v>
      </c>
      <c r="L133" s="204">
        <v>0</v>
      </c>
      <c r="M133" s="285">
        <v>5.1999999999999998E-2</v>
      </c>
      <c r="N133" s="286">
        <v>0.86099999999999999</v>
      </c>
      <c r="O133" s="287">
        <v>25</v>
      </c>
      <c r="P133" s="288">
        <v>0.1</v>
      </c>
      <c r="Q133" s="54">
        <v>0</v>
      </c>
      <c r="R133" t="s">
        <v>98</v>
      </c>
      <c r="Y133" t="s">
        <v>598</v>
      </c>
      <c r="Z133" t="s">
        <v>98</v>
      </c>
    </row>
    <row r="134" spans="1:26" ht="57.6" x14ac:dyDescent="0.3">
      <c r="A134" s="40" t="s">
        <v>709</v>
      </c>
      <c r="B134" s="281" t="str">
        <f t="shared" si="14"/>
        <v>Технологический трубопровод подачи нефти от товарного резервуара РВС №4 в трубопровод рег.№36, нефть</v>
      </c>
      <c r="C134" s="282">
        <v>1</v>
      </c>
      <c r="D134">
        <v>1.6</v>
      </c>
      <c r="E134" s="294">
        <f t="shared" si="12"/>
        <v>1.6</v>
      </c>
      <c r="F134" s="40" t="s">
        <v>374</v>
      </c>
      <c r="G134">
        <v>0.2</v>
      </c>
      <c r="H134" s="278" t="s">
        <v>698</v>
      </c>
      <c r="I134" s="50">
        <f t="shared" si="15"/>
        <v>1.4137166941154067E-2</v>
      </c>
      <c r="J134" s="51">
        <v>20</v>
      </c>
      <c r="K134" s="49">
        <v>30</v>
      </c>
      <c r="L134" s="204">
        <v>0</v>
      </c>
      <c r="M134" s="285">
        <v>5.1999999999999998E-2</v>
      </c>
      <c r="N134" s="286">
        <v>0.86099999999999999</v>
      </c>
      <c r="O134" s="287">
        <v>25</v>
      </c>
      <c r="P134" s="288">
        <v>0.1</v>
      </c>
      <c r="Q134" s="54">
        <v>0</v>
      </c>
      <c r="R134" t="s">
        <v>98</v>
      </c>
      <c r="Y134" t="s">
        <v>599</v>
      </c>
      <c r="Z134" t="s">
        <v>98</v>
      </c>
    </row>
    <row r="135" spans="1:26" ht="72" x14ac:dyDescent="0.3">
      <c r="A135" s="40" t="s">
        <v>709</v>
      </c>
      <c r="B135" s="281" t="str">
        <f t="shared" si="14"/>
        <v>Технологический трубопровод подачи нефти от трубопровода рег.№32,рег.№33,рег.№34,рег.№35 на прием насосов Н-2.1,Н-2.2,Н-2.3, нефть</v>
      </c>
      <c r="C135" s="282">
        <v>1</v>
      </c>
      <c r="D135">
        <v>0.6</v>
      </c>
      <c r="E135" s="294">
        <f t="shared" si="12"/>
        <v>0.6</v>
      </c>
      <c r="F135" s="40" t="s">
        <v>374</v>
      </c>
      <c r="G135">
        <v>0.2</v>
      </c>
      <c r="H135" s="278" t="s">
        <v>698</v>
      </c>
      <c r="I135" s="50">
        <f t="shared" si="15"/>
        <v>1.4137166941154067E-2</v>
      </c>
      <c r="J135" s="51">
        <v>20</v>
      </c>
      <c r="K135" s="49">
        <v>30</v>
      </c>
      <c r="L135" s="204">
        <v>0</v>
      </c>
      <c r="M135" s="285">
        <v>5.1999999999999998E-2</v>
      </c>
      <c r="N135" s="286">
        <v>0.86099999999999999</v>
      </c>
      <c r="O135" s="287">
        <v>25</v>
      </c>
      <c r="P135" s="288">
        <v>0.1</v>
      </c>
      <c r="Q135" s="54">
        <v>0</v>
      </c>
      <c r="R135" t="s">
        <v>98</v>
      </c>
      <c r="Y135" t="s">
        <v>600</v>
      </c>
      <c r="Z135" t="s">
        <v>98</v>
      </c>
    </row>
    <row r="136" spans="1:26" ht="57.6" x14ac:dyDescent="0.3">
      <c r="A136" s="40" t="s">
        <v>709</v>
      </c>
      <c r="B136" s="281" t="str">
        <f t="shared" si="14"/>
        <v>Технологический трубопровод подачи некондиционной нефти из товарного резервуара РВС №1 в трубопровод рег.№41, нефть</v>
      </c>
      <c r="C136" s="282">
        <v>1</v>
      </c>
      <c r="D136">
        <v>0.47</v>
      </c>
      <c r="E136" s="294">
        <f t="shared" si="12"/>
        <v>0.47</v>
      </c>
      <c r="F136" s="40" t="s">
        <v>374</v>
      </c>
      <c r="G136">
        <v>0.2</v>
      </c>
      <c r="H136" s="278" t="s">
        <v>698</v>
      </c>
      <c r="I136" s="50">
        <f t="shared" si="15"/>
        <v>1.4137166941154067E-2</v>
      </c>
      <c r="J136" s="51">
        <v>20</v>
      </c>
      <c r="K136" s="49">
        <v>30</v>
      </c>
      <c r="L136" s="204">
        <v>0</v>
      </c>
      <c r="M136" s="285">
        <v>5.1999999999999998E-2</v>
      </c>
      <c r="N136" s="286">
        <v>0.86099999999999999</v>
      </c>
      <c r="O136" s="287">
        <v>25</v>
      </c>
      <c r="P136" s="288">
        <v>0.1</v>
      </c>
      <c r="Q136" s="54">
        <v>0</v>
      </c>
      <c r="R136" t="s">
        <v>98</v>
      </c>
      <c r="Y136" t="s">
        <v>601</v>
      </c>
      <c r="Z136" t="s">
        <v>98</v>
      </c>
    </row>
    <row r="137" spans="1:26" ht="57.6" x14ac:dyDescent="0.3">
      <c r="A137" s="40" t="s">
        <v>709</v>
      </c>
      <c r="B137" s="281" t="str">
        <f t="shared" si="14"/>
        <v>Технологический трубопровод подачи некондиционной нефти из товарного резервуара РВС №2 в трубопровод рег.№41, нефть</v>
      </c>
      <c r="C137" s="282">
        <v>1</v>
      </c>
      <c r="D137">
        <v>0.28000000000000003</v>
      </c>
      <c r="E137" s="294">
        <f t="shared" si="12"/>
        <v>0.28000000000000003</v>
      </c>
      <c r="F137" s="40" t="s">
        <v>374</v>
      </c>
      <c r="G137">
        <v>0.2</v>
      </c>
      <c r="H137" s="278" t="s">
        <v>698</v>
      </c>
      <c r="I137" s="50">
        <f t="shared" si="15"/>
        <v>1.4137166941154067E-2</v>
      </c>
      <c r="J137" s="51">
        <v>20</v>
      </c>
      <c r="K137" s="49">
        <v>30</v>
      </c>
      <c r="L137" s="204">
        <v>0</v>
      </c>
      <c r="M137" s="285">
        <v>5.1999999999999998E-2</v>
      </c>
      <c r="N137" s="286">
        <v>0.86099999999999999</v>
      </c>
      <c r="O137" s="287">
        <v>25</v>
      </c>
      <c r="P137" s="288">
        <v>0.1</v>
      </c>
      <c r="Q137" s="54">
        <v>0</v>
      </c>
      <c r="R137" t="s">
        <v>98</v>
      </c>
      <c r="Y137" t="s">
        <v>602</v>
      </c>
      <c r="Z137" t="s">
        <v>98</v>
      </c>
    </row>
    <row r="138" spans="1:26" ht="57.6" x14ac:dyDescent="0.3">
      <c r="A138" s="40" t="s">
        <v>709</v>
      </c>
      <c r="B138" s="281" t="str">
        <f t="shared" si="14"/>
        <v>Технологический трубопровод подачи некондиционной нефти из товарного резервуара РВС №3 в трубопровод рег.№41, нефть</v>
      </c>
      <c r="C138" s="283">
        <v>1</v>
      </c>
      <c r="D138">
        <v>0.78</v>
      </c>
      <c r="E138" s="294">
        <f t="shared" si="12"/>
        <v>0.78</v>
      </c>
      <c r="F138" s="40" t="s">
        <v>374</v>
      </c>
      <c r="G138">
        <v>0.2</v>
      </c>
      <c r="H138" s="278" t="s">
        <v>698</v>
      </c>
      <c r="I138" s="50">
        <f t="shared" si="15"/>
        <v>1.4137166941154067E-2</v>
      </c>
      <c r="J138" s="51">
        <v>20</v>
      </c>
      <c r="K138" s="49">
        <v>30</v>
      </c>
      <c r="L138" s="204">
        <v>0</v>
      </c>
      <c r="M138" s="285">
        <v>5.1999999999999998E-2</v>
      </c>
      <c r="N138" s="286">
        <v>0.86099999999999999</v>
      </c>
      <c r="O138" s="287">
        <v>25</v>
      </c>
      <c r="P138" s="288">
        <v>0.1</v>
      </c>
      <c r="Q138" s="54">
        <v>0</v>
      </c>
      <c r="R138" t="s">
        <v>98</v>
      </c>
      <c r="Y138" t="s">
        <v>603</v>
      </c>
      <c r="Z138" t="s">
        <v>98</v>
      </c>
    </row>
    <row r="139" spans="1:26" ht="57.6" x14ac:dyDescent="0.3">
      <c r="A139" s="40" t="s">
        <v>709</v>
      </c>
      <c r="B139" s="281" t="str">
        <f t="shared" si="14"/>
        <v>Технологический трубопровод подачи некондиционной нефти из товарного резервуара РВС №4 в трубопровод рег.№41, нефть</v>
      </c>
      <c r="C139" s="289">
        <v>1</v>
      </c>
      <c r="D139">
        <v>0.88</v>
      </c>
      <c r="E139" s="294">
        <f t="shared" si="12"/>
        <v>0.88</v>
      </c>
      <c r="F139" s="40" t="s">
        <v>374</v>
      </c>
      <c r="G139">
        <v>0.2</v>
      </c>
      <c r="H139" s="278" t="s">
        <v>698</v>
      </c>
      <c r="I139" s="50">
        <f t="shared" si="15"/>
        <v>1.4137166941154067E-2</v>
      </c>
      <c r="J139" s="51">
        <v>20</v>
      </c>
      <c r="K139" s="49">
        <v>30</v>
      </c>
      <c r="L139" s="204">
        <v>0</v>
      </c>
      <c r="M139" s="285">
        <v>5.1999999999999998E-2</v>
      </c>
      <c r="N139" s="286">
        <v>0.86099999999999999</v>
      </c>
      <c r="O139" s="287">
        <v>25</v>
      </c>
      <c r="P139" s="288">
        <v>0.1</v>
      </c>
      <c r="Q139" s="54">
        <v>0</v>
      </c>
      <c r="R139" t="s">
        <v>98</v>
      </c>
      <c r="Y139" t="s">
        <v>604</v>
      </c>
      <c r="Z139" t="s">
        <v>98</v>
      </c>
    </row>
    <row r="140" spans="1:26" ht="86.4" x14ac:dyDescent="0.3">
      <c r="A140" s="40" t="s">
        <v>709</v>
      </c>
      <c r="B140" s="281" t="str">
        <f t="shared" si="14"/>
        <v>Технологический трубопровод подачи некондиционной нефти от трубопроводов рег.№37, рег.№38, рег.№39, рег.№40 на прием  подрезных насосов Н-3.1,Н-3.2, нефть</v>
      </c>
      <c r="C140" s="289">
        <v>1</v>
      </c>
      <c r="D140">
        <v>0.42</v>
      </c>
      <c r="E140" s="294">
        <f t="shared" si="12"/>
        <v>0.42</v>
      </c>
      <c r="F140" s="40" t="s">
        <v>374</v>
      </c>
      <c r="G140">
        <v>0.15</v>
      </c>
      <c r="H140" s="278" t="s">
        <v>698</v>
      </c>
      <c r="I140" s="50">
        <f t="shared" si="15"/>
        <v>1.4137166941154067E-2</v>
      </c>
      <c r="J140" s="51">
        <v>20</v>
      </c>
      <c r="K140" s="49">
        <v>30</v>
      </c>
      <c r="L140" s="204">
        <v>0</v>
      </c>
      <c r="M140" s="285">
        <v>5.1999999999999998E-2</v>
      </c>
      <c r="N140" s="286">
        <v>0.86099999999999999</v>
      </c>
      <c r="O140" s="287">
        <v>25</v>
      </c>
      <c r="P140" s="288">
        <v>0.1</v>
      </c>
      <c r="Q140" s="54">
        <v>0</v>
      </c>
      <c r="R140" t="s">
        <v>98</v>
      </c>
      <c r="Y140" t="s">
        <v>605</v>
      </c>
      <c r="Z140" t="s">
        <v>98</v>
      </c>
    </row>
    <row r="141" spans="1:26" ht="43.2" x14ac:dyDescent="0.3">
      <c r="A141" s="40" t="s">
        <v>709</v>
      </c>
      <c r="B141" s="281" t="str">
        <f t="shared" si="14"/>
        <v>Технологический трубопровод подачи нефти насосом Н-2.1, Н-2.2, Н-2.3 на СИКН, нефть</v>
      </c>
      <c r="C141" s="289">
        <v>1</v>
      </c>
      <c r="D141" s="3">
        <v>2</v>
      </c>
      <c r="E141" s="294">
        <f t="shared" si="12"/>
        <v>2</v>
      </c>
      <c r="F141" s="40" t="s">
        <v>374</v>
      </c>
      <c r="G141">
        <v>3.3</v>
      </c>
      <c r="H141" s="278" t="s">
        <v>698</v>
      </c>
      <c r="I141" s="50">
        <f t="shared" si="15"/>
        <v>1.4137166941154067E-2</v>
      </c>
      <c r="J141" s="51">
        <v>20</v>
      </c>
      <c r="K141" s="49">
        <v>30</v>
      </c>
      <c r="L141" s="204">
        <v>0</v>
      </c>
      <c r="M141" s="285">
        <v>5.1999999999999998E-2</v>
      </c>
      <c r="N141" s="286">
        <v>0.86099999999999999</v>
      </c>
      <c r="O141" s="287">
        <v>25</v>
      </c>
      <c r="P141" s="288">
        <v>0.1</v>
      </c>
      <c r="Q141" s="54">
        <v>0</v>
      </c>
      <c r="R141" t="s">
        <v>98</v>
      </c>
      <c r="Y141" t="s">
        <v>606</v>
      </c>
      <c r="Z141" t="s">
        <v>98</v>
      </c>
    </row>
    <row r="142" spans="1:26" ht="72" x14ac:dyDescent="0.3">
      <c r="A142" s="40" t="s">
        <v>709</v>
      </c>
      <c r="B142" s="281" t="str">
        <f t="shared" si="14"/>
        <v>Технологический трубопровод подачи товарной нефти от трубопровода рег.№42 в товарный нефтепровод УПН «Уршак» - НСП «Казангулово», нефть</v>
      </c>
      <c r="C142" s="289">
        <v>1</v>
      </c>
      <c r="D142">
        <v>0.62</v>
      </c>
      <c r="E142" s="294">
        <f t="shared" si="12"/>
        <v>0.62</v>
      </c>
      <c r="F142" s="40" t="s">
        <v>374</v>
      </c>
      <c r="G142">
        <v>3.3</v>
      </c>
      <c r="H142" s="278" t="s">
        <v>698</v>
      </c>
      <c r="I142" s="50">
        <f t="shared" si="15"/>
        <v>1.4137166941154067E-2</v>
      </c>
      <c r="J142" s="51">
        <v>20</v>
      </c>
      <c r="K142" s="49">
        <v>30</v>
      </c>
      <c r="L142" s="204">
        <v>0</v>
      </c>
      <c r="M142" s="285">
        <v>5.1999999999999998E-2</v>
      </c>
      <c r="N142" s="286">
        <v>0.86099999999999999</v>
      </c>
      <c r="O142" s="287">
        <v>25</v>
      </c>
      <c r="P142" s="288">
        <v>0.1</v>
      </c>
      <c r="Q142" s="54">
        <v>0</v>
      </c>
      <c r="R142" t="s">
        <v>98</v>
      </c>
      <c r="Y142" t="s">
        <v>607</v>
      </c>
      <c r="Z142" t="s">
        <v>98</v>
      </c>
    </row>
    <row r="143" spans="1:26" ht="43.2" x14ac:dyDescent="0.3">
      <c r="A143" s="40" t="s">
        <v>709</v>
      </c>
      <c r="B143" s="281" t="str">
        <f t="shared" si="14"/>
        <v>Технологический трубопровод нагнетания насоса Н-3.1 в трубопровод рег.№4, нефть</v>
      </c>
      <c r="C143" s="289">
        <v>1</v>
      </c>
      <c r="D143">
        <v>0.128</v>
      </c>
      <c r="E143" s="294">
        <f t="shared" si="12"/>
        <v>0.128</v>
      </c>
      <c r="F143" s="40" t="s">
        <v>374</v>
      </c>
      <c r="G143">
        <v>0.25</v>
      </c>
      <c r="H143" s="278" t="s">
        <v>698</v>
      </c>
      <c r="I143" s="50">
        <f t="shared" si="15"/>
        <v>1.4137166941154067E-2</v>
      </c>
      <c r="J143" s="51">
        <v>20</v>
      </c>
      <c r="K143" s="49">
        <v>30</v>
      </c>
      <c r="L143" s="204">
        <v>0</v>
      </c>
      <c r="M143" s="285">
        <v>5.1999999999999998E-2</v>
      </c>
      <c r="N143" s="286">
        <v>0.86099999999999999</v>
      </c>
      <c r="O143" s="287">
        <v>25</v>
      </c>
      <c r="P143" s="288">
        <v>0.1</v>
      </c>
      <c r="Q143" s="54">
        <v>0</v>
      </c>
      <c r="R143" t="s">
        <v>98</v>
      </c>
      <c r="Y143" t="s">
        <v>608</v>
      </c>
      <c r="Z143" t="s">
        <v>98</v>
      </c>
    </row>
    <row r="144" spans="1:26" ht="43.2" x14ac:dyDescent="0.3">
      <c r="A144" s="40" t="s">
        <v>709</v>
      </c>
      <c r="B144" s="281" t="str">
        <f t="shared" si="14"/>
        <v>Технологический трубопровод нагнетания насоса Н-3.2 в трубопровод рег.№46, нефть</v>
      </c>
      <c r="C144" s="289">
        <v>1</v>
      </c>
      <c r="D144">
        <v>0.2</v>
      </c>
      <c r="E144" s="294">
        <f t="shared" si="12"/>
        <v>0.2</v>
      </c>
      <c r="F144" s="40" t="s">
        <v>374</v>
      </c>
      <c r="G144">
        <v>0.25</v>
      </c>
      <c r="H144" s="278" t="s">
        <v>698</v>
      </c>
      <c r="I144" s="50">
        <f t="shared" si="15"/>
        <v>1.4137166941154067E-2</v>
      </c>
      <c r="J144" s="51">
        <v>20</v>
      </c>
      <c r="K144" s="49">
        <v>30</v>
      </c>
      <c r="L144" s="204">
        <v>0</v>
      </c>
      <c r="M144" s="285">
        <v>5.1999999999999998E-2</v>
      </c>
      <c r="N144" s="286">
        <v>0.86099999999999999</v>
      </c>
      <c r="O144" s="287">
        <v>25</v>
      </c>
      <c r="P144" s="288">
        <v>0.1</v>
      </c>
      <c r="Q144" s="54">
        <v>0</v>
      </c>
      <c r="R144" t="s">
        <v>98</v>
      </c>
      <c r="Y144" t="s">
        <v>609</v>
      </c>
      <c r="Z144" t="s">
        <v>98</v>
      </c>
    </row>
    <row r="145" spans="1:26" ht="57.6" x14ac:dyDescent="0.3">
      <c r="A145" s="40" t="s">
        <v>709</v>
      </c>
      <c r="B145" s="281" t="str">
        <f t="shared" si="14"/>
        <v>Технологический трубопровод откачки привозной нефти из ЕП-2, ЕП-3 в трубопровод рег. №6, №7, нефть</v>
      </c>
      <c r="C145" s="282">
        <v>1</v>
      </c>
      <c r="D145" s="3">
        <v>2</v>
      </c>
      <c r="E145" s="294">
        <f t="shared" ref="E145:E202" si="16">D145*C145</f>
        <v>2</v>
      </c>
      <c r="F145" s="40" t="s">
        <v>374</v>
      </c>
      <c r="G145">
        <v>0.6</v>
      </c>
      <c r="H145" s="278" t="s">
        <v>698</v>
      </c>
      <c r="I145" s="50">
        <f t="shared" si="15"/>
        <v>1.4137166941154067E-2</v>
      </c>
      <c r="J145" s="51">
        <v>20</v>
      </c>
      <c r="K145" s="49">
        <v>30</v>
      </c>
      <c r="L145" s="204">
        <v>0</v>
      </c>
      <c r="M145" s="285">
        <v>5.1999999999999998E-2</v>
      </c>
      <c r="N145" s="286">
        <v>0.86099999999999999</v>
      </c>
      <c r="O145" s="287">
        <v>25</v>
      </c>
      <c r="P145" s="288">
        <v>0.1</v>
      </c>
      <c r="Q145" s="54">
        <v>0</v>
      </c>
      <c r="R145" t="s">
        <v>98</v>
      </c>
      <c r="Y145" t="s">
        <v>610</v>
      </c>
      <c r="Z145" t="s">
        <v>98</v>
      </c>
    </row>
    <row r="146" spans="1:26" ht="57.6" x14ac:dyDescent="0.3">
      <c r="A146" s="40" t="s">
        <v>709</v>
      </c>
      <c r="B146" s="281" t="str">
        <f t="shared" si="14"/>
        <v>Технологический трубопровод сброса СППК отстойников О-2,О-3,О-4 в подземную емкость ЕД-2., нефть</v>
      </c>
      <c r="C146" s="282">
        <v>1</v>
      </c>
      <c r="D146">
        <v>0.4</v>
      </c>
      <c r="E146" s="294">
        <f t="shared" si="16"/>
        <v>0.4</v>
      </c>
      <c r="F146" s="40" t="s">
        <v>374</v>
      </c>
      <c r="G146">
        <v>0.6</v>
      </c>
      <c r="H146" s="278" t="s">
        <v>698</v>
      </c>
      <c r="I146" s="50">
        <f t="shared" si="15"/>
        <v>1.4137166941154067E-2</v>
      </c>
      <c r="J146" s="51">
        <v>20</v>
      </c>
      <c r="K146" s="49">
        <v>30</v>
      </c>
      <c r="L146" s="204">
        <v>0</v>
      </c>
      <c r="M146" s="285">
        <v>5.1999999999999998E-2</v>
      </c>
      <c r="N146" s="286">
        <v>0.86099999999999999</v>
      </c>
      <c r="O146" s="287">
        <v>25</v>
      </c>
      <c r="P146" s="288">
        <v>0.1</v>
      </c>
      <c r="Q146" s="54">
        <v>0</v>
      </c>
      <c r="R146" t="s">
        <v>98</v>
      </c>
      <c r="Y146" t="s">
        <v>611</v>
      </c>
      <c r="Z146" t="s">
        <v>98</v>
      </c>
    </row>
    <row r="147" spans="1:26" ht="57.6" x14ac:dyDescent="0.3">
      <c r="A147" s="40" t="s">
        <v>709</v>
      </c>
      <c r="B147" s="281" t="str">
        <f t="shared" si="14"/>
        <v>Технологический трубопровод от рег.№2.1 до входа в сепаратор С-1.1, нефть, попутный нефтяной газ, пластовая вода.</v>
      </c>
      <c r="C147" s="282">
        <v>1</v>
      </c>
      <c r="D147">
        <v>0.1</v>
      </c>
      <c r="E147" s="294">
        <f t="shared" si="16"/>
        <v>0.1</v>
      </c>
      <c r="F147" s="40" t="s">
        <v>374</v>
      </c>
      <c r="G147">
        <v>0.35</v>
      </c>
      <c r="H147" s="278" t="s">
        <v>698</v>
      </c>
      <c r="I147" s="50">
        <f t="shared" si="15"/>
        <v>1.4137166941154067E-2</v>
      </c>
      <c r="J147" s="51">
        <v>20</v>
      </c>
      <c r="K147" s="49">
        <v>30</v>
      </c>
      <c r="L147" s="204">
        <v>0</v>
      </c>
      <c r="M147" s="285">
        <v>5.1999999999999998E-2</v>
      </c>
      <c r="N147" s="286">
        <v>0.86099999999999999</v>
      </c>
      <c r="O147" s="287">
        <v>25</v>
      </c>
      <c r="P147" s="288">
        <v>0.1</v>
      </c>
      <c r="Q147" s="54">
        <v>0</v>
      </c>
      <c r="R147" t="s">
        <v>98</v>
      </c>
      <c r="Y147" t="s">
        <v>612</v>
      </c>
      <c r="Z147" t="s">
        <v>685</v>
      </c>
    </row>
    <row r="148" spans="1:26" ht="86.4" x14ac:dyDescent="0.3">
      <c r="A148" s="40" t="s">
        <v>709</v>
      </c>
      <c r="B148" s="281" t="str">
        <f t="shared" si="14"/>
        <v>Технологический трубопровод нагнетания погружных насосов подземных емкостей ЕК-1, ЕК-2.2, ЕД-1, ЕК-2.1,в трубопровод рег.№7., нефть, попутный нефтяной газ, пластовая вода.</v>
      </c>
      <c r="C148" s="282">
        <v>1</v>
      </c>
      <c r="D148">
        <v>0.34</v>
      </c>
      <c r="E148" s="294">
        <f t="shared" si="16"/>
        <v>0.34</v>
      </c>
      <c r="F148" s="40" t="s">
        <v>374</v>
      </c>
      <c r="G148">
        <v>0.6</v>
      </c>
      <c r="H148" s="278" t="s">
        <v>698</v>
      </c>
      <c r="I148" s="50">
        <f t="shared" si="15"/>
        <v>1.4137166941154067E-2</v>
      </c>
      <c r="J148" s="51">
        <v>20</v>
      </c>
      <c r="K148" s="49">
        <v>30</v>
      </c>
      <c r="L148" s="204">
        <v>0</v>
      </c>
      <c r="M148" s="285">
        <v>5.1999999999999998E-2</v>
      </c>
      <c r="N148" s="286">
        <v>0.86099999999999999</v>
      </c>
      <c r="O148" s="287">
        <v>25</v>
      </c>
      <c r="P148" s="288">
        <v>0.1</v>
      </c>
      <c r="Q148" s="54">
        <v>0</v>
      </c>
      <c r="R148" t="s">
        <v>98</v>
      </c>
      <c r="Y148" t="s">
        <v>613</v>
      </c>
      <c r="Z148" t="s">
        <v>685</v>
      </c>
    </row>
    <row r="149" spans="1:26" ht="57.6" x14ac:dyDescent="0.3">
      <c r="A149" s="40" t="s">
        <v>709</v>
      </c>
      <c r="B149" s="281" t="str">
        <f t="shared" si="14"/>
        <v>Технологический трубопровод подачи топливного газа от КС «Уршак» в газосепаратор ГС 4, попутный нефтяной газ</v>
      </c>
      <c r="C149" s="282">
        <v>1</v>
      </c>
      <c r="D149">
        <v>0.04</v>
      </c>
      <c r="E149" s="294">
        <f t="shared" si="16"/>
        <v>0.04</v>
      </c>
      <c r="F149" s="40" t="s">
        <v>372</v>
      </c>
      <c r="G149">
        <v>0.6</v>
      </c>
      <c r="H149" s="278" t="s">
        <v>698</v>
      </c>
      <c r="I149" s="50">
        <f t="shared" si="15"/>
        <v>1.4137166941154067E-2</v>
      </c>
      <c r="J149" s="51">
        <v>20</v>
      </c>
      <c r="K149" s="49">
        <v>30</v>
      </c>
      <c r="L149" s="204">
        <v>0</v>
      </c>
      <c r="M149" s="285">
        <v>5.1999999999999998E-2</v>
      </c>
      <c r="N149" s="286">
        <v>0.86099999999999999</v>
      </c>
      <c r="O149" s="287">
        <v>25</v>
      </c>
      <c r="P149" s="288">
        <v>0.1</v>
      </c>
      <c r="Q149" s="54">
        <v>0</v>
      </c>
      <c r="R149" t="s">
        <v>670</v>
      </c>
      <c r="Y149" t="s">
        <v>614</v>
      </c>
      <c r="Z149" t="s">
        <v>670</v>
      </c>
    </row>
    <row r="150" spans="1:26" ht="57.6" x14ac:dyDescent="0.3">
      <c r="A150" s="40" t="s">
        <v>709</v>
      </c>
      <c r="B150" s="281" t="str">
        <f t="shared" si="14"/>
        <v>Технологический трубопровод подачи топливного газа от газосепаратора ГС-4 на ГРПШ №1, попутный нефтяной газ</v>
      </c>
      <c r="C150" s="282">
        <v>1</v>
      </c>
      <c r="D150">
        <v>0.04</v>
      </c>
      <c r="E150" s="294">
        <f t="shared" si="16"/>
        <v>0.04</v>
      </c>
      <c r="F150" s="40" t="s">
        <v>372</v>
      </c>
      <c r="G150">
        <v>0.6</v>
      </c>
      <c r="H150" s="278" t="s">
        <v>698</v>
      </c>
      <c r="I150" s="50">
        <f t="shared" si="15"/>
        <v>1.4137166941154067E-2</v>
      </c>
      <c r="J150" s="51">
        <v>20</v>
      </c>
      <c r="K150" s="49">
        <v>30</v>
      </c>
      <c r="L150" s="204">
        <v>0</v>
      </c>
      <c r="M150" s="285">
        <v>5.1999999999999998E-2</v>
      </c>
      <c r="N150" s="286">
        <v>0.86099999999999999</v>
      </c>
      <c r="O150" s="287">
        <v>25</v>
      </c>
      <c r="P150" s="288">
        <v>0.1</v>
      </c>
      <c r="Q150" s="54">
        <v>0</v>
      </c>
      <c r="R150" t="s">
        <v>670</v>
      </c>
      <c r="Y150" t="s">
        <v>615</v>
      </c>
      <c r="Z150" t="s">
        <v>670</v>
      </c>
    </row>
    <row r="151" spans="1:26" ht="57.6" x14ac:dyDescent="0.3">
      <c r="A151" s="40" t="s">
        <v>709</v>
      </c>
      <c r="B151" s="281" t="str">
        <f t="shared" si="14"/>
        <v>Технологический трубопровод подачи топливного газа от ГРПШ №1 на печь №1,№2, попутный нефтяной газ</v>
      </c>
      <c r="C151" s="283">
        <v>1</v>
      </c>
      <c r="D151">
        <v>0.04</v>
      </c>
      <c r="E151" s="294">
        <f t="shared" si="16"/>
        <v>0.04</v>
      </c>
      <c r="F151" s="40" t="s">
        <v>372</v>
      </c>
      <c r="G151">
        <v>0.3</v>
      </c>
      <c r="H151" s="278" t="s">
        <v>698</v>
      </c>
      <c r="I151" s="50">
        <f t="shared" si="15"/>
        <v>1.4137166941154067E-2</v>
      </c>
      <c r="J151" s="51">
        <v>20</v>
      </c>
      <c r="K151" s="49">
        <v>30</v>
      </c>
      <c r="L151" s="204">
        <v>0</v>
      </c>
      <c r="M151" s="285">
        <v>5.1999999999999998E-2</v>
      </c>
      <c r="N151" s="286">
        <v>0.86099999999999999</v>
      </c>
      <c r="O151" s="287">
        <v>25</v>
      </c>
      <c r="P151" s="288">
        <v>0.1</v>
      </c>
      <c r="Q151" s="54">
        <v>0</v>
      </c>
      <c r="R151" t="s">
        <v>670</v>
      </c>
      <c r="Y151" t="s">
        <v>616</v>
      </c>
      <c r="Z151" t="s">
        <v>670</v>
      </c>
    </row>
    <row r="152" spans="1:26" ht="43.2" x14ac:dyDescent="0.3">
      <c r="A152" s="40" t="s">
        <v>709</v>
      </c>
      <c r="B152" s="281" t="str">
        <f t="shared" si="14"/>
        <v>Технологический трубопровод выхода газа из газо-сепаратора ГС-2 в Е-4, попутный нефтяной газ</v>
      </c>
      <c r="C152" s="289">
        <v>1</v>
      </c>
      <c r="D152">
        <v>0.06</v>
      </c>
      <c r="E152" s="294">
        <f t="shared" si="16"/>
        <v>0.06</v>
      </c>
      <c r="F152" s="40" t="s">
        <v>372</v>
      </c>
      <c r="G152">
        <v>0.6</v>
      </c>
      <c r="H152" s="278" t="s">
        <v>698</v>
      </c>
      <c r="I152" s="50">
        <f t="shared" si="15"/>
        <v>1.4137166941154067E-2</v>
      </c>
      <c r="J152" s="51">
        <v>20</v>
      </c>
      <c r="K152" s="49">
        <v>30</v>
      </c>
      <c r="L152" s="204">
        <v>0</v>
      </c>
      <c r="M152" s="285">
        <v>5.1999999999999998E-2</v>
      </c>
      <c r="N152" s="286">
        <v>0.86099999999999999</v>
      </c>
      <c r="O152" s="287">
        <v>25</v>
      </c>
      <c r="P152" s="288">
        <v>0.1</v>
      </c>
      <c r="Q152" s="54">
        <v>0</v>
      </c>
      <c r="R152" t="s">
        <v>670</v>
      </c>
      <c r="Y152" t="s">
        <v>617</v>
      </c>
      <c r="Z152" t="s">
        <v>670</v>
      </c>
    </row>
    <row r="153" spans="1:26" ht="72" x14ac:dyDescent="0.3">
      <c r="A153" s="40" t="s">
        <v>709</v>
      </c>
      <c r="B153" s="281" t="str">
        <f t="shared" si="14"/>
        <v>Технологический трубопровод подачи газа от трубопровода рег.№56  в трубопровод рег.№65. (газ на запальники факелов), попутный нефтяной газ</v>
      </c>
      <c r="C153" s="289">
        <v>1</v>
      </c>
      <c r="D153">
        <v>0.36</v>
      </c>
      <c r="E153" s="294">
        <f t="shared" si="16"/>
        <v>0.36</v>
      </c>
      <c r="F153" s="40" t="s">
        <v>372</v>
      </c>
      <c r="G153">
        <v>0.2</v>
      </c>
      <c r="H153" s="278" t="s">
        <v>698</v>
      </c>
      <c r="I153" s="50">
        <f t="shared" si="15"/>
        <v>1.4137166941154067E-2</v>
      </c>
      <c r="J153" s="51">
        <v>20</v>
      </c>
      <c r="K153" s="49">
        <v>30</v>
      </c>
      <c r="L153" s="204">
        <v>0</v>
      </c>
      <c r="M153" s="285">
        <v>5.1999999999999998E-2</v>
      </c>
      <c r="N153" s="286">
        <v>0.86099999999999999</v>
      </c>
      <c r="O153" s="287">
        <v>25</v>
      </c>
      <c r="P153" s="288">
        <v>0.1</v>
      </c>
      <c r="Q153" s="54">
        <v>0</v>
      </c>
      <c r="R153" t="s">
        <v>670</v>
      </c>
      <c r="Y153" t="s">
        <v>618</v>
      </c>
      <c r="Z153" t="s">
        <v>670</v>
      </c>
    </row>
    <row r="154" spans="1:26" ht="57.6" x14ac:dyDescent="0.3">
      <c r="A154" s="40" t="s">
        <v>709</v>
      </c>
      <c r="B154" s="281" t="str">
        <f t="shared" si="14"/>
        <v>Технологический трубопровод топлив-ного газа от трубопровода рег. №54 на ПП-0,63., попутный нефтяной газ</v>
      </c>
      <c r="C154" s="289">
        <v>1</v>
      </c>
      <c r="D154">
        <v>0.5</v>
      </c>
      <c r="E154" s="294">
        <f t="shared" si="16"/>
        <v>0.5</v>
      </c>
      <c r="F154" s="40" t="s">
        <v>372</v>
      </c>
      <c r="G154">
        <v>0.6</v>
      </c>
      <c r="H154" s="278" t="s">
        <v>698</v>
      </c>
      <c r="I154" s="50">
        <f t="shared" si="15"/>
        <v>1.4137166941154067E-2</v>
      </c>
      <c r="J154" s="51">
        <v>20</v>
      </c>
      <c r="K154" s="49">
        <v>30</v>
      </c>
      <c r="L154" s="204">
        <v>0</v>
      </c>
      <c r="M154" s="285">
        <v>5.1999999999999998E-2</v>
      </c>
      <c r="N154" s="286">
        <v>0.86099999999999999</v>
      </c>
      <c r="O154" s="287">
        <v>25</v>
      </c>
      <c r="P154" s="288">
        <v>0.1</v>
      </c>
      <c r="Q154" s="54">
        <v>0</v>
      </c>
      <c r="R154" t="s">
        <v>670</v>
      </c>
      <c r="Y154" t="s">
        <v>619</v>
      </c>
      <c r="Z154" t="s">
        <v>670</v>
      </c>
    </row>
    <row r="155" spans="1:26" ht="57.6" x14ac:dyDescent="0.3">
      <c r="A155" s="40" t="s">
        <v>709</v>
      </c>
      <c r="B155" s="281" t="str">
        <f t="shared" si="14"/>
        <v>Технологический трубопровод подачи газа от трубопровода рег .№68 на факел высокого давления, попутный нефтяной газ</v>
      </c>
      <c r="C155" s="289">
        <v>1</v>
      </c>
      <c r="D155">
        <v>0.7</v>
      </c>
      <c r="E155" s="294">
        <f t="shared" si="16"/>
        <v>0.7</v>
      </c>
      <c r="F155" s="40" t="s">
        <v>372</v>
      </c>
      <c r="G155">
        <v>0.6</v>
      </c>
      <c r="H155" s="278" t="s">
        <v>698</v>
      </c>
      <c r="I155" s="50">
        <f t="shared" si="15"/>
        <v>1.4137166941154067E-2</v>
      </c>
      <c r="J155" s="51">
        <v>20</v>
      </c>
      <c r="K155" s="49">
        <v>30</v>
      </c>
      <c r="L155" s="204">
        <v>0</v>
      </c>
      <c r="M155" s="285">
        <v>5.1999999999999998E-2</v>
      </c>
      <c r="N155" s="286">
        <v>0.86099999999999999</v>
      </c>
      <c r="O155" s="287">
        <v>25</v>
      </c>
      <c r="P155" s="288">
        <v>0.1</v>
      </c>
      <c r="Q155" s="54">
        <v>0</v>
      </c>
      <c r="R155" t="s">
        <v>670</v>
      </c>
      <c r="Y155" t="s">
        <v>620</v>
      </c>
      <c r="Z155" t="s">
        <v>670</v>
      </c>
    </row>
    <row r="156" spans="1:26" ht="43.2" x14ac:dyDescent="0.3">
      <c r="A156" s="40" t="s">
        <v>709</v>
      </c>
      <c r="B156" s="281" t="str">
        <f t="shared" si="14"/>
        <v>Технологический трубопровод подачи товарной нефти от О-5 до трубопровода рег.№36., нефть</v>
      </c>
      <c r="C156" s="289">
        <v>1</v>
      </c>
      <c r="D156">
        <v>0.7</v>
      </c>
      <c r="E156" s="294">
        <f t="shared" si="16"/>
        <v>0.7</v>
      </c>
      <c r="F156" s="40" t="s">
        <v>374</v>
      </c>
      <c r="G156">
        <v>0.25</v>
      </c>
      <c r="H156" s="278" t="s">
        <v>698</v>
      </c>
      <c r="I156" s="50">
        <f t="shared" si="15"/>
        <v>1.4137166941154067E-2</v>
      </c>
      <c r="J156" s="51">
        <v>20</v>
      </c>
      <c r="K156" s="49">
        <v>30</v>
      </c>
      <c r="L156" s="204">
        <v>0</v>
      </c>
      <c r="M156" s="285">
        <v>5.1999999999999998E-2</v>
      </c>
      <c r="N156" s="286">
        <v>0.86099999999999999</v>
      </c>
      <c r="O156" s="287">
        <v>25</v>
      </c>
      <c r="P156" s="288">
        <v>0.1</v>
      </c>
      <c r="Q156" s="54">
        <v>0</v>
      </c>
      <c r="R156" t="s">
        <v>98</v>
      </c>
      <c r="Y156" t="s">
        <v>621</v>
      </c>
      <c r="Z156" t="s">
        <v>98</v>
      </c>
    </row>
    <row r="157" spans="1:26" ht="86.4" x14ac:dyDescent="0.3">
      <c r="A157" s="40" t="s">
        <v>709</v>
      </c>
      <c r="B157" s="281" t="str">
        <f t="shared" si="14"/>
        <v>Технологический трубопровод Газо-уравнительная линия с сепаратора С-2.1, С-2.2, С-3.2, О-1.1, О-1.2 в газосепаратор низкого давления ГС-2, попутный нефтяной газ</v>
      </c>
      <c r="C157" s="289">
        <v>1</v>
      </c>
      <c r="D157">
        <v>0.27</v>
      </c>
      <c r="E157" s="294">
        <f t="shared" si="16"/>
        <v>0.27</v>
      </c>
      <c r="F157" s="40" t="s">
        <v>372</v>
      </c>
      <c r="G157">
        <v>0.25</v>
      </c>
      <c r="H157" s="278" t="s">
        <v>698</v>
      </c>
      <c r="I157" s="50">
        <f t="shared" si="15"/>
        <v>1.4137166941154067E-2</v>
      </c>
      <c r="J157" s="51">
        <v>20</v>
      </c>
      <c r="K157" s="49">
        <v>30</v>
      </c>
      <c r="L157" s="204">
        <v>0</v>
      </c>
      <c r="M157" s="285">
        <v>5.1999999999999998E-2</v>
      </c>
      <c r="N157" s="286">
        <v>0.86099999999999999</v>
      </c>
      <c r="O157" s="287">
        <v>25</v>
      </c>
      <c r="P157" s="288">
        <v>0.1</v>
      </c>
      <c r="Q157" s="54">
        <v>0</v>
      </c>
      <c r="R157" t="s">
        <v>670</v>
      </c>
      <c r="Y157" t="s">
        <v>622</v>
      </c>
      <c r="Z157" t="s">
        <v>670</v>
      </c>
    </row>
    <row r="158" spans="1:26" ht="57.6" x14ac:dyDescent="0.3">
      <c r="A158" s="40" t="s">
        <v>709</v>
      </c>
      <c r="B158" s="281" t="str">
        <f t="shared" si="14"/>
        <v>Технологический трубопровод газа от газосепаратора низкого давления ГС-2 в трубопровод рег.№68., попутный нефтяной газ</v>
      </c>
      <c r="C158" s="282">
        <v>1</v>
      </c>
      <c r="D158">
        <v>0.02</v>
      </c>
      <c r="E158" s="294">
        <f t="shared" si="16"/>
        <v>0.02</v>
      </c>
      <c r="F158" s="40" t="s">
        <v>372</v>
      </c>
      <c r="G158">
        <v>0.2</v>
      </c>
      <c r="H158" s="278" t="s">
        <v>698</v>
      </c>
      <c r="I158" s="50">
        <f t="shared" si="15"/>
        <v>1.4137166941154067E-2</v>
      </c>
      <c r="J158" s="51">
        <v>20</v>
      </c>
      <c r="K158" s="49">
        <v>30</v>
      </c>
      <c r="L158" s="204">
        <v>0</v>
      </c>
      <c r="M158" s="285">
        <v>5.1999999999999998E-2</v>
      </c>
      <c r="N158" s="286">
        <v>0.86099999999999999</v>
      </c>
      <c r="O158" s="287">
        <v>25</v>
      </c>
      <c r="P158" s="288">
        <v>0.1</v>
      </c>
      <c r="Q158" s="54">
        <v>0</v>
      </c>
      <c r="R158" t="s">
        <v>670</v>
      </c>
      <c r="Y158" t="s">
        <v>623</v>
      </c>
      <c r="Z158" t="s">
        <v>670</v>
      </c>
    </row>
    <row r="159" spans="1:26" ht="57.6" x14ac:dyDescent="0.3">
      <c r="A159" s="40" t="s">
        <v>709</v>
      </c>
      <c r="B159" s="281" t="str">
        <f t="shared" si="14"/>
        <v>Технологический трубопровод газа от рег.№68 на пилотные горелки факелов низкого и высокого давления, попутный нефтяной газ</v>
      </c>
      <c r="C159" s="282">
        <v>1</v>
      </c>
      <c r="D159">
        <v>0.8</v>
      </c>
      <c r="E159" s="294">
        <f t="shared" si="16"/>
        <v>0.8</v>
      </c>
      <c r="F159" s="40" t="s">
        <v>372</v>
      </c>
      <c r="G159">
        <v>0.2</v>
      </c>
      <c r="H159" s="278" t="s">
        <v>698</v>
      </c>
      <c r="I159" s="50">
        <f t="shared" si="15"/>
        <v>1.4137166941154067E-2</v>
      </c>
      <c r="J159" s="51">
        <v>20</v>
      </c>
      <c r="K159" s="49">
        <v>30</v>
      </c>
      <c r="L159" s="204">
        <v>0</v>
      </c>
      <c r="M159" s="285">
        <v>5.1999999999999998E-2</v>
      </c>
      <c r="N159" s="286">
        <v>0.86099999999999999</v>
      </c>
      <c r="O159" s="287">
        <v>25</v>
      </c>
      <c r="P159" s="288">
        <v>0.1</v>
      </c>
      <c r="Q159" s="54">
        <v>0</v>
      </c>
      <c r="R159" t="s">
        <v>670</v>
      </c>
      <c r="Y159" t="s">
        <v>624</v>
      </c>
      <c r="Z159" t="s">
        <v>670</v>
      </c>
    </row>
    <row r="160" spans="1:26" ht="57.6" x14ac:dyDescent="0.3">
      <c r="A160" s="40" t="s">
        <v>709</v>
      </c>
      <c r="B160" s="281" t="str">
        <f t="shared" si="14"/>
        <v>Технологический трубопровод газа от подземных емкостей ЕД-3, ЕД-2, ЕА, ЕД-1 на факел низкого давления, попутный нефтяной газ</v>
      </c>
      <c r="C160" s="282">
        <v>1</v>
      </c>
      <c r="D160">
        <v>0.8</v>
      </c>
      <c r="E160" s="294">
        <f t="shared" si="16"/>
        <v>0.8</v>
      </c>
      <c r="F160" s="40" t="s">
        <v>372</v>
      </c>
      <c r="G160">
        <v>0.05</v>
      </c>
      <c r="H160" s="278" t="s">
        <v>698</v>
      </c>
      <c r="I160" s="50">
        <f t="shared" si="15"/>
        <v>1.4137166941154067E-2</v>
      </c>
      <c r="J160" s="51">
        <v>20</v>
      </c>
      <c r="K160" s="49">
        <v>30</v>
      </c>
      <c r="L160" s="204">
        <v>0</v>
      </c>
      <c r="M160" s="285">
        <v>5.1999999999999998E-2</v>
      </c>
      <c r="N160" s="286">
        <v>0.86099999999999999</v>
      </c>
      <c r="O160" s="287">
        <v>25</v>
      </c>
      <c r="P160" s="288">
        <v>0.1</v>
      </c>
      <c r="Q160" s="54">
        <v>0</v>
      </c>
      <c r="R160" t="s">
        <v>670</v>
      </c>
      <c r="Y160" t="s">
        <v>625</v>
      </c>
      <c r="Z160" t="s">
        <v>670</v>
      </c>
    </row>
    <row r="161" spans="1:26" ht="72" x14ac:dyDescent="0.3">
      <c r="A161" s="40" t="s">
        <v>709</v>
      </c>
      <c r="B161" s="281" t="str">
        <f t="shared" si="14"/>
        <v>Технологический трубопровод откачки насосов подземных емкостей ЕД-2,ЕА, ЕУ в трубопроводы рег.№9,рег.№10, нефть</v>
      </c>
      <c r="C161" s="282">
        <v>1</v>
      </c>
      <c r="D161">
        <v>0.48</v>
      </c>
      <c r="E161" s="294">
        <f t="shared" si="16"/>
        <v>0.48</v>
      </c>
      <c r="F161" s="40" t="s">
        <v>372</v>
      </c>
      <c r="G161">
        <v>0.6</v>
      </c>
      <c r="H161" s="278" t="s">
        <v>698</v>
      </c>
      <c r="I161" s="50">
        <f t="shared" si="15"/>
        <v>1.4137166941154067E-2</v>
      </c>
      <c r="J161" s="51">
        <v>20</v>
      </c>
      <c r="K161" s="49">
        <v>30</v>
      </c>
      <c r="L161" s="204">
        <v>0</v>
      </c>
      <c r="M161" s="285">
        <v>5.1999999999999998E-2</v>
      </c>
      <c r="N161" s="286">
        <v>0.86099999999999999</v>
      </c>
      <c r="O161" s="287">
        <v>25</v>
      </c>
      <c r="P161" s="288">
        <v>0.1</v>
      </c>
      <c r="Q161" s="54">
        <v>0</v>
      </c>
      <c r="R161" t="s">
        <v>98</v>
      </c>
      <c r="Y161" t="s">
        <v>626</v>
      </c>
      <c r="Z161" t="s">
        <v>98</v>
      </c>
    </row>
    <row r="162" spans="1:26" ht="43.2" x14ac:dyDescent="0.3">
      <c r="A162" s="40" t="s">
        <v>709</v>
      </c>
      <c r="B162" s="281" t="str">
        <f t="shared" si="14"/>
        <v>Технологический трубопровод выхода газа из газосепаратора ГС-1 в Е-4, попутный нефтяной газ</v>
      </c>
      <c r="C162" s="282">
        <v>1</v>
      </c>
      <c r="D162">
        <v>0.48</v>
      </c>
      <c r="E162" s="294">
        <f t="shared" si="16"/>
        <v>0.48</v>
      </c>
      <c r="F162" s="40" t="s">
        <v>372</v>
      </c>
      <c r="G162">
        <v>0.6</v>
      </c>
      <c r="H162" s="278" t="s">
        <v>698</v>
      </c>
      <c r="I162" s="50">
        <f t="shared" si="15"/>
        <v>1.4137166941154067E-2</v>
      </c>
      <c r="J162" s="51">
        <v>20</v>
      </c>
      <c r="K162" s="49">
        <v>30</v>
      </c>
      <c r="L162" s="204">
        <v>0</v>
      </c>
      <c r="M162" s="285">
        <v>5.1999999999999998E-2</v>
      </c>
      <c r="N162" s="286">
        <v>0.86099999999999999</v>
      </c>
      <c r="O162" s="287">
        <v>25</v>
      </c>
      <c r="P162" s="288">
        <v>0.1</v>
      </c>
      <c r="Q162" s="54">
        <v>0</v>
      </c>
      <c r="R162" t="s">
        <v>670</v>
      </c>
      <c r="V162" s="310">
        <v>8539.4779999999992</v>
      </c>
      <c r="Y162" t="s">
        <v>627</v>
      </c>
      <c r="Z162" t="s">
        <v>670</v>
      </c>
    </row>
    <row r="163" spans="1:26" ht="57.6" x14ac:dyDescent="0.3">
      <c r="A163" s="40" t="s">
        <v>709</v>
      </c>
      <c r="B163" s="281" t="str">
        <f t="shared" si="14"/>
        <v>Технологический трубопровод подачи деэмульгатора от БР-2,5 в трубопроводы рег. №1, рег. №2, рег. №9, рег. №10., деэмульгатор</v>
      </c>
      <c r="C163" s="282">
        <v>1</v>
      </c>
      <c r="D163">
        <v>0.6</v>
      </c>
      <c r="E163" s="294">
        <f t="shared" si="16"/>
        <v>0.6</v>
      </c>
      <c r="F163" s="40" t="s">
        <v>374</v>
      </c>
      <c r="G163">
        <v>0.6</v>
      </c>
      <c r="H163" s="278" t="s">
        <v>698</v>
      </c>
      <c r="I163" s="50">
        <f t="shared" si="15"/>
        <v>1.4137166941154067E-2</v>
      </c>
      <c r="J163" s="51">
        <v>20</v>
      </c>
      <c r="K163" s="49">
        <v>30</v>
      </c>
      <c r="L163" s="204">
        <v>0</v>
      </c>
      <c r="M163" s="285">
        <v>5.1999999999999998E-2</v>
      </c>
      <c r="N163" s="286">
        <v>0.86099999999999999</v>
      </c>
      <c r="O163" s="287">
        <v>25</v>
      </c>
      <c r="P163" s="288">
        <v>0.1</v>
      </c>
      <c r="Q163" s="54">
        <v>0</v>
      </c>
      <c r="R163" t="s">
        <v>98</v>
      </c>
      <c r="V163" s="310">
        <v>25.108000000000001</v>
      </c>
      <c r="Y163" t="s">
        <v>628</v>
      </c>
      <c r="Z163" t="s">
        <v>678</v>
      </c>
    </row>
    <row r="164" spans="1:26" ht="57.6" x14ac:dyDescent="0.3">
      <c r="A164" s="40" t="s">
        <v>709</v>
      </c>
      <c r="B164" s="281" t="str">
        <f t="shared" si="14"/>
        <v>Технологический трубопровод сброс воды с О-2, О-3, О-4,  О-1.1, О-1.2, С-1.1, С-1.2 в Р-5, Р-6., пластовая вода</v>
      </c>
      <c r="C164" s="283">
        <v>1</v>
      </c>
      <c r="D164">
        <v>0.01</v>
      </c>
      <c r="E164" s="294">
        <f t="shared" si="16"/>
        <v>0.01</v>
      </c>
      <c r="F164" s="40" t="s">
        <v>374</v>
      </c>
      <c r="G164">
        <v>0.6</v>
      </c>
      <c r="H164" s="278" t="s">
        <v>698</v>
      </c>
      <c r="I164" s="50">
        <f t="shared" si="15"/>
        <v>1.4137166941154067E-2</v>
      </c>
      <c r="J164" s="51">
        <v>20</v>
      </c>
      <c r="K164" s="49">
        <v>30</v>
      </c>
      <c r="L164" s="204">
        <v>0</v>
      </c>
      <c r="M164" s="285">
        <v>5.1999999999999998E-2</v>
      </c>
      <c r="N164" s="286">
        <v>0.86099999999999999</v>
      </c>
      <c r="O164" s="287">
        <v>25</v>
      </c>
      <c r="P164" s="288">
        <v>0.1</v>
      </c>
      <c r="Q164" s="54">
        <v>0</v>
      </c>
      <c r="R164" t="s">
        <v>98</v>
      </c>
      <c r="V164" s="310">
        <v>1783.2090000000001</v>
      </c>
      <c r="Y164" t="s">
        <v>629</v>
      </c>
      <c r="Z164" t="s">
        <v>674</v>
      </c>
    </row>
    <row r="165" spans="1:26" ht="28.8" x14ac:dyDescent="0.3">
      <c r="A165" s="40" t="s">
        <v>709</v>
      </c>
      <c r="B165" s="281" t="str">
        <f t="shared" si="14"/>
        <v>Технологический трубопровод откачки с ЕП-1, ЕД-3., нефть</v>
      </c>
      <c r="C165" s="289">
        <v>1</v>
      </c>
      <c r="D165">
        <v>0.4</v>
      </c>
      <c r="E165" s="294">
        <f t="shared" si="16"/>
        <v>0.4</v>
      </c>
      <c r="F165" s="40" t="s">
        <v>374</v>
      </c>
      <c r="G165">
        <v>0.6</v>
      </c>
      <c r="H165" s="278" t="s">
        <v>698</v>
      </c>
      <c r="I165" s="50">
        <f t="shared" si="15"/>
        <v>1.4137166941154067E-2</v>
      </c>
      <c r="J165" s="51">
        <v>20</v>
      </c>
      <c r="K165" s="49">
        <v>30</v>
      </c>
      <c r="L165" s="204">
        <v>0</v>
      </c>
      <c r="M165" s="285">
        <v>5.1999999999999998E-2</v>
      </c>
      <c r="N165" s="286">
        <v>0.86099999999999999</v>
      </c>
      <c r="O165" s="287">
        <v>25</v>
      </c>
      <c r="P165" s="288">
        <v>0.1</v>
      </c>
      <c r="Q165" s="54">
        <v>0</v>
      </c>
      <c r="R165" t="s">
        <v>98</v>
      </c>
      <c r="Y165" t="s">
        <v>630</v>
      </c>
      <c r="Z165" t="s">
        <v>98</v>
      </c>
    </row>
    <row r="166" spans="1:26" ht="43.2" x14ac:dyDescent="0.3">
      <c r="A166" s="40" t="s">
        <v>709</v>
      </c>
      <c r="B166" s="281" t="str">
        <f t="shared" si="14"/>
        <v>Технологический трубопровод дренаж с Р-5, Р-6 в Р-9, Р-12, пластовая вода</v>
      </c>
      <c r="C166" s="289">
        <v>1</v>
      </c>
      <c r="D166">
        <v>0.01</v>
      </c>
      <c r="E166" s="294">
        <f t="shared" si="16"/>
        <v>0.01</v>
      </c>
      <c r="F166" s="40" t="s">
        <v>374</v>
      </c>
      <c r="G166">
        <v>0.15</v>
      </c>
      <c r="H166" s="278" t="s">
        <v>698</v>
      </c>
      <c r="I166" s="50">
        <f t="shared" si="15"/>
        <v>1.4137166941154067E-2</v>
      </c>
      <c r="J166" s="51">
        <v>20</v>
      </c>
      <c r="K166" s="49">
        <v>30</v>
      </c>
      <c r="L166" s="204">
        <v>0</v>
      </c>
      <c r="M166" s="285">
        <v>5.1999999999999998E-2</v>
      </c>
      <c r="N166" s="286">
        <v>0.86099999999999999</v>
      </c>
      <c r="O166" s="287">
        <v>25</v>
      </c>
      <c r="P166" s="288">
        <v>0.1</v>
      </c>
      <c r="Q166" s="54">
        <v>0</v>
      </c>
      <c r="R166" t="s">
        <v>98</v>
      </c>
      <c r="V166" s="280">
        <f>SUM(V162:V164)</f>
        <v>10347.795</v>
      </c>
      <c r="Y166" t="s">
        <v>631</v>
      </c>
      <c r="Z166" t="s">
        <v>674</v>
      </c>
    </row>
    <row r="167" spans="1:26" ht="28.8" x14ac:dyDescent="0.3">
      <c r="A167" s="40" t="s">
        <v>709</v>
      </c>
      <c r="B167" s="281" t="str">
        <f t="shared" si="14"/>
        <v>Трубопровод подачи пены (сухотруб), пенообразователь</v>
      </c>
      <c r="C167" s="289">
        <v>1</v>
      </c>
      <c r="D167">
        <v>0.1</v>
      </c>
      <c r="E167" s="294">
        <f t="shared" si="16"/>
        <v>0.1</v>
      </c>
      <c r="F167" s="40" t="s">
        <v>374</v>
      </c>
      <c r="G167">
        <v>0.75</v>
      </c>
      <c r="H167" s="278" t="s">
        <v>698</v>
      </c>
      <c r="I167" s="50">
        <f t="shared" si="15"/>
        <v>1.4137166941154067E-2</v>
      </c>
      <c r="J167" s="51">
        <v>20</v>
      </c>
      <c r="K167" s="49">
        <v>30</v>
      </c>
      <c r="L167" s="204">
        <v>0</v>
      </c>
      <c r="M167" s="285">
        <v>5.1999999999999998E-2</v>
      </c>
      <c r="N167" s="286">
        <v>0.86099999999999999</v>
      </c>
      <c r="O167" s="287">
        <v>25</v>
      </c>
      <c r="P167" s="288">
        <v>0.1</v>
      </c>
      <c r="Q167" s="54">
        <v>0</v>
      </c>
      <c r="R167" t="s">
        <v>690</v>
      </c>
      <c r="Y167" t="s">
        <v>632</v>
      </c>
      <c r="Z167" t="s">
        <v>690</v>
      </c>
    </row>
    <row r="168" spans="1:26" x14ac:dyDescent="0.3">
      <c r="A168" s="40" t="s">
        <v>709</v>
      </c>
      <c r="B168" s="281" t="str">
        <f t="shared" si="14"/>
        <v>Сети канализации, нефть</v>
      </c>
      <c r="C168" s="289">
        <v>1</v>
      </c>
      <c r="D168">
        <v>0.1</v>
      </c>
      <c r="E168" s="294">
        <f t="shared" si="16"/>
        <v>0.1</v>
      </c>
      <c r="F168" s="40" t="s">
        <v>374</v>
      </c>
      <c r="G168">
        <v>0</v>
      </c>
      <c r="H168" s="278" t="s">
        <v>698</v>
      </c>
      <c r="I168" s="50">
        <f t="shared" si="15"/>
        <v>1.4137166941154067E-2</v>
      </c>
      <c r="J168" s="51">
        <v>20</v>
      </c>
      <c r="K168" s="49">
        <v>30</v>
      </c>
      <c r="L168" s="204">
        <v>0</v>
      </c>
      <c r="M168" s="285">
        <v>5.1999999999999998E-2</v>
      </c>
      <c r="N168" s="286">
        <v>0.86099999999999999</v>
      </c>
      <c r="O168" s="287">
        <v>25</v>
      </c>
      <c r="P168" s="288">
        <v>0.1</v>
      </c>
      <c r="Q168" s="54">
        <v>0</v>
      </c>
      <c r="R168" t="s">
        <v>98</v>
      </c>
      <c r="Y168" t="s">
        <v>633</v>
      </c>
      <c r="Z168" t="s">
        <v>98</v>
      </c>
    </row>
    <row r="169" spans="1:26" ht="29.4" thickBot="1" x14ac:dyDescent="0.35">
      <c r="A169" s="40" t="s">
        <v>709</v>
      </c>
      <c r="B169" s="281" t="str">
        <f t="shared" si="14"/>
        <v>Трубопровод сточной воды, сточная вода (остатки нефти)</v>
      </c>
      <c r="C169" s="289">
        <v>1</v>
      </c>
      <c r="D169">
        <v>0.1</v>
      </c>
      <c r="E169" s="294">
        <f t="shared" si="16"/>
        <v>0.1</v>
      </c>
      <c r="F169" s="40" t="s">
        <v>374</v>
      </c>
      <c r="G169">
        <v>0.1</v>
      </c>
      <c r="H169" s="278" t="s">
        <v>698</v>
      </c>
      <c r="I169" s="50">
        <f t="shared" si="15"/>
        <v>1.4137166941154067E-2</v>
      </c>
      <c r="J169" s="51">
        <v>20</v>
      </c>
      <c r="K169" s="49">
        <v>30</v>
      </c>
      <c r="L169" s="204">
        <v>0</v>
      </c>
      <c r="M169" s="285">
        <v>5.1999999999999998E-2</v>
      </c>
      <c r="N169" s="286">
        <v>0.86099999999999999</v>
      </c>
      <c r="O169" s="287">
        <v>25</v>
      </c>
      <c r="P169" s="288">
        <v>0.1</v>
      </c>
      <c r="Q169" s="54">
        <v>0</v>
      </c>
      <c r="R169" t="s">
        <v>98</v>
      </c>
      <c r="Y169" t="s">
        <v>634</v>
      </c>
      <c r="Z169" t="s">
        <v>686</v>
      </c>
    </row>
    <row r="170" spans="1:26" ht="43.8" thickBot="1" x14ac:dyDescent="0.35">
      <c r="A170" s="40" t="s">
        <v>709</v>
      </c>
      <c r="B170" s="281" t="str">
        <f t="shared" si="14"/>
        <v>Трубопровод канализации с насосов ОС, сточная вода (остатки нефти)</v>
      </c>
      <c r="C170" s="289">
        <v>1</v>
      </c>
      <c r="D170">
        <v>0.1</v>
      </c>
      <c r="E170" s="294">
        <f t="shared" si="16"/>
        <v>0.1</v>
      </c>
      <c r="F170" s="40" t="s">
        <v>372</v>
      </c>
      <c r="G170">
        <v>0</v>
      </c>
      <c r="H170" s="278" t="s">
        <v>698</v>
      </c>
      <c r="I170" s="50">
        <f t="shared" si="15"/>
        <v>1.4137166941154067E-2</v>
      </c>
      <c r="J170" s="51">
        <v>20</v>
      </c>
      <c r="K170" s="49">
        <v>30</v>
      </c>
      <c r="L170" s="204">
        <v>0</v>
      </c>
      <c r="M170" s="285">
        <v>5.1999999999999998E-2</v>
      </c>
      <c r="N170" s="286">
        <v>0.86099999999999999</v>
      </c>
      <c r="O170" s="287">
        <v>25</v>
      </c>
      <c r="P170" s="288">
        <v>0.1</v>
      </c>
      <c r="Q170" s="54">
        <v>0</v>
      </c>
      <c r="R170" t="s">
        <v>98</v>
      </c>
      <c r="T170" s="57" t="s">
        <v>670</v>
      </c>
      <c r="U170" s="276">
        <f>SUMIF($R$171:$R$197,T170,$E$170:$E$197)</f>
        <v>5.1978</v>
      </c>
      <c r="Y170" t="s">
        <v>635</v>
      </c>
      <c r="Z170" t="s">
        <v>686</v>
      </c>
    </row>
    <row r="171" spans="1:26" ht="29.4" thickBot="1" x14ac:dyDescent="0.35">
      <c r="A171" s="40" t="s">
        <v>708</v>
      </c>
      <c r="B171" s="281" t="str">
        <f t="shared" si="14"/>
        <v>Участок от ГРБ до Е-1,С-1/1,С-1/2, попутный нефтяной газ</v>
      </c>
      <c r="C171" s="282">
        <v>1</v>
      </c>
      <c r="D171">
        <v>0.01</v>
      </c>
      <c r="E171" s="294">
        <f t="shared" si="16"/>
        <v>0.01</v>
      </c>
      <c r="F171" s="40" t="s">
        <v>372</v>
      </c>
      <c r="G171" t="s">
        <v>691</v>
      </c>
      <c r="H171" s="278" t="s">
        <v>698</v>
      </c>
      <c r="I171" s="50">
        <f t="shared" si="15"/>
        <v>1.4137166941154067E-2</v>
      </c>
      <c r="J171" s="51">
        <v>20</v>
      </c>
      <c r="K171" s="49">
        <v>30</v>
      </c>
      <c r="L171" s="204">
        <v>0</v>
      </c>
      <c r="M171" s="285">
        <v>5.1999999999999998E-2</v>
      </c>
      <c r="N171" s="286">
        <v>0.86099999999999999</v>
      </c>
      <c r="O171" s="287">
        <v>25</v>
      </c>
      <c r="P171" s="288">
        <v>0.1</v>
      </c>
      <c r="Q171" s="54">
        <v>0</v>
      </c>
      <c r="R171" t="s">
        <v>670</v>
      </c>
      <c r="T171" s="279" t="s">
        <v>687</v>
      </c>
      <c r="U171" s="276">
        <f>SUMIF($R$171:$R$197,T171,$E$171:$E$198)</f>
        <v>19.450000000000003</v>
      </c>
      <c r="Y171" t="s">
        <v>636</v>
      </c>
      <c r="Z171" t="s">
        <v>670</v>
      </c>
    </row>
    <row r="172" spans="1:26" ht="43.8" thickBot="1" x14ac:dyDescent="0.35">
      <c r="A172" s="40" t="s">
        <v>708</v>
      </c>
      <c r="B172" s="281" t="str">
        <f t="shared" si="14"/>
        <v>Участок от С-1/1,С-1/2 до приемного коллектора, попутный нефтяной газ</v>
      </c>
      <c r="C172" s="282">
        <v>1</v>
      </c>
      <c r="D172">
        <v>8.9999999999999993E-3</v>
      </c>
      <c r="E172" s="294">
        <f t="shared" si="16"/>
        <v>8.9999999999999993E-3</v>
      </c>
      <c r="F172" s="40" t="s">
        <v>372</v>
      </c>
      <c r="G172" t="s">
        <v>691</v>
      </c>
      <c r="H172" s="278" t="s">
        <v>698</v>
      </c>
      <c r="I172" s="50">
        <f t="shared" si="15"/>
        <v>1.4137166941154067E-2</v>
      </c>
      <c r="J172" s="51">
        <v>20</v>
      </c>
      <c r="K172" s="49">
        <v>30</v>
      </c>
      <c r="L172" s="204">
        <v>0</v>
      </c>
      <c r="M172" s="285">
        <v>5.1999999999999998E-2</v>
      </c>
      <c r="N172" s="286">
        <v>0.86099999999999999</v>
      </c>
      <c r="O172" s="287">
        <v>25</v>
      </c>
      <c r="P172" s="288">
        <v>0.1</v>
      </c>
      <c r="Q172" s="54">
        <v>0</v>
      </c>
      <c r="R172" t="s">
        <v>670</v>
      </c>
      <c r="T172" s="57"/>
      <c r="U172" s="276"/>
      <c r="Y172" t="s">
        <v>637</v>
      </c>
      <c r="Z172" t="s">
        <v>670</v>
      </c>
    </row>
    <row r="173" spans="1:26" ht="29.4" thickBot="1" x14ac:dyDescent="0.35">
      <c r="A173" s="40" t="s">
        <v>708</v>
      </c>
      <c r="B173" s="281" t="str">
        <f t="shared" si="14"/>
        <v>Приемный коллектор, попутный нефтяной газ</v>
      </c>
      <c r="C173" s="282">
        <v>1</v>
      </c>
      <c r="D173">
        <v>1.4999999999999999E-2</v>
      </c>
      <c r="E173" s="294">
        <f t="shared" si="16"/>
        <v>1.4999999999999999E-2</v>
      </c>
      <c r="F173" s="40" t="s">
        <v>372</v>
      </c>
      <c r="G173" t="s">
        <v>691</v>
      </c>
      <c r="H173" s="278" t="s">
        <v>698</v>
      </c>
      <c r="I173" s="50">
        <f t="shared" si="15"/>
        <v>1.4137166941154067E-2</v>
      </c>
      <c r="J173" s="51">
        <v>20</v>
      </c>
      <c r="K173" s="49">
        <v>30</v>
      </c>
      <c r="L173" s="204">
        <v>0</v>
      </c>
      <c r="M173" s="285">
        <v>5.1999999999999998E-2</v>
      </c>
      <c r="N173" s="286">
        <v>0.86099999999999999</v>
      </c>
      <c r="O173" s="287">
        <v>25</v>
      </c>
      <c r="P173" s="288">
        <v>0.1</v>
      </c>
      <c r="Q173" s="54">
        <v>0</v>
      </c>
      <c r="R173" t="s">
        <v>670</v>
      </c>
      <c r="T173" s="57"/>
      <c r="U173" s="276"/>
      <c r="Y173" t="s">
        <v>638</v>
      </c>
      <c r="Z173" t="s">
        <v>670</v>
      </c>
    </row>
    <row r="174" spans="1:26" ht="210" customHeight="1" thickBot="1" x14ac:dyDescent="0.35">
      <c r="A174" s="40" t="s">
        <v>708</v>
      </c>
      <c r="B174" s="281" t="str">
        <f t="shared" si="14"/>
        <v>Технологические трубопроводы:
- обвязка АВО-газа 1 ступени,
- продувочные линии,
- участок от АВОГ 1 ступени до С-2/1,С-2/2,
- участок от С-2/1,С-2/2 до ГРБ,
- участок от ГРБ до АВОГ 2 ступени,
- участок от АВОГ 2 ступени до ГРБ и до Е-1,
- участок от МО до АВОГ 1 ступени,
- участок от выкидного коллектора до МО, 
- выкидной коллектор., попутный нефтяной газ</v>
      </c>
      <c r="C174" s="282">
        <v>1</v>
      </c>
      <c r="D174">
        <v>2.5999999999999999E-2</v>
      </c>
      <c r="E174" s="294">
        <f t="shared" si="16"/>
        <v>2.5999999999999999E-2</v>
      </c>
      <c r="F174" s="40" t="s">
        <v>372</v>
      </c>
      <c r="G174">
        <v>0.65</v>
      </c>
      <c r="H174" s="278" t="s">
        <v>698</v>
      </c>
      <c r="I174" s="50">
        <f t="shared" si="15"/>
        <v>1.4137166941154067E-2</v>
      </c>
      <c r="J174" s="51">
        <v>20</v>
      </c>
      <c r="K174" s="49">
        <v>30</v>
      </c>
      <c r="L174" s="204">
        <v>0</v>
      </c>
      <c r="M174" s="285">
        <v>5.1999999999999998E-2</v>
      </c>
      <c r="N174" s="286">
        <v>0.86099999999999999</v>
      </c>
      <c r="O174" s="287">
        <v>25</v>
      </c>
      <c r="P174" s="288">
        <v>0.1</v>
      </c>
      <c r="Q174" s="54">
        <v>0</v>
      </c>
      <c r="R174" t="s">
        <v>670</v>
      </c>
      <c r="T174" s="57"/>
      <c r="U174" s="276"/>
      <c r="Y174" s="7" t="s">
        <v>639</v>
      </c>
      <c r="Z174" t="s">
        <v>670</v>
      </c>
    </row>
    <row r="175" spans="1:26" ht="29.4" thickBot="1" x14ac:dyDescent="0.35">
      <c r="A175" s="40" t="s">
        <v>708</v>
      </c>
      <c r="B175" s="281" t="str">
        <f t="shared" si="14"/>
        <v>Дренажная линия от Е-2 до Е-4, попутный нефтяной газ</v>
      </c>
      <c r="C175" s="282">
        <v>1</v>
      </c>
      <c r="D175">
        <v>0.18</v>
      </c>
      <c r="E175" s="294">
        <f t="shared" si="16"/>
        <v>0.18</v>
      </c>
      <c r="F175" s="40" t="s">
        <v>372</v>
      </c>
      <c r="G175">
        <v>0.6</v>
      </c>
      <c r="H175" s="278" t="s">
        <v>698</v>
      </c>
      <c r="I175" s="50">
        <f t="shared" si="15"/>
        <v>1.4137166941154067E-2</v>
      </c>
      <c r="J175" s="51">
        <v>20</v>
      </c>
      <c r="K175" s="49">
        <v>30</v>
      </c>
      <c r="L175" s="204">
        <v>0</v>
      </c>
      <c r="M175" s="285">
        <v>5.1999999999999998E-2</v>
      </c>
      <c r="N175" s="286">
        <v>0.86099999999999999</v>
      </c>
      <c r="O175" s="287">
        <v>25</v>
      </c>
      <c r="P175" s="288">
        <v>0.1</v>
      </c>
      <c r="Q175" s="54">
        <v>0</v>
      </c>
      <c r="R175" t="s">
        <v>670</v>
      </c>
      <c r="T175" s="57"/>
      <c r="U175" s="276"/>
      <c r="Y175" t="s">
        <v>640</v>
      </c>
      <c r="Z175" t="s">
        <v>670</v>
      </c>
    </row>
    <row r="176" spans="1:26" ht="29.4" thickBot="1" x14ac:dyDescent="0.35">
      <c r="A176" s="40" t="s">
        <v>708</v>
      </c>
      <c r="B176" s="281" t="str">
        <f t="shared" si="14"/>
        <v>Маслопровод от маслосклада до машзала, технологическое масло</v>
      </c>
      <c r="C176" s="282">
        <v>1</v>
      </c>
      <c r="D176">
        <v>0.05</v>
      </c>
      <c r="E176" s="294">
        <f t="shared" si="16"/>
        <v>0.05</v>
      </c>
      <c r="F176" s="40" t="s">
        <v>374</v>
      </c>
      <c r="G176">
        <v>0.25</v>
      </c>
      <c r="H176" s="278" t="s">
        <v>698</v>
      </c>
      <c r="I176" s="50">
        <f t="shared" si="15"/>
        <v>1.4137166941154067E-2</v>
      </c>
      <c r="J176" s="51">
        <v>20</v>
      </c>
      <c r="K176" s="49">
        <v>30</v>
      </c>
      <c r="L176" s="204">
        <v>0</v>
      </c>
      <c r="M176" s="285">
        <v>5.1999999999999998E-2</v>
      </c>
      <c r="N176" s="286">
        <v>0.86099999999999999</v>
      </c>
      <c r="O176" s="287">
        <v>25</v>
      </c>
      <c r="P176" s="288">
        <v>0.1</v>
      </c>
      <c r="Q176" s="54">
        <v>0</v>
      </c>
      <c r="R176" t="s">
        <v>687</v>
      </c>
      <c r="T176" s="57"/>
      <c r="U176" s="276"/>
      <c r="Y176" t="s">
        <v>641</v>
      </c>
      <c r="Z176" t="s">
        <v>687</v>
      </c>
    </row>
    <row r="177" spans="1:26" ht="29.4" thickBot="1" x14ac:dyDescent="0.35">
      <c r="A177" s="40" t="s">
        <v>708</v>
      </c>
      <c r="B177" s="281" t="str">
        <f t="shared" si="14"/>
        <v>факельная линия, попутный нефтяной газ</v>
      </c>
      <c r="C177" s="283">
        <v>1</v>
      </c>
      <c r="D177">
        <v>2.8000000000000001E-2</v>
      </c>
      <c r="E177" s="294">
        <f t="shared" si="16"/>
        <v>2.8000000000000001E-2</v>
      </c>
      <c r="F177" s="40" t="s">
        <v>372</v>
      </c>
      <c r="G177">
        <v>0.65</v>
      </c>
      <c r="H177" s="278" t="s">
        <v>698</v>
      </c>
      <c r="I177" s="50">
        <f t="shared" si="15"/>
        <v>1.4137166941154067E-2</v>
      </c>
      <c r="J177" s="51">
        <v>20</v>
      </c>
      <c r="K177" s="49">
        <v>30</v>
      </c>
      <c r="L177" s="204">
        <v>0</v>
      </c>
      <c r="M177" s="285">
        <v>5.1999999999999998E-2</v>
      </c>
      <c r="N177" s="286">
        <v>0.86099999999999999</v>
      </c>
      <c r="O177" s="287">
        <v>25</v>
      </c>
      <c r="P177" s="288">
        <v>0.1</v>
      </c>
      <c r="Q177" s="54">
        <v>0</v>
      </c>
      <c r="R177" t="s">
        <v>670</v>
      </c>
      <c r="T177" s="279"/>
      <c r="U177" s="276"/>
      <c r="Y177" t="s">
        <v>642</v>
      </c>
      <c r="Z177" t="s">
        <v>670</v>
      </c>
    </row>
    <row r="178" spans="1:26" ht="28.8" x14ac:dyDescent="0.3">
      <c r="A178" s="40" t="s">
        <v>708</v>
      </c>
      <c r="B178" s="281" t="str">
        <f t="shared" si="14"/>
        <v>Газосепаратор С-1/1, попутный нефтяной газ</v>
      </c>
      <c r="C178" s="289">
        <v>1</v>
      </c>
      <c r="D178">
        <v>7.0000000000000001E-3</v>
      </c>
      <c r="E178" s="294">
        <f t="shared" si="16"/>
        <v>7.0000000000000001E-3</v>
      </c>
      <c r="F178" s="40" t="s">
        <v>372</v>
      </c>
      <c r="G178">
        <v>0.6</v>
      </c>
      <c r="H178" s="19" t="s">
        <v>703</v>
      </c>
      <c r="I178" s="50">
        <f t="shared" si="15"/>
        <v>1.4137166941154067E-2</v>
      </c>
      <c r="J178" s="51">
        <v>20</v>
      </c>
      <c r="K178" s="49">
        <v>30</v>
      </c>
      <c r="L178" s="204">
        <v>0</v>
      </c>
      <c r="M178" s="285">
        <v>5.1999999999999998E-2</v>
      </c>
      <c r="N178" s="286">
        <v>0.86099999999999999</v>
      </c>
      <c r="O178" s="287">
        <v>25</v>
      </c>
      <c r="P178" s="288">
        <v>0.1</v>
      </c>
      <c r="Q178" s="54">
        <v>0</v>
      </c>
      <c r="R178" t="s">
        <v>670</v>
      </c>
      <c r="U178" s="276"/>
      <c r="Y178" t="s">
        <v>643</v>
      </c>
      <c r="Z178" t="s">
        <v>670</v>
      </c>
    </row>
    <row r="179" spans="1:26" ht="28.8" x14ac:dyDescent="0.3">
      <c r="A179" s="40" t="s">
        <v>708</v>
      </c>
      <c r="B179" s="281" t="str">
        <f t="shared" si="14"/>
        <v>Газосепаратор С-1/2, попутный нефтяной газ</v>
      </c>
      <c r="C179" s="289">
        <v>1</v>
      </c>
      <c r="D179">
        <v>7.0000000000000001E-3</v>
      </c>
      <c r="E179" s="294">
        <f t="shared" si="16"/>
        <v>7.0000000000000001E-3</v>
      </c>
      <c r="F179" s="40" t="s">
        <v>372</v>
      </c>
      <c r="G179">
        <v>0.6</v>
      </c>
      <c r="H179" s="19" t="s">
        <v>703</v>
      </c>
      <c r="I179" s="50">
        <f t="shared" si="15"/>
        <v>1.4137166941154067E-2</v>
      </c>
      <c r="J179" s="51">
        <v>20</v>
      </c>
      <c r="K179" s="49">
        <v>30</v>
      </c>
      <c r="L179" s="204">
        <v>0</v>
      </c>
      <c r="M179" s="285">
        <v>5.1999999999999998E-2</v>
      </c>
      <c r="N179" s="286">
        <v>0.86099999999999999</v>
      </c>
      <c r="O179" s="287">
        <v>25</v>
      </c>
      <c r="P179" s="288">
        <v>0.1</v>
      </c>
      <c r="Q179" s="54">
        <v>0</v>
      </c>
      <c r="R179" t="s">
        <v>670</v>
      </c>
      <c r="Y179" t="s">
        <v>644</v>
      </c>
      <c r="Z179" t="s">
        <v>670</v>
      </c>
    </row>
    <row r="180" spans="1:26" ht="28.8" x14ac:dyDescent="0.3">
      <c r="A180" s="40" t="s">
        <v>708</v>
      </c>
      <c r="B180" s="281" t="str">
        <f t="shared" si="14"/>
        <v>Газосепаратор С-2/1, попутный нефтяной газ</v>
      </c>
      <c r="C180" s="289">
        <v>1</v>
      </c>
      <c r="D180">
        <v>5.0000000000000001E-3</v>
      </c>
      <c r="E180" s="294">
        <f t="shared" si="16"/>
        <v>5.0000000000000001E-3</v>
      </c>
      <c r="F180" s="40" t="s">
        <v>372</v>
      </c>
      <c r="G180">
        <v>1</v>
      </c>
      <c r="H180" s="19" t="s">
        <v>704</v>
      </c>
      <c r="I180" s="50">
        <f t="shared" si="15"/>
        <v>1.4137166941154067E-2</v>
      </c>
      <c r="J180" s="51">
        <v>20</v>
      </c>
      <c r="K180" s="49">
        <v>30</v>
      </c>
      <c r="L180" s="204">
        <v>0</v>
      </c>
      <c r="M180" s="285">
        <v>5.1999999999999998E-2</v>
      </c>
      <c r="N180" s="286">
        <v>0.86099999999999999</v>
      </c>
      <c r="O180" s="287">
        <v>25</v>
      </c>
      <c r="P180" s="288">
        <v>0.1</v>
      </c>
      <c r="Q180" s="54">
        <v>0</v>
      </c>
      <c r="R180" t="s">
        <v>670</v>
      </c>
      <c r="Y180" t="s">
        <v>645</v>
      </c>
      <c r="Z180" t="s">
        <v>670</v>
      </c>
    </row>
    <row r="181" spans="1:26" ht="28.8" x14ac:dyDescent="0.3">
      <c r="A181" s="40" t="s">
        <v>708</v>
      </c>
      <c r="B181" s="281" t="str">
        <f t="shared" si="14"/>
        <v>Газосепаратор С-2/2, попутный нефтяной газ</v>
      </c>
      <c r="C181" s="289">
        <v>1</v>
      </c>
      <c r="D181">
        <v>1E-3</v>
      </c>
      <c r="E181" s="294">
        <f t="shared" si="16"/>
        <v>1E-3</v>
      </c>
      <c r="F181" s="40" t="s">
        <v>372</v>
      </c>
      <c r="G181">
        <v>0.8</v>
      </c>
      <c r="H181" s="19" t="s">
        <v>703</v>
      </c>
      <c r="I181" s="50">
        <f t="shared" si="15"/>
        <v>1.4137166941154067E-2</v>
      </c>
      <c r="J181" s="51">
        <v>20</v>
      </c>
      <c r="K181" s="49">
        <v>30</v>
      </c>
      <c r="L181" s="204">
        <v>0</v>
      </c>
      <c r="M181" s="285">
        <v>5.1999999999999998E-2</v>
      </c>
      <c r="N181" s="286">
        <v>0.86099999999999999</v>
      </c>
      <c r="O181" s="287">
        <v>25</v>
      </c>
      <c r="P181" s="288">
        <v>0.1</v>
      </c>
      <c r="Q181" s="54">
        <v>0</v>
      </c>
      <c r="R181" t="s">
        <v>670</v>
      </c>
      <c r="Y181" t="s">
        <v>646</v>
      </c>
      <c r="Z181" t="s">
        <v>670</v>
      </c>
    </row>
    <row r="182" spans="1:26" ht="28.8" x14ac:dyDescent="0.3">
      <c r="A182" s="40" t="s">
        <v>708</v>
      </c>
      <c r="B182" s="281" t="str">
        <f t="shared" si="14"/>
        <v>Маслоотделитель МО, попутный нефтяной газ</v>
      </c>
      <c r="C182" s="289">
        <v>1</v>
      </c>
      <c r="D182">
        <v>5.0000000000000001E-3</v>
      </c>
      <c r="E182" s="294">
        <f t="shared" si="16"/>
        <v>5.0000000000000001E-3</v>
      </c>
      <c r="F182" s="40" t="s">
        <v>372</v>
      </c>
      <c r="G182">
        <v>1</v>
      </c>
      <c r="H182" s="19" t="s">
        <v>703</v>
      </c>
      <c r="I182" s="50">
        <f t="shared" si="15"/>
        <v>1.4137166941154067E-2</v>
      </c>
      <c r="J182" s="51">
        <v>20</v>
      </c>
      <c r="K182" s="49">
        <v>30</v>
      </c>
      <c r="L182" s="204">
        <v>0</v>
      </c>
      <c r="M182" s="285">
        <v>5.1999999999999998E-2</v>
      </c>
      <c r="N182" s="286">
        <v>0.86099999999999999</v>
      </c>
      <c r="O182" s="287">
        <v>25</v>
      </c>
      <c r="P182" s="288">
        <v>0.1</v>
      </c>
      <c r="Q182" s="54">
        <v>0</v>
      </c>
      <c r="R182" t="s">
        <v>670</v>
      </c>
      <c r="Y182" t="s">
        <v>647</v>
      </c>
      <c r="Z182" t="s">
        <v>670</v>
      </c>
    </row>
    <row r="183" spans="1:26" ht="28.8" x14ac:dyDescent="0.3">
      <c r="A183" s="40" t="s">
        <v>708</v>
      </c>
      <c r="B183" s="281" t="str">
        <f t="shared" si="14"/>
        <v>Емкость Е-1, попутный нефтяной газ</v>
      </c>
      <c r="C183" s="289">
        <v>1</v>
      </c>
      <c r="D183">
        <v>0.03</v>
      </c>
      <c r="E183" s="294">
        <f t="shared" si="16"/>
        <v>0.03</v>
      </c>
      <c r="F183" s="40" t="s">
        <v>372</v>
      </c>
      <c r="G183">
        <v>1</v>
      </c>
      <c r="H183" s="19" t="s">
        <v>692</v>
      </c>
      <c r="I183" s="50">
        <f t="shared" si="15"/>
        <v>1.4137166941154067E-2</v>
      </c>
      <c r="J183" s="51">
        <v>20</v>
      </c>
      <c r="K183" s="49">
        <v>30</v>
      </c>
      <c r="L183" s="204">
        <v>0</v>
      </c>
      <c r="M183" s="285">
        <v>5.1999999999999998E-2</v>
      </c>
      <c r="N183" s="286">
        <v>0.86099999999999999</v>
      </c>
      <c r="O183" s="287">
        <v>25</v>
      </c>
      <c r="P183" s="288">
        <v>0.1</v>
      </c>
      <c r="Q183" s="54">
        <v>0</v>
      </c>
      <c r="R183" t="s">
        <v>670</v>
      </c>
      <c r="Y183" t="s">
        <v>648</v>
      </c>
      <c r="Z183" t="s">
        <v>670</v>
      </c>
    </row>
    <row r="184" spans="1:26" ht="28.8" x14ac:dyDescent="0.3">
      <c r="A184" s="40" t="s">
        <v>708</v>
      </c>
      <c r="B184" s="281" t="str">
        <f t="shared" si="14"/>
        <v>Емкость Е-4, попутный нефтяной газ</v>
      </c>
      <c r="C184" s="282">
        <v>1</v>
      </c>
      <c r="D184">
        <v>0.03</v>
      </c>
      <c r="E184" s="294">
        <f t="shared" si="16"/>
        <v>0.03</v>
      </c>
      <c r="F184" s="40" t="s">
        <v>372</v>
      </c>
      <c r="G184">
        <v>1</v>
      </c>
      <c r="H184" s="19" t="s">
        <v>692</v>
      </c>
      <c r="I184" s="50">
        <f t="shared" si="15"/>
        <v>1.4137166941154067E-2</v>
      </c>
      <c r="J184" s="51">
        <v>20</v>
      </c>
      <c r="K184" s="49">
        <v>30</v>
      </c>
      <c r="L184" s="204">
        <v>0</v>
      </c>
      <c r="M184" s="285">
        <v>5.1999999999999998E-2</v>
      </c>
      <c r="N184" s="286">
        <v>0.86099999999999999</v>
      </c>
      <c r="O184" s="287">
        <v>25</v>
      </c>
      <c r="P184" s="288">
        <v>0.1</v>
      </c>
      <c r="Q184" s="54">
        <v>0</v>
      </c>
      <c r="R184" t="s">
        <v>670</v>
      </c>
      <c r="Y184" t="s">
        <v>649</v>
      </c>
      <c r="Z184" t="s">
        <v>670</v>
      </c>
    </row>
    <row r="185" spans="1:26" ht="28.8" x14ac:dyDescent="0.3">
      <c r="A185" s="40" t="s">
        <v>708</v>
      </c>
      <c r="B185" s="281" t="str">
        <f t="shared" si="14"/>
        <v>Емкость ЕМ-1, технологическое масло</v>
      </c>
      <c r="C185" s="282">
        <v>1</v>
      </c>
      <c r="D185">
        <v>7</v>
      </c>
      <c r="E185" s="294">
        <f t="shared" si="16"/>
        <v>7</v>
      </c>
      <c r="F185" s="40" t="s">
        <v>374</v>
      </c>
      <c r="G185">
        <v>7.0000000000000007E-2</v>
      </c>
      <c r="H185" s="19" t="s">
        <v>697</v>
      </c>
      <c r="I185" s="50">
        <f t="shared" si="15"/>
        <v>1.4137166941154067E-2</v>
      </c>
      <c r="J185" s="51">
        <v>20</v>
      </c>
      <c r="K185" s="49">
        <v>30</v>
      </c>
      <c r="L185" s="204">
        <v>0</v>
      </c>
      <c r="M185" s="285">
        <v>5.1999999999999998E-2</v>
      </c>
      <c r="N185" s="286">
        <v>0.86099999999999999</v>
      </c>
      <c r="O185" s="287">
        <v>25</v>
      </c>
      <c r="P185" s="288">
        <v>0.1</v>
      </c>
      <c r="Q185" s="54">
        <v>0</v>
      </c>
      <c r="R185" t="s">
        <v>687</v>
      </c>
      <c r="Y185" t="s">
        <v>650</v>
      </c>
      <c r="Z185" t="s">
        <v>687</v>
      </c>
    </row>
    <row r="186" spans="1:26" ht="28.8" x14ac:dyDescent="0.3">
      <c r="A186" s="40" t="s">
        <v>708</v>
      </c>
      <c r="B186" s="281" t="str">
        <f t="shared" si="14"/>
        <v>Емкость ЕМ-3, технологическое масло</v>
      </c>
      <c r="C186" s="282">
        <v>1</v>
      </c>
      <c r="D186">
        <v>0.5</v>
      </c>
      <c r="E186" s="294">
        <f t="shared" si="16"/>
        <v>0.5</v>
      </c>
      <c r="F186" s="40" t="s">
        <v>374</v>
      </c>
      <c r="G186">
        <v>7.0000000000000007E-2</v>
      </c>
      <c r="H186" s="19" t="s">
        <v>705</v>
      </c>
      <c r="I186" s="50">
        <f t="shared" si="15"/>
        <v>1.4137166941154067E-2</v>
      </c>
      <c r="J186" s="51">
        <v>20</v>
      </c>
      <c r="K186" s="49">
        <v>30</v>
      </c>
      <c r="L186" s="204">
        <v>0</v>
      </c>
      <c r="M186" s="285">
        <v>5.1999999999999998E-2</v>
      </c>
      <c r="N186" s="286">
        <v>0.86099999999999999</v>
      </c>
      <c r="O186" s="287">
        <v>25</v>
      </c>
      <c r="P186" s="288">
        <v>0.1</v>
      </c>
      <c r="Q186" s="54">
        <v>0</v>
      </c>
      <c r="R186" t="s">
        <v>687</v>
      </c>
      <c r="Y186" t="s">
        <v>651</v>
      </c>
      <c r="Z186" t="s">
        <v>687</v>
      </c>
    </row>
    <row r="187" spans="1:26" ht="28.8" x14ac:dyDescent="0.3">
      <c r="A187" s="40" t="s">
        <v>708</v>
      </c>
      <c r="B187" s="281" t="str">
        <f t="shared" si="14"/>
        <v>Емкость ЕМ-2, технологическое масло</v>
      </c>
      <c r="C187" s="282">
        <v>1</v>
      </c>
      <c r="D187">
        <v>7</v>
      </c>
      <c r="E187" s="294">
        <f t="shared" si="16"/>
        <v>7</v>
      </c>
      <c r="F187" s="40" t="s">
        <v>374</v>
      </c>
      <c r="G187">
        <v>7.0000000000000007E-2</v>
      </c>
      <c r="H187" s="19" t="s">
        <v>706</v>
      </c>
      <c r="I187" s="50">
        <f t="shared" si="15"/>
        <v>1.4137166941154067E-2</v>
      </c>
      <c r="J187" s="51">
        <v>20</v>
      </c>
      <c r="K187" s="49">
        <v>30</v>
      </c>
      <c r="L187" s="204">
        <v>0</v>
      </c>
      <c r="M187" s="285">
        <v>5.1999999999999998E-2</v>
      </c>
      <c r="N187" s="286">
        <v>0.86099999999999999</v>
      </c>
      <c r="O187" s="287">
        <v>25</v>
      </c>
      <c r="P187" s="288">
        <v>0.1</v>
      </c>
      <c r="Q187" s="54">
        <v>0</v>
      </c>
      <c r="R187" t="s">
        <v>687</v>
      </c>
      <c r="Y187" t="s">
        <v>652</v>
      </c>
      <c r="Z187" t="s">
        <v>687</v>
      </c>
    </row>
    <row r="188" spans="1:26" x14ac:dyDescent="0.3">
      <c r="A188" s="40" t="s">
        <v>708</v>
      </c>
      <c r="B188" s="281" t="str">
        <f t="shared" si="14"/>
        <v>Емкость Е-2, конденсат (нефть)</v>
      </c>
      <c r="C188" s="282">
        <v>1</v>
      </c>
      <c r="D188">
        <v>0.03</v>
      </c>
      <c r="E188" s="294">
        <f t="shared" si="16"/>
        <v>0.03</v>
      </c>
      <c r="F188" s="40" t="s">
        <v>374</v>
      </c>
      <c r="G188">
        <v>7.0000000000000007E-2</v>
      </c>
      <c r="H188" s="19" t="s">
        <v>702</v>
      </c>
      <c r="I188" s="50">
        <f t="shared" si="15"/>
        <v>1.4137166941154067E-2</v>
      </c>
      <c r="J188" s="51">
        <v>20</v>
      </c>
      <c r="K188" s="49">
        <v>30</v>
      </c>
      <c r="L188" s="204">
        <v>0</v>
      </c>
      <c r="M188" s="285">
        <v>5.1999999999999998E-2</v>
      </c>
      <c r="N188" s="286">
        <v>0.86099999999999999</v>
      </c>
      <c r="O188" s="287">
        <v>25</v>
      </c>
      <c r="P188" s="288">
        <v>0.1</v>
      </c>
      <c r="Q188" s="54">
        <v>0</v>
      </c>
      <c r="R188" t="s">
        <v>688</v>
      </c>
      <c r="Y188" t="s">
        <v>653</v>
      </c>
      <c r="Z188" t="s">
        <v>688</v>
      </c>
    </row>
    <row r="189" spans="1:26" ht="28.8" x14ac:dyDescent="0.3">
      <c r="A189" s="40" t="s">
        <v>708</v>
      </c>
      <c r="B189" s="281" t="str">
        <f t="shared" si="14"/>
        <v>Емкость Е-5, технологическое масло</v>
      </c>
      <c r="C189" s="282">
        <v>1</v>
      </c>
      <c r="D189">
        <v>4.8</v>
      </c>
      <c r="E189" s="294">
        <f t="shared" si="16"/>
        <v>4.8</v>
      </c>
      <c r="F189" s="40" t="s">
        <v>374</v>
      </c>
      <c r="G189">
        <v>7.0000000000000007E-2</v>
      </c>
      <c r="H189" s="19" t="s">
        <v>706</v>
      </c>
      <c r="I189" s="50">
        <f t="shared" si="15"/>
        <v>1.4137166941154067E-2</v>
      </c>
      <c r="J189" s="51">
        <v>20</v>
      </c>
      <c r="K189" s="49">
        <v>30</v>
      </c>
      <c r="L189" s="204">
        <v>0</v>
      </c>
      <c r="M189" s="285">
        <v>5.1999999999999998E-2</v>
      </c>
      <c r="N189" s="286">
        <v>0.86099999999999999</v>
      </c>
      <c r="O189" s="287">
        <v>25</v>
      </c>
      <c r="P189" s="288">
        <v>0.1</v>
      </c>
      <c r="Q189" s="54">
        <v>0</v>
      </c>
      <c r="R189" t="s">
        <v>687</v>
      </c>
      <c r="Y189" t="s">
        <v>654</v>
      </c>
      <c r="Z189" t="s">
        <v>687</v>
      </c>
    </row>
    <row r="190" spans="1:26" ht="28.8" x14ac:dyDescent="0.3">
      <c r="A190" s="40" t="s">
        <v>708</v>
      </c>
      <c r="B190" s="281" t="str">
        <f t="shared" si="14"/>
        <v>компрессор    ГК№1_x000D__x000D_Тип 305 ГП 30/8, попутный нефтяной газ</v>
      </c>
      <c r="C190" s="283">
        <v>1</v>
      </c>
      <c r="D190">
        <v>1E-3</v>
      </c>
      <c r="E190" s="294">
        <f t="shared" si="16"/>
        <v>1E-3</v>
      </c>
      <c r="F190" s="40" t="s">
        <v>372</v>
      </c>
      <c r="G190">
        <v>0.8</v>
      </c>
      <c r="H190" s="19" t="s">
        <v>703</v>
      </c>
      <c r="I190" s="50">
        <f t="shared" si="15"/>
        <v>1.4137166941154067E-2</v>
      </c>
      <c r="J190" s="51">
        <v>20</v>
      </c>
      <c r="K190" s="49">
        <v>30</v>
      </c>
      <c r="L190" s="204">
        <v>0</v>
      </c>
      <c r="M190" s="285">
        <v>5.1999999999999998E-2</v>
      </c>
      <c r="N190" s="286">
        <v>0.86099999999999999</v>
      </c>
      <c r="O190" s="287">
        <v>25</v>
      </c>
      <c r="P190" s="288">
        <v>0.1</v>
      </c>
      <c r="Q190" s="54">
        <v>0</v>
      </c>
      <c r="R190" t="s">
        <v>670</v>
      </c>
      <c r="Y190" t="s">
        <v>655</v>
      </c>
      <c r="Z190" t="s">
        <v>670</v>
      </c>
    </row>
    <row r="191" spans="1:26" ht="28.8" x14ac:dyDescent="0.3">
      <c r="A191" s="40" t="s">
        <v>708</v>
      </c>
      <c r="B191" s="281" t="str">
        <f t="shared" si="14"/>
        <v>компрессор    ГК№2, попутный нефтяной газ</v>
      </c>
      <c r="C191" s="289">
        <v>1</v>
      </c>
      <c r="D191">
        <v>1E-3</v>
      </c>
      <c r="E191" s="294">
        <f t="shared" si="16"/>
        <v>1E-3</v>
      </c>
      <c r="F191" s="40" t="s">
        <v>372</v>
      </c>
      <c r="G191">
        <v>0.8</v>
      </c>
      <c r="H191" s="19" t="s">
        <v>703</v>
      </c>
      <c r="I191" s="50">
        <f t="shared" si="15"/>
        <v>1.4137166941154067E-2</v>
      </c>
      <c r="J191" s="51">
        <v>20</v>
      </c>
      <c r="K191" s="49">
        <v>30</v>
      </c>
      <c r="L191" s="204">
        <v>0</v>
      </c>
      <c r="M191" s="285">
        <v>5.1999999999999998E-2</v>
      </c>
      <c r="N191" s="286">
        <v>0.86099999999999999</v>
      </c>
      <c r="O191" s="287">
        <v>25</v>
      </c>
      <c r="P191" s="288">
        <v>0.1</v>
      </c>
      <c r="Q191" s="54">
        <v>0</v>
      </c>
      <c r="R191" t="s">
        <v>670</v>
      </c>
      <c r="Y191" t="s">
        <v>656</v>
      </c>
      <c r="Z191" t="s">
        <v>670</v>
      </c>
    </row>
    <row r="192" spans="1:26" ht="28.8" x14ac:dyDescent="0.3">
      <c r="A192" s="40" t="s">
        <v>708</v>
      </c>
      <c r="B192" s="281" t="str">
        <f t="shared" si="14"/>
        <v>компрессор    ГК№3, попутный нефтяной газ</v>
      </c>
      <c r="C192" s="289">
        <v>1</v>
      </c>
      <c r="D192">
        <v>1E-3</v>
      </c>
      <c r="E192" s="294">
        <f t="shared" si="16"/>
        <v>1E-3</v>
      </c>
      <c r="F192" s="40" t="s">
        <v>372</v>
      </c>
      <c r="G192">
        <v>0.8</v>
      </c>
      <c r="H192" s="19" t="s">
        <v>703</v>
      </c>
      <c r="I192" s="50">
        <f t="shared" si="15"/>
        <v>1.4137166941154067E-2</v>
      </c>
      <c r="J192" s="51">
        <v>20</v>
      </c>
      <c r="K192" s="49">
        <v>30</v>
      </c>
      <c r="L192" s="204">
        <v>0</v>
      </c>
      <c r="M192" s="285">
        <v>5.1999999999999998E-2</v>
      </c>
      <c r="N192" s="286">
        <v>0.86099999999999999</v>
      </c>
      <c r="O192" s="287">
        <v>25</v>
      </c>
      <c r="P192" s="288">
        <v>0.1</v>
      </c>
      <c r="Q192" s="54">
        <v>0</v>
      </c>
      <c r="R192" t="s">
        <v>670</v>
      </c>
      <c r="Y192" t="s">
        <v>657</v>
      </c>
      <c r="Z192" t="s">
        <v>670</v>
      </c>
    </row>
    <row r="193" spans="1:26" ht="28.8" x14ac:dyDescent="0.3">
      <c r="A193" s="40" t="s">
        <v>708</v>
      </c>
      <c r="B193" s="281" t="str">
        <f t="shared" si="14"/>
        <v>компрессор    ГК№4, попутный нефтяной газ</v>
      </c>
      <c r="C193" s="289">
        <v>1</v>
      </c>
      <c r="D193">
        <v>1E-3</v>
      </c>
      <c r="E193" s="294">
        <f t="shared" si="16"/>
        <v>1E-3</v>
      </c>
      <c r="F193" s="40" t="s">
        <v>372</v>
      </c>
      <c r="G193">
        <v>0.8</v>
      </c>
      <c r="H193" s="19" t="s">
        <v>703</v>
      </c>
      <c r="I193" s="50">
        <f t="shared" si="15"/>
        <v>1.4137166941154067E-2</v>
      </c>
      <c r="J193" s="51">
        <v>20</v>
      </c>
      <c r="K193" s="49">
        <v>30</v>
      </c>
      <c r="L193" s="204">
        <v>0</v>
      </c>
      <c r="M193" s="285">
        <v>5.1999999999999998E-2</v>
      </c>
      <c r="N193" s="286">
        <v>0.86099999999999999</v>
      </c>
      <c r="O193" s="287">
        <v>25</v>
      </c>
      <c r="P193" s="288">
        <v>0.1</v>
      </c>
      <c r="Q193" s="54">
        <v>0</v>
      </c>
      <c r="R193" t="s">
        <v>670</v>
      </c>
      <c r="Y193" t="s">
        <v>658</v>
      </c>
      <c r="Z193" t="s">
        <v>670</v>
      </c>
    </row>
    <row r="194" spans="1:26" ht="28.8" x14ac:dyDescent="0.3">
      <c r="A194" s="40" t="s">
        <v>708</v>
      </c>
      <c r="B194" s="281" t="str">
        <f t="shared" si="14"/>
        <v>масляный насос, технологическое масло</v>
      </c>
      <c r="C194" s="289">
        <v>1</v>
      </c>
      <c r="D194">
        <v>0.1</v>
      </c>
      <c r="E194" s="294">
        <f t="shared" si="16"/>
        <v>0.1</v>
      </c>
      <c r="F194" s="40" t="s">
        <v>372</v>
      </c>
      <c r="G194">
        <v>0.25</v>
      </c>
      <c r="H194" s="19" t="s">
        <v>703</v>
      </c>
      <c r="I194" s="50">
        <f t="shared" si="15"/>
        <v>1.4137166941154067E-2</v>
      </c>
      <c r="J194" s="51">
        <v>20</v>
      </c>
      <c r="K194" s="49">
        <v>30</v>
      </c>
      <c r="L194" s="204">
        <v>0</v>
      </c>
      <c r="M194" s="285">
        <v>5.1999999999999998E-2</v>
      </c>
      <c r="N194" s="286">
        <v>0.86099999999999999</v>
      </c>
      <c r="O194" s="287">
        <v>25</v>
      </c>
      <c r="P194" s="288">
        <v>0.1</v>
      </c>
      <c r="Q194" s="54">
        <v>0</v>
      </c>
      <c r="R194" t="s">
        <v>687</v>
      </c>
      <c r="Y194" t="s">
        <v>659</v>
      </c>
      <c r="Z194" t="s">
        <v>687</v>
      </c>
    </row>
    <row r="195" spans="1:26" ht="28.8" x14ac:dyDescent="0.3">
      <c r="A195" s="40" t="s">
        <v>708</v>
      </c>
      <c r="B195" s="281" t="str">
        <f t="shared" si="14"/>
        <v>АВО-газа 1 ступени №2, попутный нефтяной газ</v>
      </c>
      <c r="C195" s="289">
        <v>1</v>
      </c>
      <c r="D195">
        <v>8.9999999999999998E-4</v>
      </c>
      <c r="E195" s="294">
        <f t="shared" si="16"/>
        <v>8.9999999999999998E-4</v>
      </c>
      <c r="F195" s="40" t="s">
        <v>372</v>
      </c>
      <c r="G195">
        <v>0.65</v>
      </c>
      <c r="H195" s="19" t="s">
        <v>703</v>
      </c>
      <c r="I195" s="50">
        <f t="shared" si="15"/>
        <v>1.4137166941154067E-2</v>
      </c>
      <c r="J195" s="51">
        <v>20</v>
      </c>
      <c r="K195" s="49">
        <v>30</v>
      </c>
      <c r="L195" s="204">
        <v>0</v>
      </c>
      <c r="M195" s="285">
        <v>5.1999999999999998E-2</v>
      </c>
      <c r="N195" s="286">
        <v>0.86099999999999999</v>
      </c>
      <c r="O195" s="287">
        <v>25</v>
      </c>
      <c r="P195" s="288">
        <v>0.1</v>
      </c>
      <c r="Q195" s="54">
        <v>0</v>
      </c>
      <c r="R195" t="s">
        <v>670</v>
      </c>
      <c r="Y195" t="s">
        <v>660</v>
      </c>
      <c r="Z195" t="s">
        <v>670</v>
      </c>
    </row>
    <row r="196" spans="1:26" ht="28.8" x14ac:dyDescent="0.3">
      <c r="A196" s="40" t="s">
        <v>708</v>
      </c>
      <c r="B196" s="281" t="str">
        <f t="shared" ref="B196:B202" si="17">CONCATENATE(Y196,", ",Z196)</f>
        <v>АВО-газа 1 ступени №1, попутный нефтяной газ</v>
      </c>
      <c r="C196" s="289">
        <v>1</v>
      </c>
      <c r="D196">
        <v>8.9999999999999998E-4</v>
      </c>
      <c r="E196" s="294">
        <f t="shared" si="16"/>
        <v>8.9999999999999998E-4</v>
      </c>
      <c r="F196" s="40" t="s">
        <v>372</v>
      </c>
      <c r="G196">
        <v>0.65</v>
      </c>
      <c r="H196" s="19" t="s">
        <v>703</v>
      </c>
      <c r="I196" s="50">
        <f t="shared" ref="I196:I202" si="18">PI()*(POWER(K196/1000,2)/4)*J196</f>
        <v>1.4137166941154067E-2</v>
      </c>
      <c r="J196" s="51">
        <v>20</v>
      </c>
      <c r="K196" s="49">
        <v>30</v>
      </c>
      <c r="L196" s="204">
        <v>0</v>
      </c>
      <c r="M196" s="285">
        <v>5.1999999999999998E-2</v>
      </c>
      <c r="N196" s="286">
        <v>0.86099999999999999</v>
      </c>
      <c r="O196" s="287">
        <v>25</v>
      </c>
      <c r="P196" s="288">
        <v>0.1</v>
      </c>
      <c r="Q196" s="54">
        <v>0</v>
      </c>
      <c r="R196" t="s">
        <v>670</v>
      </c>
      <c r="Y196" t="s">
        <v>661</v>
      </c>
      <c r="Z196" t="s">
        <v>670</v>
      </c>
    </row>
    <row r="197" spans="1:26" ht="29.4" thickBot="1" x14ac:dyDescent="0.35">
      <c r="A197" s="40" t="s">
        <v>708</v>
      </c>
      <c r="B197" s="281" t="str">
        <f t="shared" si="17"/>
        <v>АВО-газа 2 ступени, попутный нефтяной газ</v>
      </c>
      <c r="C197" s="282">
        <v>1</v>
      </c>
      <c r="D197">
        <v>8.9999999999999998E-4</v>
      </c>
      <c r="E197" s="294">
        <f t="shared" si="16"/>
        <v>8.9999999999999998E-4</v>
      </c>
      <c r="F197" s="40" t="s">
        <v>372</v>
      </c>
      <c r="G197">
        <v>0.65</v>
      </c>
      <c r="H197" s="19" t="s">
        <v>703</v>
      </c>
      <c r="I197" s="50">
        <f t="shared" si="18"/>
        <v>1.4137166941154067E-2</v>
      </c>
      <c r="J197" s="51">
        <v>20</v>
      </c>
      <c r="K197" s="49">
        <v>30</v>
      </c>
      <c r="L197" s="204">
        <v>0</v>
      </c>
      <c r="M197" s="285">
        <v>5.1999999999999998E-2</v>
      </c>
      <c r="N197" s="286">
        <v>0.86099999999999999</v>
      </c>
      <c r="O197" s="287">
        <v>25</v>
      </c>
      <c r="P197" s="288">
        <v>0.1</v>
      </c>
      <c r="Q197" s="54">
        <v>0</v>
      </c>
      <c r="R197" t="s">
        <v>670</v>
      </c>
      <c r="Y197" t="s">
        <v>662</v>
      </c>
      <c r="Z197" t="s">
        <v>670</v>
      </c>
    </row>
    <row r="198" spans="1:26" ht="29.4" thickBot="1" x14ac:dyDescent="0.35">
      <c r="A198" s="40" t="s">
        <v>710</v>
      </c>
      <c r="B198" s="281" t="str">
        <f t="shared" si="17"/>
        <v>Нефтепровод УПН «Уршак» - НСП «Казангулово», нефть</v>
      </c>
      <c r="C198" s="282">
        <v>1</v>
      </c>
      <c r="D198" s="307">
        <v>1782.9590000000001</v>
      </c>
      <c r="E198" s="294">
        <f t="shared" si="16"/>
        <v>1782.9590000000001</v>
      </c>
      <c r="F198" s="40" t="s">
        <v>374</v>
      </c>
      <c r="G198">
        <v>4</v>
      </c>
      <c r="H198" s="19" t="s">
        <v>703</v>
      </c>
      <c r="I198" s="50">
        <f t="shared" si="18"/>
        <v>1.4137166941154067E-2</v>
      </c>
      <c r="J198" s="51">
        <v>20</v>
      </c>
      <c r="K198" s="49">
        <v>30</v>
      </c>
      <c r="L198" s="204">
        <v>0</v>
      </c>
      <c r="M198" s="285">
        <v>5.1999999999999998E-2</v>
      </c>
      <c r="N198" s="286">
        <v>0.86099999999999999</v>
      </c>
      <c r="O198" s="287">
        <v>25</v>
      </c>
      <c r="P198" s="288">
        <v>0.1</v>
      </c>
      <c r="Q198" s="54">
        <v>0</v>
      </c>
      <c r="R198" t="s">
        <v>98</v>
      </c>
      <c r="T198" s="57" t="s">
        <v>98</v>
      </c>
      <c r="U198" s="276">
        <f>SUMIF($R$198:$R$250,T198,$E$198:$E$250)</f>
        <v>1783.1089999999999</v>
      </c>
      <c r="Y198" t="s">
        <v>663</v>
      </c>
      <c r="Z198" t="s">
        <v>98</v>
      </c>
    </row>
    <row r="199" spans="1:26" ht="58.2" thickBot="1" x14ac:dyDescent="0.35">
      <c r="A199" s="40" t="s">
        <v>710</v>
      </c>
      <c r="B199" s="281" t="str">
        <f t="shared" si="17"/>
        <v>Камера запуска средств очистки и диагностики нефтепровода УПН «Уршак» - НСП «Казангулово», нефть</v>
      </c>
      <c r="C199" s="282">
        <v>1</v>
      </c>
      <c r="D199">
        <v>0.05</v>
      </c>
      <c r="E199" s="294">
        <f t="shared" si="16"/>
        <v>0.05</v>
      </c>
      <c r="F199" s="40" t="s">
        <v>374</v>
      </c>
      <c r="G199">
        <v>8</v>
      </c>
      <c r="H199" s="19" t="s">
        <v>703</v>
      </c>
      <c r="I199" s="50">
        <f t="shared" si="18"/>
        <v>1.4137166941154067E-2</v>
      </c>
      <c r="J199" s="51">
        <v>20</v>
      </c>
      <c r="K199" s="49">
        <v>30</v>
      </c>
      <c r="L199" s="204">
        <v>0</v>
      </c>
      <c r="M199" s="285">
        <v>5.1999999999999998E-2</v>
      </c>
      <c r="N199" s="286">
        <v>0.86099999999999999</v>
      </c>
      <c r="O199" s="287">
        <v>25</v>
      </c>
      <c r="P199" s="288">
        <v>0.1</v>
      </c>
      <c r="Q199" s="54">
        <v>0</v>
      </c>
      <c r="R199" t="s">
        <v>98</v>
      </c>
      <c r="T199" s="57" t="s">
        <v>689</v>
      </c>
      <c r="U199" s="276">
        <f>SUMIF($R$198:$R$250,T199,$E$198:$E$250)</f>
        <v>0.1</v>
      </c>
      <c r="Y199" t="s">
        <v>664</v>
      </c>
      <c r="Z199" t="s">
        <v>98</v>
      </c>
    </row>
    <row r="200" spans="1:26" ht="58.2" thickBot="1" x14ac:dyDescent="0.35">
      <c r="A200" s="40" t="s">
        <v>710</v>
      </c>
      <c r="B200" s="281" t="str">
        <f t="shared" si="17"/>
        <v>Камера приема средств очистки и диагностики нефтепровода УПН «Уршак» - НСП «Казангулово», нефть</v>
      </c>
      <c r="C200" s="282">
        <v>1</v>
      </c>
      <c r="D200">
        <v>0.05</v>
      </c>
      <c r="E200" s="294">
        <f t="shared" si="16"/>
        <v>0.05</v>
      </c>
      <c r="F200" s="40" t="s">
        <v>374</v>
      </c>
      <c r="G200">
        <v>8</v>
      </c>
      <c r="H200" s="19" t="s">
        <v>703</v>
      </c>
      <c r="I200" s="50">
        <f t="shared" si="18"/>
        <v>1.4137166941154067E-2</v>
      </c>
      <c r="J200" s="51">
        <v>20</v>
      </c>
      <c r="K200" s="49">
        <v>30</v>
      </c>
      <c r="L200" s="204">
        <v>0</v>
      </c>
      <c r="M200" s="285">
        <v>5.1999999999999998E-2</v>
      </c>
      <c r="N200" s="286">
        <v>0.86099999999999999</v>
      </c>
      <c r="O200" s="287">
        <v>25</v>
      </c>
      <c r="P200" s="288">
        <v>0.1</v>
      </c>
      <c r="Q200" s="54">
        <v>0</v>
      </c>
      <c r="R200" t="s">
        <v>98</v>
      </c>
      <c r="U200" s="276"/>
      <c r="Y200" t="s">
        <v>665</v>
      </c>
      <c r="Z200" t="s">
        <v>98</v>
      </c>
    </row>
    <row r="201" spans="1:26" ht="43.8" thickBot="1" x14ac:dyDescent="0.35">
      <c r="A201" s="40" t="s">
        <v>710</v>
      </c>
      <c r="B201" s="281" t="str">
        <f t="shared" si="17"/>
        <v>Емкость подземная на площадке камеры запуска средств очистки и диагностики нефтепровода, нефть</v>
      </c>
      <c r="C201" s="282">
        <v>1</v>
      </c>
      <c r="D201">
        <v>0.05</v>
      </c>
      <c r="E201" s="294">
        <f t="shared" si="16"/>
        <v>0.05</v>
      </c>
      <c r="F201" s="40" t="s">
        <v>374</v>
      </c>
      <c r="G201">
        <v>7.0000000000000007E-2</v>
      </c>
      <c r="H201" s="19">
        <v>200</v>
      </c>
      <c r="I201" s="50">
        <f t="shared" si="18"/>
        <v>1.4137166941154067E-2</v>
      </c>
      <c r="J201" s="51">
        <v>20</v>
      </c>
      <c r="K201" s="49">
        <v>30</v>
      </c>
      <c r="L201" s="204">
        <v>0</v>
      </c>
      <c r="M201" s="285">
        <v>5.1999999999999998E-2</v>
      </c>
      <c r="N201" s="286">
        <v>0.86099999999999999</v>
      </c>
      <c r="O201" s="287">
        <v>25</v>
      </c>
      <c r="P201" s="288">
        <v>0.1</v>
      </c>
      <c r="Q201" s="54">
        <v>0</v>
      </c>
      <c r="R201" t="s">
        <v>98</v>
      </c>
      <c r="U201" s="276"/>
      <c r="Y201" t="s">
        <v>666</v>
      </c>
      <c r="Z201" t="s">
        <v>98</v>
      </c>
    </row>
    <row r="202" spans="1:26" ht="43.8" thickBot="1" x14ac:dyDescent="0.35">
      <c r="A202" s="40" t="s">
        <v>710</v>
      </c>
      <c r="B202" s="281" t="str">
        <f t="shared" si="17"/>
        <v>Блочная установка для дозирования реагента, ингибитор коррозии</v>
      </c>
      <c r="C202" s="282">
        <v>1</v>
      </c>
      <c r="D202">
        <v>0.1</v>
      </c>
      <c r="E202" s="294">
        <f t="shared" si="16"/>
        <v>0.1</v>
      </c>
      <c r="F202" s="40" t="s">
        <v>374</v>
      </c>
      <c r="G202">
        <v>10</v>
      </c>
      <c r="H202" s="19" t="s">
        <v>707</v>
      </c>
      <c r="I202" s="50">
        <f t="shared" si="18"/>
        <v>1.4137166941154067E-2</v>
      </c>
      <c r="J202" s="51">
        <v>20</v>
      </c>
      <c r="K202" s="49">
        <v>30</v>
      </c>
      <c r="L202" s="204">
        <v>0</v>
      </c>
      <c r="M202" s="285">
        <v>5.1999999999999998E-2</v>
      </c>
      <c r="N202" s="286">
        <v>0.86099999999999999</v>
      </c>
      <c r="O202" s="287">
        <v>25</v>
      </c>
      <c r="P202" s="288">
        <v>0.1</v>
      </c>
      <c r="Q202" s="54">
        <v>0</v>
      </c>
      <c r="R202" t="s">
        <v>689</v>
      </c>
      <c r="U202" s="276"/>
      <c r="Y202" t="s">
        <v>667</v>
      </c>
      <c r="Z202" t="s">
        <v>689</v>
      </c>
    </row>
    <row r="203" spans="1:26" ht="15" thickBot="1" x14ac:dyDescent="0.35">
      <c r="U203" s="276"/>
    </row>
    <row r="204" spans="1:26" ht="15" thickBot="1" x14ac:dyDescent="0.35">
      <c r="U204" s="276"/>
    </row>
    <row r="205" spans="1:26" ht="15" thickBot="1" x14ac:dyDescent="0.35">
      <c r="U205" s="276"/>
      <c r="X205" s="308">
        <v>8301.3610000000008</v>
      </c>
      <c r="Z205">
        <v>8429.991</v>
      </c>
    </row>
    <row r="206" spans="1:26" ht="15" thickBot="1" x14ac:dyDescent="0.35">
      <c r="U206" s="276"/>
      <c r="X206" s="309" t="s">
        <v>46</v>
      </c>
    </row>
    <row r="207" spans="1:26" ht="15" thickBot="1" x14ac:dyDescent="0.35">
      <c r="X207" s="309">
        <v>0.14000000000000001</v>
      </c>
    </row>
    <row r="208" spans="1:26" ht="15" thickBot="1" x14ac:dyDescent="0.35">
      <c r="X208" s="309">
        <v>0.16</v>
      </c>
    </row>
    <row r="209" spans="24:24" ht="15" thickBot="1" x14ac:dyDescent="0.35">
      <c r="X209" s="309">
        <v>0.7</v>
      </c>
    </row>
    <row r="210" spans="24:24" ht="15" thickBot="1" x14ac:dyDescent="0.35">
      <c r="X210" s="309">
        <v>1.63</v>
      </c>
    </row>
    <row r="211" spans="24:24" ht="15" thickBot="1" x14ac:dyDescent="0.35">
      <c r="X211" s="309">
        <v>126</v>
      </c>
    </row>
    <row r="213" spans="24:24" x14ac:dyDescent="0.3">
      <c r="X213">
        <f>SUM(X205:X211)</f>
        <v>8429.991</v>
      </c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250"/>
  <sheetViews>
    <sheetView tabSelected="1" topLeftCell="I1" zoomScale="85" zoomScaleNormal="85" workbookViewId="0">
      <pane ySplit="1" topLeftCell="A215" activePane="bottomLeft" state="frozen"/>
      <selection pane="bottomLeft" activeCell="J233" sqref="J233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470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L1" s="335">
        <f>20*60</f>
        <v>1200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298" t="s">
        <v>29</v>
      </c>
      <c r="Q1" s="298" t="s">
        <v>30</v>
      </c>
      <c r="R1" s="298" t="s">
        <v>31</v>
      </c>
      <c r="S1" s="298" t="s">
        <v>32</v>
      </c>
      <c r="T1" s="298" t="s">
        <v>345</v>
      </c>
      <c r="U1" s="298" t="s">
        <v>260</v>
      </c>
      <c r="V1" s="298" t="s">
        <v>347</v>
      </c>
      <c r="W1" s="298" t="s">
        <v>34</v>
      </c>
      <c r="X1" s="298" t="s">
        <v>346</v>
      </c>
      <c r="Y1" s="298" t="s">
        <v>36</v>
      </c>
      <c r="Z1" s="298" t="s">
        <v>37</v>
      </c>
      <c r="AA1" s="298" t="s">
        <v>38</v>
      </c>
      <c r="AB1" s="298" t="s">
        <v>39</v>
      </c>
      <c r="AC1" s="299" t="s">
        <v>40</v>
      </c>
      <c r="AD1" s="299" t="s">
        <v>41</v>
      </c>
      <c r="AE1" s="298" t="s">
        <v>42</v>
      </c>
      <c r="AF1" s="298" t="s">
        <v>43</v>
      </c>
      <c r="AG1" s="298" t="s">
        <v>44</v>
      </c>
      <c r="AH1" s="298" t="s">
        <v>45</v>
      </c>
      <c r="AI1" s="298" t="s">
        <v>259</v>
      </c>
      <c r="AJ1" s="300" t="s">
        <v>487</v>
      </c>
      <c r="AK1" s="300" t="s">
        <v>488</v>
      </c>
      <c r="AL1" s="301" t="s">
        <v>489</v>
      </c>
      <c r="AM1" s="302" t="s">
        <v>490</v>
      </c>
      <c r="AN1" s="30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485</v>
      </c>
      <c r="BA1" s="5" t="s">
        <v>486</v>
      </c>
    </row>
    <row r="2" spans="1:53" s="140" customFormat="1" ht="18" customHeight="1" x14ac:dyDescent="0.3">
      <c r="A2" s="131" t="s">
        <v>469</v>
      </c>
      <c r="B2" s="132" t="s">
        <v>711</v>
      </c>
      <c r="C2" s="13" t="s">
        <v>143</v>
      </c>
      <c r="D2" s="133" t="s">
        <v>25</v>
      </c>
      <c r="E2" s="134">
        <v>9.9999999999999995E-7</v>
      </c>
      <c r="F2" s="132">
        <v>1</v>
      </c>
      <c r="G2" s="131">
        <v>0.05</v>
      </c>
      <c r="H2" s="135">
        <f>E2*F2*G2</f>
        <v>4.9999999999999998E-8</v>
      </c>
      <c r="I2" s="136">
        <v>87</v>
      </c>
      <c r="J2" s="137">
        <f>I2</f>
        <v>87</v>
      </c>
      <c r="K2" s="138" t="s">
        <v>122</v>
      </c>
      <c r="L2" s="139">
        <v>350</v>
      </c>
      <c r="M2" s="140" t="str">
        <f t="shared" si="0"/>
        <v>C1</v>
      </c>
      <c r="N2" s="140" t="str">
        <f t="shared" si="0"/>
        <v>Отстойник О-2 (О-3, О4), нефть, сточная вода</v>
      </c>
      <c r="O2" s="140" t="str">
        <f t="shared" si="1"/>
        <v>Полное-пожар</v>
      </c>
      <c r="P2" s="140">
        <v>15.1</v>
      </c>
      <c r="Q2" s="140">
        <v>21.1</v>
      </c>
      <c r="R2" s="140">
        <v>30.5</v>
      </c>
      <c r="S2" s="140">
        <v>57.8</v>
      </c>
      <c r="T2" s="140" t="s">
        <v>46</v>
      </c>
      <c r="U2" s="140" t="s">
        <v>46</v>
      </c>
      <c r="V2" s="140" t="s">
        <v>46</v>
      </c>
      <c r="W2" s="140" t="s">
        <v>46</v>
      </c>
      <c r="X2" s="140" t="s">
        <v>46</v>
      </c>
      <c r="Y2" s="140" t="s">
        <v>46</v>
      </c>
      <c r="Z2" s="140" t="s">
        <v>46</v>
      </c>
      <c r="AA2" s="140" t="s">
        <v>46</v>
      </c>
      <c r="AB2" s="140" t="s">
        <v>46</v>
      </c>
      <c r="AC2" s="140" t="s">
        <v>46</v>
      </c>
      <c r="AD2" s="140" t="s">
        <v>46</v>
      </c>
      <c r="AE2" s="140" t="s">
        <v>46</v>
      </c>
      <c r="AF2" s="140" t="s">
        <v>46</v>
      </c>
      <c r="AG2" s="140" t="s">
        <v>46</v>
      </c>
      <c r="AH2" s="140" t="s">
        <v>46</v>
      </c>
      <c r="AI2" s="140" t="s">
        <v>46</v>
      </c>
      <c r="AJ2" s="141">
        <v>0</v>
      </c>
      <c r="AK2" s="141">
        <v>2</v>
      </c>
      <c r="AL2" s="142">
        <v>0.75</v>
      </c>
      <c r="AM2" s="142">
        <v>2.7E-2</v>
      </c>
      <c r="AN2" s="142">
        <v>3</v>
      </c>
      <c r="AQ2" s="143">
        <f>AM2*I2+AL2</f>
        <v>3.0989999999999998</v>
      </c>
      <c r="AR2" s="143">
        <f>0.1*AQ2</f>
        <v>0.30990000000000001</v>
      </c>
      <c r="AS2" s="144">
        <f>AJ2*3+0.25*AK2</f>
        <v>0.5</v>
      </c>
      <c r="AT2" s="144">
        <f>SUM(AQ2:AS2)/4</f>
        <v>0.9772249999999999</v>
      </c>
      <c r="AU2" s="143">
        <f>10068.2*J2*POWER(10,-6)</f>
        <v>0.87593339999999997</v>
      </c>
      <c r="AV2" s="144">
        <f t="shared" ref="AV2:AV10" si="2">AU2+AT2+AS2+AR2+AQ2</f>
        <v>5.762058399999999</v>
      </c>
      <c r="AW2" s="145">
        <f>AJ2*H2</f>
        <v>0</v>
      </c>
      <c r="AX2" s="145">
        <f>H2*AK2</f>
        <v>9.9999999999999995E-8</v>
      </c>
      <c r="AY2" s="145">
        <f>H2*AV2</f>
        <v>2.8810291999999994E-7</v>
      </c>
      <c r="AZ2" s="297">
        <f>AW2/DB!$B$23</f>
        <v>0</v>
      </c>
      <c r="BA2" s="297">
        <f>AX2/DB!$B$23</f>
        <v>1.2048192771084336E-10</v>
      </c>
    </row>
    <row r="3" spans="1:53" s="140" customFormat="1" x14ac:dyDescent="0.3">
      <c r="A3" s="131" t="s">
        <v>471</v>
      </c>
      <c r="B3" s="131" t="str">
        <f>B2</f>
        <v>Отстойник О-2 (О-3, О4), нефть, сточная вода</v>
      </c>
      <c r="C3" s="13" t="s">
        <v>149</v>
      </c>
      <c r="D3" s="133" t="s">
        <v>28</v>
      </c>
      <c r="E3" s="146">
        <f>E2</f>
        <v>9.9999999999999995E-7</v>
      </c>
      <c r="F3" s="147">
        <f>F2</f>
        <v>1</v>
      </c>
      <c r="G3" s="131">
        <v>0.19</v>
      </c>
      <c r="H3" s="135">
        <f t="shared" ref="H3:H10" si="3">E3*F3*G3</f>
        <v>1.8999999999999998E-7</v>
      </c>
      <c r="I3" s="148">
        <f>I2</f>
        <v>87</v>
      </c>
      <c r="J3" s="266">
        <f>POWER(10,-6)*35*SQRT(100)*L1*L2/1000*0.1</f>
        <v>1.4699999999999998E-2</v>
      </c>
      <c r="K3" s="149" t="s">
        <v>123</v>
      </c>
      <c r="L3" s="150">
        <v>2</v>
      </c>
      <c r="M3" s="140" t="str">
        <f t="shared" si="0"/>
        <v>C2</v>
      </c>
      <c r="N3" s="140" t="str">
        <f t="shared" si="0"/>
        <v>Отстойник О-2 (О-3, О4), нефть, сточная вода</v>
      </c>
      <c r="O3" s="140" t="str">
        <f t="shared" si="1"/>
        <v>Полное-взрыв</v>
      </c>
      <c r="P3" s="140" t="s">
        <v>46</v>
      </c>
      <c r="Q3" s="140" t="s">
        <v>46</v>
      </c>
      <c r="R3" s="140" t="s">
        <v>46</v>
      </c>
      <c r="S3" s="140" t="s">
        <v>46</v>
      </c>
      <c r="T3" s="140">
        <v>0</v>
      </c>
      <c r="U3" s="140">
        <v>0</v>
      </c>
      <c r="V3" s="140">
        <v>18.600000000000001</v>
      </c>
      <c r="W3" s="140">
        <v>62.1</v>
      </c>
      <c r="X3" s="140">
        <v>90.1</v>
      </c>
      <c r="Y3" s="140" t="s">
        <v>46</v>
      </c>
      <c r="Z3" s="140" t="s">
        <v>46</v>
      </c>
      <c r="AA3" s="140" t="s">
        <v>46</v>
      </c>
      <c r="AB3" s="140" t="s">
        <v>46</v>
      </c>
      <c r="AC3" s="140" t="s">
        <v>46</v>
      </c>
      <c r="AD3" s="140" t="s">
        <v>46</v>
      </c>
      <c r="AE3" s="140" t="s">
        <v>46</v>
      </c>
      <c r="AF3" s="140" t="s">
        <v>46</v>
      </c>
      <c r="AG3" s="140" t="s">
        <v>46</v>
      </c>
      <c r="AH3" s="140" t="s">
        <v>46</v>
      </c>
      <c r="AI3" s="140" t="s">
        <v>46</v>
      </c>
      <c r="AJ3" s="141">
        <v>1</v>
      </c>
      <c r="AK3" s="141">
        <v>2</v>
      </c>
      <c r="AL3" s="140">
        <f>AL2</f>
        <v>0.75</v>
      </c>
      <c r="AM3" s="140">
        <f>AM2</f>
        <v>2.7E-2</v>
      </c>
      <c r="AN3" s="140">
        <f>AN2</f>
        <v>3</v>
      </c>
      <c r="AQ3" s="143">
        <f>AM3*I3+AL3</f>
        <v>3.0989999999999998</v>
      </c>
      <c r="AR3" s="143">
        <f t="shared" ref="AR3:AR9" si="4">0.1*AQ3</f>
        <v>0.30990000000000001</v>
      </c>
      <c r="AS3" s="144">
        <f t="shared" ref="AS3:AS9" si="5">AJ3*3+0.25*AK3</f>
        <v>3.5</v>
      </c>
      <c r="AT3" s="144">
        <f t="shared" ref="AT3:AT9" si="6">SUM(AQ3:AS3)/4</f>
        <v>1.7272249999999998</v>
      </c>
      <c r="AU3" s="143">
        <f>10068.2*J3*POWER(10,-6)*10</f>
        <v>1.4800253999999997E-3</v>
      </c>
      <c r="AV3" s="144">
        <f t="shared" si="2"/>
        <v>8.6376050253999992</v>
      </c>
      <c r="AW3" s="145">
        <f t="shared" ref="AW3:AW9" si="7">AJ3*H3</f>
        <v>1.8999999999999998E-7</v>
      </c>
      <c r="AX3" s="145">
        <f t="shared" ref="AX3:AX9" si="8">H3*AK3</f>
        <v>3.7999999999999996E-7</v>
      </c>
      <c r="AY3" s="145">
        <f t="shared" ref="AY3:AY9" si="9">H3*AV3</f>
        <v>1.6411449548259997E-6</v>
      </c>
      <c r="AZ3" s="297">
        <f>AW3/DB!$B$23</f>
        <v>2.2891566265060238E-10</v>
      </c>
      <c r="BA3" s="297">
        <f>AX3/DB!$B$23</f>
        <v>4.5783132530120476E-10</v>
      </c>
    </row>
    <row r="4" spans="1:53" s="140" customFormat="1" x14ac:dyDescent="0.3">
      <c r="A4" s="131" t="s">
        <v>472</v>
      </c>
      <c r="B4" s="131" t="str">
        <f>B2</f>
        <v>Отстойник О-2 (О-3, О4), нефть, сточная вода</v>
      </c>
      <c r="C4" s="13" t="s">
        <v>188</v>
      </c>
      <c r="D4" s="133" t="s">
        <v>26</v>
      </c>
      <c r="E4" s="146">
        <f>E2</f>
        <v>9.9999999999999995E-7</v>
      </c>
      <c r="F4" s="147">
        <f t="shared" ref="F4:F9" si="10">F3</f>
        <v>1</v>
      </c>
      <c r="G4" s="131">
        <v>0.76</v>
      </c>
      <c r="H4" s="135">
        <f t="shared" si="3"/>
        <v>7.5999999999999992E-7</v>
      </c>
      <c r="I4" s="148">
        <f>I2</f>
        <v>87</v>
      </c>
      <c r="J4" s="151">
        <v>0</v>
      </c>
      <c r="K4" s="149" t="s">
        <v>124</v>
      </c>
      <c r="L4" s="150">
        <v>1.05</v>
      </c>
      <c r="M4" s="140" t="str">
        <f t="shared" si="0"/>
        <v>C3</v>
      </c>
      <c r="N4" s="140" t="str">
        <f t="shared" si="0"/>
        <v>Отстойник О-2 (О-3, О4), нефть, сточная вода</v>
      </c>
      <c r="O4" s="140" t="str">
        <f t="shared" si="1"/>
        <v>Полное-ликвидация</v>
      </c>
      <c r="P4" s="140" t="s">
        <v>46</v>
      </c>
      <c r="Q4" s="140" t="s">
        <v>46</v>
      </c>
      <c r="R4" s="140" t="s">
        <v>46</v>
      </c>
      <c r="S4" s="140" t="s">
        <v>46</v>
      </c>
      <c r="T4" s="140" t="s">
        <v>46</v>
      </c>
      <c r="U4" s="140" t="s">
        <v>46</v>
      </c>
      <c r="V4" s="140" t="s">
        <v>46</v>
      </c>
      <c r="W4" s="140" t="s">
        <v>46</v>
      </c>
      <c r="X4" s="140" t="s">
        <v>46</v>
      </c>
      <c r="Y4" s="140" t="s">
        <v>46</v>
      </c>
      <c r="Z4" s="140" t="s">
        <v>46</v>
      </c>
      <c r="AA4" s="140" t="s">
        <v>46</v>
      </c>
      <c r="AB4" s="140" t="s">
        <v>46</v>
      </c>
      <c r="AC4" s="140" t="s">
        <v>46</v>
      </c>
      <c r="AD4" s="140" t="s">
        <v>46</v>
      </c>
      <c r="AE4" s="140" t="s">
        <v>46</v>
      </c>
      <c r="AF4" s="140" t="s">
        <v>46</v>
      </c>
      <c r="AG4" s="140" t="s">
        <v>46</v>
      </c>
      <c r="AH4" s="140" t="s">
        <v>46</v>
      </c>
      <c r="AI4" s="140" t="s">
        <v>46</v>
      </c>
      <c r="AJ4" s="140">
        <v>0</v>
      </c>
      <c r="AK4" s="140">
        <v>0</v>
      </c>
      <c r="AL4" s="140">
        <f>AL2</f>
        <v>0.75</v>
      </c>
      <c r="AM4" s="140">
        <f>AM2</f>
        <v>2.7E-2</v>
      </c>
      <c r="AN4" s="140">
        <f>AN2</f>
        <v>3</v>
      </c>
      <c r="AQ4" s="143">
        <f>AM4*I4*0.1+AL4</f>
        <v>0.9849</v>
      </c>
      <c r="AR4" s="143">
        <f t="shared" si="4"/>
        <v>9.8490000000000008E-2</v>
      </c>
      <c r="AS4" s="144">
        <f t="shared" si="5"/>
        <v>0</v>
      </c>
      <c r="AT4" s="144">
        <f t="shared" si="6"/>
        <v>0.27084750000000002</v>
      </c>
      <c r="AU4" s="143">
        <f>1333*J2*POWER(10,-6)</f>
        <v>0.11597099999999999</v>
      </c>
      <c r="AV4" s="144">
        <f t="shared" si="2"/>
        <v>1.4702085</v>
      </c>
      <c r="AW4" s="145">
        <f t="shared" si="7"/>
        <v>0</v>
      </c>
      <c r="AX4" s="145">
        <f t="shared" si="8"/>
        <v>0</v>
      </c>
      <c r="AY4" s="145">
        <f>H4*AV4</f>
        <v>1.11735846E-6</v>
      </c>
      <c r="AZ4" s="297">
        <f>AW4/DB!$B$23</f>
        <v>0</v>
      </c>
      <c r="BA4" s="297">
        <f>AX4/DB!$B$23</f>
        <v>0</v>
      </c>
    </row>
    <row r="5" spans="1:53" s="140" customFormat="1" x14ac:dyDescent="0.3">
      <c r="A5" s="131" t="s">
        <v>473</v>
      </c>
      <c r="B5" s="131" t="str">
        <f>B2</f>
        <v>Отстойник О-2 (О-3, О4), нефть, сточная вода</v>
      </c>
      <c r="C5" s="13" t="s">
        <v>160</v>
      </c>
      <c r="D5" s="133" t="s">
        <v>161</v>
      </c>
      <c r="E5" s="134">
        <v>1.0000000000000001E-5</v>
      </c>
      <c r="F5" s="147">
        <f t="shared" si="10"/>
        <v>1</v>
      </c>
      <c r="G5" s="131">
        <v>4.0000000000000008E-2</v>
      </c>
      <c r="H5" s="135">
        <f t="shared" si="3"/>
        <v>4.0000000000000009E-7</v>
      </c>
      <c r="I5" s="148">
        <f>0.15*I2</f>
        <v>13.049999999999999</v>
      </c>
      <c r="J5" s="137">
        <f>I5</f>
        <v>13.049999999999999</v>
      </c>
      <c r="K5" s="149" t="s">
        <v>126</v>
      </c>
      <c r="L5" s="150">
        <v>45390</v>
      </c>
      <c r="M5" s="140" t="str">
        <f t="shared" si="0"/>
        <v>C4</v>
      </c>
      <c r="N5" s="140" t="str">
        <f t="shared" si="0"/>
        <v>Отстойник О-2 (О-3, О4), нефть, сточная вода</v>
      </c>
      <c r="O5" s="140" t="str">
        <f t="shared" si="1"/>
        <v>Частичное факел</v>
      </c>
      <c r="P5" s="140" t="s">
        <v>46</v>
      </c>
      <c r="Q5" s="140" t="s">
        <v>46</v>
      </c>
      <c r="R5" s="140" t="s">
        <v>46</v>
      </c>
      <c r="S5" s="140" t="s">
        <v>46</v>
      </c>
      <c r="T5" s="140" t="s">
        <v>46</v>
      </c>
      <c r="U5" s="140" t="s">
        <v>46</v>
      </c>
      <c r="V5" s="140" t="s">
        <v>46</v>
      </c>
      <c r="W5" s="140" t="s">
        <v>46</v>
      </c>
      <c r="X5" s="140" t="s">
        <v>46</v>
      </c>
      <c r="Y5" s="140">
        <v>15</v>
      </c>
      <c r="Z5" s="140">
        <v>3</v>
      </c>
      <c r="AA5" s="140" t="s">
        <v>46</v>
      </c>
      <c r="AB5" s="140" t="s">
        <v>46</v>
      </c>
      <c r="AC5" s="140" t="s">
        <v>46</v>
      </c>
      <c r="AD5" s="140" t="s">
        <v>46</v>
      </c>
      <c r="AE5" s="140" t="s">
        <v>46</v>
      </c>
      <c r="AF5" s="140" t="s">
        <v>46</v>
      </c>
      <c r="AG5" s="140" t="s">
        <v>46</v>
      </c>
      <c r="AH5" s="140" t="s">
        <v>46</v>
      </c>
      <c r="AI5" s="140" t="s">
        <v>46</v>
      </c>
      <c r="AJ5" s="140">
        <v>0</v>
      </c>
      <c r="AK5" s="140">
        <v>1</v>
      </c>
      <c r="AL5" s="140">
        <f>0.1*$AL$2</f>
        <v>7.5000000000000011E-2</v>
      </c>
      <c r="AM5" s="140">
        <f>AM3</f>
        <v>2.7E-2</v>
      </c>
      <c r="AN5" s="140">
        <f>AN2</f>
        <v>3</v>
      </c>
      <c r="AQ5" s="143">
        <f>AM5*I5*0.1+AL5</f>
        <v>0.110235</v>
      </c>
      <c r="AR5" s="143">
        <f t="shared" si="4"/>
        <v>1.10235E-2</v>
      </c>
      <c r="AS5" s="144">
        <f t="shared" si="5"/>
        <v>0.25</v>
      </c>
      <c r="AT5" s="144">
        <f t="shared" si="6"/>
        <v>9.2814624999999998E-2</v>
      </c>
      <c r="AU5" s="143">
        <f>10068.2*J5*POWER(10,-6)</f>
        <v>0.13139001</v>
      </c>
      <c r="AV5" s="144">
        <f t="shared" si="2"/>
        <v>0.59546313500000003</v>
      </c>
      <c r="AW5" s="145">
        <f t="shared" si="7"/>
        <v>0</v>
      </c>
      <c r="AX5" s="145">
        <f t="shared" si="8"/>
        <v>4.0000000000000009E-7</v>
      </c>
      <c r="AY5" s="145">
        <f t="shared" si="9"/>
        <v>2.3818525400000006E-7</v>
      </c>
      <c r="AZ5" s="297">
        <f>AW5/DB!$B$23</f>
        <v>0</v>
      </c>
      <c r="BA5" s="297">
        <f>AX5/DB!$B$23</f>
        <v>4.8192771084337365E-10</v>
      </c>
    </row>
    <row r="6" spans="1:53" s="140" customFormat="1" x14ac:dyDescent="0.3">
      <c r="A6" s="131" t="s">
        <v>474</v>
      </c>
      <c r="B6" s="131" t="str">
        <f>B2</f>
        <v>Отстойник О-2 (О-3, О4), нефть, сточная вода</v>
      </c>
      <c r="C6" s="13" t="s">
        <v>189</v>
      </c>
      <c r="D6" s="133" t="s">
        <v>27</v>
      </c>
      <c r="E6" s="146">
        <f>E5</f>
        <v>1.0000000000000001E-5</v>
      </c>
      <c r="F6" s="147">
        <f t="shared" si="10"/>
        <v>1</v>
      </c>
      <c r="G6" s="131">
        <v>0.16000000000000003</v>
      </c>
      <c r="H6" s="135">
        <f t="shared" si="3"/>
        <v>1.6000000000000004E-6</v>
      </c>
      <c r="I6" s="148">
        <f>0.15*I2</f>
        <v>13.049999999999999</v>
      </c>
      <c r="J6" s="137">
        <v>0</v>
      </c>
      <c r="K6" s="149" t="s">
        <v>127</v>
      </c>
      <c r="L6" s="150">
        <v>3</v>
      </c>
      <c r="M6" s="140" t="str">
        <f t="shared" si="0"/>
        <v>C5</v>
      </c>
      <c r="N6" s="140" t="str">
        <f t="shared" si="0"/>
        <v>Отстойник О-2 (О-3, О4), нефть, сточная вода</v>
      </c>
      <c r="O6" s="140" t="str">
        <f t="shared" si="1"/>
        <v>Частичное-ликвидация</v>
      </c>
      <c r="P6" s="140" t="s">
        <v>46</v>
      </c>
      <c r="Q6" s="140" t="s">
        <v>46</v>
      </c>
      <c r="R6" s="140" t="s">
        <v>46</v>
      </c>
      <c r="S6" s="140" t="s">
        <v>46</v>
      </c>
      <c r="T6" s="140" t="s">
        <v>46</v>
      </c>
      <c r="U6" s="140" t="s">
        <v>46</v>
      </c>
      <c r="V6" s="140" t="s">
        <v>46</v>
      </c>
      <c r="W6" s="140" t="s">
        <v>46</v>
      </c>
      <c r="X6" s="140" t="s">
        <v>46</v>
      </c>
      <c r="Y6" s="140" t="s">
        <v>46</v>
      </c>
      <c r="Z6" s="140" t="s">
        <v>46</v>
      </c>
      <c r="AA6" s="140" t="s">
        <v>46</v>
      </c>
      <c r="AB6" s="140" t="s">
        <v>46</v>
      </c>
      <c r="AC6" s="140" t="s">
        <v>46</v>
      </c>
      <c r="AD6" s="140" t="s">
        <v>46</v>
      </c>
      <c r="AE6" s="140" t="s">
        <v>46</v>
      </c>
      <c r="AF6" s="140" t="s">
        <v>46</v>
      </c>
      <c r="AG6" s="140" t="s">
        <v>46</v>
      </c>
      <c r="AH6" s="140" t="s">
        <v>46</v>
      </c>
      <c r="AI6" s="140" t="s">
        <v>46</v>
      </c>
      <c r="AJ6" s="140">
        <v>0</v>
      </c>
      <c r="AK6" s="140">
        <v>1</v>
      </c>
      <c r="AL6" s="140">
        <f>0.1*$AL$2</f>
        <v>7.5000000000000011E-2</v>
      </c>
      <c r="AM6" s="140">
        <f>AM2</f>
        <v>2.7E-2</v>
      </c>
      <c r="AN6" s="140">
        <f>ROUNDUP(AN2/3,0)</f>
        <v>1</v>
      </c>
      <c r="AQ6" s="143">
        <f>AM6*I6+AL6</f>
        <v>0.42734999999999995</v>
      </c>
      <c r="AR6" s="143">
        <f t="shared" si="4"/>
        <v>4.2734999999999995E-2</v>
      </c>
      <c r="AS6" s="144">
        <f t="shared" si="5"/>
        <v>0.25</v>
      </c>
      <c r="AT6" s="144">
        <f t="shared" si="6"/>
        <v>0.18002124999999999</v>
      </c>
      <c r="AU6" s="143">
        <f>1333*J3*POWER(10,-6)*10</f>
        <v>1.9595099999999998E-4</v>
      </c>
      <c r="AV6" s="144">
        <f t="shared" si="2"/>
        <v>0.90030220099999991</v>
      </c>
      <c r="AW6" s="145">
        <f t="shared" si="7"/>
        <v>0</v>
      </c>
      <c r="AX6" s="145">
        <f t="shared" si="8"/>
        <v>1.6000000000000004E-6</v>
      </c>
      <c r="AY6" s="145">
        <f t="shared" si="9"/>
        <v>1.4404835216000001E-6</v>
      </c>
      <c r="AZ6" s="297">
        <f>AW6/DB!$B$23</f>
        <v>0</v>
      </c>
      <c r="BA6" s="297">
        <f>AX6/DB!$B$23</f>
        <v>1.9277108433734946E-9</v>
      </c>
    </row>
    <row r="7" spans="1:53" s="140" customFormat="1" x14ac:dyDescent="0.3">
      <c r="A7" s="131" t="s">
        <v>475</v>
      </c>
      <c r="B7" s="131" t="str">
        <f>B2</f>
        <v>Отстойник О-2 (О-3, О4), нефть, сточная вода</v>
      </c>
      <c r="C7" s="13" t="s">
        <v>162</v>
      </c>
      <c r="D7" s="133" t="s">
        <v>161</v>
      </c>
      <c r="E7" s="146">
        <f>E6</f>
        <v>1.0000000000000001E-5</v>
      </c>
      <c r="F7" s="147">
        <f t="shared" si="10"/>
        <v>1</v>
      </c>
      <c r="G7" s="131">
        <v>4.0000000000000008E-2</v>
      </c>
      <c r="H7" s="135">
        <f t="shared" si="3"/>
        <v>4.0000000000000009E-7</v>
      </c>
      <c r="I7" s="148">
        <f>I5*0.15</f>
        <v>1.9574999999999998</v>
      </c>
      <c r="J7" s="137">
        <f>I7</f>
        <v>1.9574999999999998</v>
      </c>
      <c r="K7" s="152" t="s">
        <v>138</v>
      </c>
      <c r="L7" s="153">
        <v>12</v>
      </c>
      <c r="M7" s="140" t="str">
        <f t="shared" si="0"/>
        <v>C6</v>
      </c>
      <c r="N7" s="140" t="str">
        <f t="shared" si="0"/>
        <v>Отстойник О-2 (О-3, О4), нефть, сточная вода</v>
      </c>
      <c r="O7" s="140" t="str">
        <f t="shared" si="1"/>
        <v>Частичное факел</v>
      </c>
      <c r="P7" s="140" t="s">
        <v>46</v>
      </c>
      <c r="Q7" s="140" t="s">
        <v>46</v>
      </c>
      <c r="R7" s="140" t="s">
        <v>46</v>
      </c>
      <c r="S7" s="140" t="s">
        <v>46</v>
      </c>
      <c r="T7" s="140" t="s">
        <v>46</v>
      </c>
      <c r="U7" s="140" t="s">
        <v>46</v>
      </c>
      <c r="V7" s="140" t="s">
        <v>46</v>
      </c>
      <c r="W7" s="140" t="s">
        <v>46</v>
      </c>
      <c r="X7" s="140" t="s">
        <v>46</v>
      </c>
      <c r="Y7" s="140">
        <v>11</v>
      </c>
      <c r="Z7" s="140">
        <v>2</v>
      </c>
      <c r="AA7" s="140" t="s">
        <v>46</v>
      </c>
      <c r="AB7" s="140" t="s">
        <v>46</v>
      </c>
      <c r="AC7" s="140" t="s">
        <v>46</v>
      </c>
      <c r="AD7" s="140" t="s">
        <v>46</v>
      </c>
      <c r="AE7" s="140" t="s">
        <v>46</v>
      </c>
      <c r="AF7" s="140" t="s">
        <v>46</v>
      </c>
      <c r="AG7" s="140" t="s">
        <v>46</v>
      </c>
      <c r="AH7" s="140" t="s">
        <v>46</v>
      </c>
      <c r="AI7" s="140" t="s">
        <v>46</v>
      </c>
      <c r="AJ7" s="140">
        <v>0</v>
      </c>
      <c r="AK7" s="140">
        <v>1</v>
      </c>
      <c r="AL7" s="140">
        <f>0.1*$AL$2</f>
        <v>7.5000000000000011E-2</v>
      </c>
      <c r="AM7" s="140">
        <f>AM2</f>
        <v>2.7E-2</v>
      </c>
      <c r="AN7" s="140">
        <f>AN6</f>
        <v>1</v>
      </c>
      <c r="AQ7" s="143">
        <f>AM7*I7+AL7</f>
        <v>0.12785250000000001</v>
      </c>
      <c r="AR7" s="143">
        <f t="shared" si="4"/>
        <v>1.2785250000000001E-2</v>
      </c>
      <c r="AS7" s="144">
        <f t="shared" si="5"/>
        <v>0.25</v>
      </c>
      <c r="AT7" s="144">
        <f t="shared" si="6"/>
        <v>9.7659437500000001E-2</v>
      </c>
      <c r="AU7" s="143">
        <f>10068.2*J7*POWER(10,-6)</f>
        <v>1.9708501499999996E-2</v>
      </c>
      <c r="AV7" s="144">
        <f t="shared" si="2"/>
        <v>0.50800568899999998</v>
      </c>
      <c r="AW7" s="145">
        <f t="shared" si="7"/>
        <v>0</v>
      </c>
      <c r="AX7" s="145">
        <f t="shared" si="8"/>
        <v>4.0000000000000009E-7</v>
      </c>
      <c r="AY7" s="145">
        <f t="shared" si="9"/>
        <v>2.0320227560000004E-7</v>
      </c>
      <c r="AZ7" s="297">
        <f>AW7/DB!$B$23</f>
        <v>0</v>
      </c>
      <c r="BA7" s="297">
        <f>AX7/DB!$B$23</f>
        <v>4.8192771084337365E-10</v>
      </c>
    </row>
    <row r="8" spans="1:53" s="140" customFormat="1" x14ac:dyDescent="0.3">
      <c r="A8" s="131" t="s">
        <v>476</v>
      </c>
      <c r="B8" s="131" t="str">
        <f>B2</f>
        <v>Отстойник О-2 (О-3, О4), нефть, сточная вода</v>
      </c>
      <c r="C8" s="13" t="s">
        <v>163</v>
      </c>
      <c r="D8" s="133" t="s">
        <v>112</v>
      </c>
      <c r="E8" s="146">
        <f>E6</f>
        <v>1.0000000000000001E-5</v>
      </c>
      <c r="F8" s="147">
        <f t="shared" si="10"/>
        <v>1</v>
      </c>
      <c r="G8" s="131">
        <v>0.15200000000000002</v>
      </c>
      <c r="H8" s="135">
        <f t="shared" si="3"/>
        <v>1.5200000000000003E-6</v>
      </c>
      <c r="I8" s="148">
        <f>I5*0.15</f>
        <v>1.9574999999999998</v>
      </c>
      <c r="J8" s="137">
        <f>I8</f>
        <v>1.9574999999999998</v>
      </c>
      <c r="K8" s="207" t="s">
        <v>468</v>
      </c>
      <c r="L8" s="295" t="s">
        <v>709</v>
      </c>
      <c r="M8" s="140" t="str">
        <f t="shared" si="0"/>
        <v>C7</v>
      </c>
      <c r="N8" s="140" t="str">
        <f t="shared" si="0"/>
        <v>Отстойник О-2 (О-3, О4), нефть, сточная вода</v>
      </c>
      <c r="O8" s="140" t="str">
        <f t="shared" si="1"/>
        <v>Частичное-пожар-вспышка</v>
      </c>
      <c r="P8" s="140" t="s">
        <v>46</v>
      </c>
      <c r="Q8" s="140" t="s">
        <v>46</v>
      </c>
      <c r="R8" s="140" t="s">
        <v>46</v>
      </c>
      <c r="S8" s="140" t="s">
        <v>46</v>
      </c>
      <c r="T8" s="140" t="s">
        <v>46</v>
      </c>
      <c r="U8" s="140" t="s">
        <v>46</v>
      </c>
      <c r="V8" s="140" t="s">
        <v>46</v>
      </c>
      <c r="W8" s="140" t="s">
        <v>46</v>
      </c>
      <c r="X8" s="140" t="s">
        <v>46</v>
      </c>
      <c r="Y8" s="140" t="s">
        <v>46</v>
      </c>
      <c r="Z8" s="140" t="s">
        <v>46</v>
      </c>
      <c r="AA8" s="140">
        <v>41.84</v>
      </c>
      <c r="AB8" s="140">
        <v>50.21</v>
      </c>
      <c r="AC8" s="140" t="s">
        <v>46</v>
      </c>
      <c r="AD8" s="140" t="s">
        <v>46</v>
      </c>
      <c r="AE8" s="140" t="s">
        <v>46</v>
      </c>
      <c r="AF8" s="140" t="s">
        <v>46</v>
      </c>
      <c r="AG8" s="140" t="s">
        <v>46</v>
      </c>
      <c r="AH8" s="140" t="s">
        <v>46</v>
      </c>
      <c r="AI8" s="140" t="s">
        <v>46</v>
      </c>
      <c r="AJ8" s="140">
        <v>0</v>
      </c>
      <c r="AK8" s="140">
        <v>1</v>
      </c>
      <c r="AL8" s="140">
        <f>0.1*$AL$2</f>
        <v>7.5000000000000011E-2</v>
      </c>
      <c r="AM8" s="140">
        <f>AM2</f>
        <v>2.7E-2</v>
      </c>
      <c r="AN8" s="140">
        <f>ROUNDUP(AN2/3,0)</f>
        <v>1</v>
      </c>
      <c r="AQ8" s="143">
        <f>AM8*I8+AL8</f>
        <v>0.12785250000000001</v>
      </c>
      <c r="AR8" s="143">
        <f t="shared" si="4"/>
        <v>1.2785250000000001E-2</v>
      </c>
      <c r="AS8" s="144">
        <f t="shared" si="5"/>
        <v>0.25</v>
      </c>
      <c r="AT8" s="144">
        <f t="shared" si="6"/>
        <v>9.7659437500000001E-2</v>
      </c>
      <c r="AU8" s="143">
        <f>10068.2*J8*POWER(10,-6)</f>
        <v>1.9708501499999996E-2</v>
      </c>
      <c r="AV8" s="144">
        <f t="shared" si="2"/>
        <v>0.50800568899999998</v>
      </c>
      <c r="AW8" s="145">
        <f t="shared" si="7"/>
        <v>0</v>
      </c>
      <c r="AX8" s="145">
        <f t="shared" si="8"/>
        <v>1.5200000000000003E-6</v>
      </c>
      <c r="AY8" s="145">
        <f t="shared" si="9"/>
        <v>7.7216864728000016E-7</v>
      </c>
      <c r="AZ8" s="297">
        <f>AW8/DB!$B$23</f>
        <v>0</v>
      </c>
      <c r="BA8" s="297">
        <f>AX8/DB!$B$23</f>
        <v>1.8313253012048197E-9</v>
      </c>
    </row>
    <row r="9" spans="1:53" s="140" customFormat="1" ht="15" thickBot="1" x14ac:dyDescent="0.35">
      <c r="A9" s="131" t="s">
        <v>477</v>
      </c>
      <c r="B9" s="131" t="str">
        <f>B2</f>
        <v>Отстойник О-2 (О-3, О4), нефть, сточная вода</v>
      </c>
      <c r="C9" s="13" t="s">
        <v>164</v>
      </c>
      <c r="D9" s="133" t="s">
        <v>27</v>
      </c>
      <c r="E9" s="146">
        <f>E6</f>
        <v>1.0000000000000001E-5</v>
      </c>
      <c r="F9" s="147">
        <f t="shared" si="10"/>
        <v>1</v>
      </c>
      <c r="G9" s="131">
        <v>0.6080000000000001</v>
      </c>
      <c r="H9" s="135">
        <f t="shared" si="3"/>
        <v>6.0800000000000011E-6</v>
      </c>
      <c r="I9" s="148">
        <f>I5*0.15</f>
        <v>1.9574999999999998</v>
      </c>
      <c r="J9" s="151">
        <v>0</v>
      </c>
      <c r="K9" s="154"/>
      <c r="L9" s="155"/>
      <c r="M9" s="140" t="str">
        <f t="shared" si="0"/>
        <v>C8</v>
      </c>
      <c r="N9" s="140" t="str">
        <f t="shared" si="0"/>
        <v>Отстойник О-2 (О-3, О4), нефть, сточная вода</v>
      </c>
      <c r="O9" s="140" t="str">
        <f t="shared" si="1"/>
        <v>Частичное-ликвидация</v>
      </c>
      <c r="P9" s="140" t="s">
        <v>46</v>
      </c>
      <c r="Q9" s="140" t="s">
        <v>46</v>
      </c>
      <c r="R9" s="140" t="s">
        <v>46</v>
      </c>
      <c r="S9" s="140" t="s">
        <v>46</v>
      </c>
      <c r="T9" s="140" t="s">
        <v>46</v>
      </c>
      <c r="U9" s="140" t="s">
        <v>46</v>
      </c>
      <c r="V9" s="140" t="s">
        <v>46</v>
      </c>
      <c r="W9" s="140" t="s">
        <v>46</v>
      </c>
      <c r="X9" s="140" t="s">
        <v>46</v>
      </c>
      <c r="Y9" s="140" t="s">
        <v>46</v>
      </c>
      <c r="Z9" s="140" t="s">
        <v>46</v>
      </c>
      <c r="AA9" s="140" t="s">
        <v>46</v>
      </c>
      <c r="AB9" s="140" t="s">
        <v>46</v>
      </c>
      <c r="AC9" s="140" t="s">
        <v>46</v>
      </c>
      <c r="AD9" s="140" t="s">
        <v>46</v>
      </c>
      <c r="AE9" s="140" t="s">
        <v>46</v>
      </c>
      <c r="AF9" s="140" t="s">
        <v>46</v>
      </c>
      <c r="AG9" s="140" t="s">
        <v>46</v>
      </c>
      <c r="AH9" s="140" t="s">
        <v>46</v>
      </c>
      <c r="AI9" s="140" t="s">
        <v>46</v>
      </c>
      <c r="AJ9" s="140">
        <v>0</v>
      </c>
      <c r="AK9" s="140">
        <v>0</v>
      </c>
      <c r="AL9" s="140">
        <f>0.1*$AL$2</f>
        <v>7.5000000000000011E-2</v>
      </c>
      <c r="AM9" s="140">
        <f>AM2</f>
        <v>2.7E-2</v>
      </c>
      <c r="AN9" s="140">
        <f>ROUNDUP(AN2/3,0)</f>
        <v>1</v>
      </c>
      <c r="AQ9" s="143">
        <f>AM9*I9*0.1+AL9</f>
        <v>8.0285250000000016E-2</v>
      </c>
      <c r="AR9" s="143">
        <f t="shared" si="4"/>
        <v>8.0285250000000016E-3</v>
      </c>
      <c r="AS9" s="144">
        <f t="shared" si="5"/>
        <v>0</v>
      </c>
      <c r="AT9" s="144">
        <f t="shared" si="6"/>
        <v>2.2078443750000003E-2</v>
      </c>
      <c r="AU9" s="143">
        <f>1333*J7*POWER(10,-6)</f>
        <v>2.6093474999999999E-3</v>
      </c>
      <c r="AV9" s="144">
        <f t="shared" si="2"/>
        <v>0.11300156625000002</v>
      </c>
      <c r="AW9" s="145">
        <f t="shared" si="7"/>
        <v>0</v>
      </c>
      <c r="AX9" s="145">
        <f t="shared" si="8"/>
        <v>0</v>
      </c>
      <c r="AY9" s="145">
        <f t="shared" si="9"/>
        <v>6.8704952280000019E-7</v>
      </c>
      <c r="AZ9" s="297">
        <f>AW9/DB!$B$23</f>
        <v>0</v>
      </c>
      <c r="BA9" s="297">
        <f>AX9/DB!$B$23</f>
        <v>0</v>
      </c>
    </row>
    <row r="10" spans="1:53" s="140" customFormat="1" x14ac:dyDescent="0.3">
      <c r="A10" s="194" t="s">
        <v>478</v>
      </c>
      <c r="B10" s="194" t="str">
        <f>B2</f>
        <v>Отстойник О-2 (О-3, О4), нефть, сточная вода</v>
      </c>
      <c r="C10" s="194" t="s">
        <v>341</v>
      </c>
      <c r="D10" s="194" t="s">
        <v>342</v>
      </c>
      <c r="E10" s="195">
        <v>2.5000000000000001E-5</v>
      </c>
      <c r="F10" s="147">
        <v>1</v>
      </c>
      <c r="G10" s="194">
        <v>1</v>
      </c>
      <c r="H10" s="196">
        <f t="shared" si="3"/>
        <v>2.5000000000000001E-5</v>
      </c>
      <c r="I10" s="197">
        <f>I2</f>
        <v>87</v>
      </c>
      <c r="J10" s="197">
        <f>J2*0.1</f>
        <v>8.7000000000000011</v>
      </c>
      <c r="K10" s="194"/>
      <c r="L10" s="194"/>
      <c r="M10" s="198" t="str">
        <f t="shared" si="0"/>
        <v>C9</v>
      </c>
      <c r="N10" s="198"/>
      <c r="O10" s="198"/>
      <c r="P10" s="198">
        <v>15.1</v>
      </c>
      <c r="Q10" s="198">
        <v>21.1</v>
      </c>
      <c r="R10" s="198">
        <v>30.5</v>
      </c>
      <c r="S10" s="198">
        <v>57.8</v>
      </c>
      <c r="T10" s="198"/>
      <c r="U10" s="198"/>
      <c r="V10" s="198" t="s">
        <v>46</v>
      </c>
      <c r="W10" s="198" t="s">
        <v>46</v>
      </c>
      <c r="X10" s="198" t="s">
        <v>46</v>
      </c>
      <c r="Y10" s="198" t="s">
        <v>46</v>
      </c>
      <c r="Z10" s="198"/>
      <c r="AA10" s="198"/>
      <c r="AB10" s="198"/>
      <c r="AC10" s="198"/>
      <c r="AD10" s="198"/>
      <c r="AE10" s="198">
        <v>80.5</v>
      </c>
      <c r="AF10" s="198">
        <v>122.5</v>
      </c>
      <c r="AG10" s="198">
        <v>148</v>
      </c>
      <c r="AH10" s="198">
        <v>193</v>
      </c>
      <c r="AI10" s="198"/>
      <c r="AJ10" s="198">
        <v>0</v>
      </c>
      <c r="AK10" s="198">
        <v>2</v>
      </c>
      <c r="AL10" s="198">
        <f>AL2</f>
        <v>0.75</v>
      </c>
      <c r="AM10" s="198">
        <f>AM2</f>
        <v>2.7E-2</v>
      </c>
      <c r="AN10" s="198">
        <v>5</v>
      </c>
      <c r="AO10" s="198"/>
      <c r="AP10" s="198"/>
      <c r="AQ10" s="199">
        <f>AM10*I10+AL10</f>
        <v>3.0989999999999998</v>
      </c>
      <c r="AR10" s="199">
        <f>0.1*AQ10</f>
        <v>0.30990000000000001</v>
      </c>
      <c r="AS10" s="200">
        <f>AJ10*3+0.25*AK10</f>
        <v>0.5</v>
      </c>
      <c r="AT10" s="200">
        <f>SUM(AQ10:AS10)/4</f>
        <v>0.9772249999999999</v>
      </c>
      <c r="AU10" s="199">
        <f>10068.2*J10*POWER(10,-6)</f>
        <v>8.7593340000000006E-2</v>
      </c>
      <c r="AV10" s="200">
        <f t="shared" si="2"/>
        <v>4.9737183399999996</v>
      </c>
      <c r="AW10" s="201">
        <f>AJ10*H10</f>
        <v>0</v>
      </c>
      <c r="AX10" s="201">
        <f>H10*AK10</f>
        <v>5.0000000000000002E-5</v>
      </c>
      <c r="AY10" s="201">
        <f>H10*AV10</f>
        <v>1.2434295849999999E-4</v>
      </c>
      <c r="AZ10" s="297">
        <f>AW10/DB!$B$23</f>
        <v>0</v>
      </c>
      <c r="BA10" s="297">
        <f>AX10/DB!$B$23</f>
        <v>6.0240963855421685E-8</v>
      </c>
    </row>
    <row r="11" spans="1:53" ht="15" thickBot="1" x14ac:dyDescent="0.35"/>
    <row r="12" spans="1:53" s="140" customFormat="1" ht="18" customHeight="1" x14ac:dyDescent="0.3">
      <c r="A12" s="131" t="s">
        <v>743</v>
      </c>
      <c r="B12" s="132" t="s">
        <v>712</v>
      </c>
      <c r="C12" s="13" t="s">
        <v>143</v>
      </c>
      <c r="D12" s="133" t="s">
        <v>25</v>
      </c>
      <c r="E12" s="134">
        <v>9.9999999999999995E-7</v>
      </c>
      <c r="F12" s="132">
        <v>1</v>
      </c>
      <c r="G12" s="131">
        <v>0.05</v>
      </c>
      <c r="H12" s="135">
        <f>E12*F12*G12</f>
        <v>4.9999999999999998E-8</v>
      </c>
      <c r="I12" s="136">
        <v>175</v>
      </c>
      <c r="J12" s="137">
        <f>I12</f>
        <v>175</v>
      </c>
      <c r="K12" s="138" t="s">
        <v>122</v>
      </c>
      <c r="L12" s="139">
        <v>450</v>
      </c>
      <c r="M12" s="140" t="str">
        <f t="shared" ref="M12:M20" si="11">A12</f>
        <v>C10</v>
      </c>
      <c r="N12" s="140" t="str">
        <f t="shared" ref="N12:N19" si="12">B12</f>
        <v>Отстойник О-5 (О-6), нефть, сточная вода</v>
      </c>
      <c r="O12" s="140" t="str">
        <f t="shared" ref="O12:O19" si="13">D12</f>
        <v>Полное-пожар</v>
      </c>
      <c r="P12" s="140">
        <v>17.100000000000001</v>
      </c>
      <c r="Q12" s="140">
        <v>23.8</v>
      </c>
      <c r="R12" s="140">
        <v>34.299999999999997</v>
      </c>
      <c r="S12" s="140">
        <v>64.5</v>
      </c>
      <c r="T12" s="140" t="s">
        <v>46</v>
      </c>
      <c r="U12" s="140" t="s">
        <v>46</v>
      </c>
      <c r="V12" s="140" t="s">
        <v>46</v>
      </c>
      <c r="W12" s="140" t="s">
        <v>46</v>
      </c>
      <c r="X12" s="140" t="s">
        <v>46</v>
      </c>
      <c r="Y12" s="140" t="s">
        <v>46</v>
      </c>
      <c r="Z12" s="140" t="s">
        <v>46</v>
      </c>
      <c r="AA12" s="140" t="s">
        <v>46</v>
      </c>
      <c r="AB12" s="140" t="s">
        <v>46</v>
      </c>
      <c r="AC12" s="140" t="s">
        <v>46</v>
      </c>
      <c r="AD12" s="140" t="s">
        <v>46</v>
      </c>
      <c r="AE12" s="140" t="s">
        <v>46</v>
      </c>
      <c r="AF12" s="140" t="s">
        <v>46</v>
      </c>
      <c r="AG12" s="140" t="s">
        <v>46</v>
      </c>
      <c r="AH12" s="140" t="s">
        <v>46</v>
      </c>
      <c r="AI12" s="140" t="s">
        <v>46</v>
      </c>
      <c r="AJ12" s="141">
        <v>0</v>
      </c>
      <c r="AK12" s="141">
        <v>2</v>
      </c>
      <c r="AL12" s="142">
        <v>0.75</v>
      </c>
      <c r="AM12" s="142">
        <v>2.7E-2</v>
      </c>
      <c r="AN12" s="142">
        <v>3</v>
      </c>
      <c r="AQ12" s="143">
        <f>AM12*I12+AL12</f>
        <v>5.4749999999999996</v>
      </c>
      <c r="AR12" s="143">
        <f>0.1*AQ12</f>
        <v>0.54749999999999999</v>
      </c>
      <c r="AS12" s="144">
        <f>AJ12*3+0.25*AK12</f>
        <v>0.5</v>
      </c>
      <c r="AT12" s="144">
        <f>SUM(AQ12:AS12)/4</f>
        <v>1.630625</v>
      </c>
      <c r="AU12" s="143">
        <f>10068.2*J12*POWER(10,-6)</f>
        <v>1.7619350000000003</v>
      </c>
      <c r="AV12" s="144">
        <f t="shared" ref="AV12:AV20" si="14">AU12+AT12+AS12+AR12+AQ12</f>
        <v>9.9150600000000004</v>
      </c>
      <c r="AW12" s="145">
        <f>AJ12*H12</f>
        <v>0</v>
      </c>
      <c r="AX12" s="145">
        <f>H12*AK12</f>
        <v>9.9999999999999995E-8</v>
      </c>
      <c r="AY12" s="145">
        <f>H12*AV12</f>
        <v>4.9575299999999995E-7</v>
      </c>
      <c r="AZ12" s="297">
        <f>AW12/DB!$B$23</f>
        <v>0</v>
      </c>
      <c r="BA12" s="297">
        <f>AX12/DB!$B$23</f>
        <v>1.2048192771084336E-10</v>
      </c>
    </row>
    <row r="13" spans="1:53" s="140" customFormat="1" x14ac:dyDescent="0.3">
      <c r="A13" s="131" t="s">
        <v>744</v>
      </c>
      <c r="B13" s="131" t="str">
        <f>B12</f>
        <v>Отстойник О-5 (О-6), нефть, сточная вода</v>
      </c>
      <c r="C13" s="13" t="s">
        <v>149</v>
      </c>
      <c r="D13" s="133" t="s">
        <v>28</v>
      </c>
      <c r="E13" s="146">
        <f>E12</f>
        <v>9.9999999999999995E-7</v>
      </c>
      <c r="F13" s="147">
        <f>F12</f>
        <v>1</v>
      </c>
      <c r="G13" s="131">
        <v>0.19</v>
      </c>
      <c r="H13" s="135">
        <f t="shared" ref="H13:H20" si="15">E13*F13*G13</f>
        <v>1.8999999999999998E-7</v>
      </c>
      <c r="I13" s="148">
        <f>I12</f>
        <v>175</v>
      </c>
      <c r="J13" s="266">
        <f>POWER(10,-6)*35*SQRT(100)*L1*L12/1000*0.1</f>
        <v>1.89E-2</v>
      </c>
      <c r="K13" s="149" t="s">
        <v>123</v>
      </c>
      <c r="L13" s="150">
        <v>2</v>
      </c>
      <c r="M13" s="140" t="str">
        <f t="shared" si="11"/>
        <v>C11</v>
      </c>
      <c r="N13" s="140" t="str">
        <f t="shared" si="12"/>
        <v>Отстойник О-5 (О-6), нефть, сточная вода</v>
      </c>
      <c r="O13" s="140" t="str">
        <f t="shared" si="13"/>
        <v>Полное-взрыв</v>
      </c>
      <c r="P13" s="140" t="s">
        <v>46</v>
      </c>
      <c r="Q13" s="140" t="s">
        <v>46</v>
      </c>
      <c r="R13" s="140" t="s">
        <v>46</v>
      </c>
      <c r="S13" s="140" t="s">
        <v>46</v>
      </c>
      <c r="T13" s="140">
        <v>0</v>
      </c>
      <c r="U13" s="140">
        <v>0</v>
      </c>
      <c r="V13" s="140">
        <v>20.100000000000001</v>
      </c>
      <c r="W13" s="140">
        <v>67.099999999999994</v>
      </c>
      <c r="X13" s="140">
        <v>98.1</v>
      </c>
      <c r="Y13" s="140" t="s">
        <v>46</v>
      </c>
      <c r="Z13" s="140" t="s">
        <v>46</v>
      </c>
      <c r="AA13" s="140" t="s">
        <v>46</v>
      </c>
      <c r="AB13" s="140" t="s">
        <v>46</v>
      </c>
      <c r="AC13" s="140" t="s">
        <v>46</v>
      </c>
      <c r="AD13" s="140" t="s">
        <v>46</v>
      </c>
      <c r="AE13" s="140" t="s">
        <v>46</v>
      </c>
      <c r="AF13" s="140" t="s">
        <v>46</v>
      </c>
      <c r="AG13" s="140" t="s">
        <v>46</v>
      </c>
      <c r="AH13" s="140" t="s">
        <v>46</v>
      </c>
      <c r="AI13" s="140" t="s">
        <v>46</v>
      </c>
      <c r="AJ13" s="141">
        <v>1</v>
      </c>
      <c r="AK13" s="141">
        <v>2</v>
      </c>
      <c r="AL13" s="140">
        <f>AL12</f>
        <v>0.75</v>
      </c>
      <c r="AM13" s="140">
        <f>AM12</f>
        <v>2.7E-2</v>
      </c>
      <c r="AN13" s="140">
        <f>AN12</f>
        <v>3</v>
      </c>
      <c r="AQ13" s="143">
        <f>AM13*I13+AL13</f>
        <v>5.4749999999999996</v>
      </c>
      <c r="AR13" s="143">
        <f t="shared" ref="AR13:AR19" si="16">0.1*AQ13</f>
        <v>0.54749999999999999</v>
      </c>
      <c r="AS13" s="144">
        <f t="shared" ref="AS13:AS19" si="17">AJ13*3+0.25*AK13</f>
        <v>3.5</v>
      </c>
      <c r="AT13" s="144">
        <f t="shared" ref="AT13:AT19" si="18">SUM(AQ13:AS13)/4</f>
        <v>2.3806250000000002</v>
      </c>
      <c r="AU13" s="143">
        <f>10068.2*J13*POWER(10,-6)*10</f>
        <v>1.9028898000000001E-3</v>
      </c>
      <c r="AV13" s="144">
        <f t="shared" si="14"/>
        <v>11.905027889799999</v>
      </c>
      <c r="AW13" s="145">
        <f t="shared" ref="AW13:AW19" si="19">AJ13*H13</f>
        <v>1.8999999999999998E-7</v>
      </c>
      <c r="AX13" s="145">
        <f t="shared" ref="AX13:AX19" si="20">H13*AK13</f>
        <v>3.7999999999999996E-7</v>
      </c>
      <c r="AY13" s="145">
        <f t="shared" ref="AY13" si="21">H13*AV13</f>
        <v>2.2619552990619997E-6</v>
      </c>
      <c r="AZ13" s="297">
        <f>AW13/DB!$B$23</f>
        <v>2.2891566265060238E-10</v>
      </c>
      <c r="BA13" s="297">
        <f>AX13/DB!$B$23</f>
        <v>4.5783132530120476E-10</v>
      </c>
    </row>
    <row r="14" spans="1:53" s="140" customFormat="1" x14ac:dyDescent="0.3">
      <c r="A14" s="131" t="s">
        <v>745</v>
      </c>
      <c r="B14" s="131" t="str">
        <f>B12</f>
        <v>Отстойник О-5 (О-6), нефть, сточная вода</v>
      </c>
      <c r="C14" s="13" t="s">
        <v>188</v>
      </c>
      <c r="D14" s="133" t="s">
        <v>26</v>
      </c>
      <c r="E14" s="146">
        <f>E12</f>
        <v>9.9999999999999995E-7</v>
      </c>
      <c r="F14" s="147">
        <f t="shared" ref="F14:F19" si="22">F13</f>
        <v>1</v>
      </c>
      <c r="G14" s="131">
        <v>0.76</v>
      </c>
      <c r="H14" s="135">
        <f t="shared" si="15"/>
        <v>7.5999999999999992E-7</v>
      </c>
      <c r="I14" s="148">
        <f>I12</f>
        <v>175</v>
      </c>
      <c r="J14" s="151">
        <v>0</v>
      </c>
      <c r="K14" s="149" t="s">
        <v>124</v>
      </c>
      <c r="L14" s="150">
        <v>1.05</v>
      </c>
      <c r="M14" s="140" t="str">
        <f t="shared" si="11"/>
        <v>C12</v>
      </c>
      <c r="N14" s="140" t="str">
        <f t="shared" si="12"/>
        <v>Отстойник О-5 (О-6), нефть, сточная вода</v>
      </c>
      <c r="O14" s="140" t="str">
        <f t="shared" si="13"/>
        <v>Полное-ликвидация</v>
      </c>
      <c r="P14" s="140" t="s">
        <v>46</v>
      </c>
      <c r="Q14" s="140" t="s">
        <v>46</v>
      </c>
      <c r="R14" s="140" t="s">
        <v>46</v>
      </c>
      <c r="S14" s="140" t="s">
        <v>46</v>
      </c>
      <c r="T14" s="140" t="s">
        <v>46</v>
      </c>
      <c r="U14" s="140" t="s">
        <v>46</v>
      </c>
      <c r="V14" s="140" t="s">
        <v>46</v>
      </c>
      <c r="W14" s="140" t="s">
        <v>46</v>
      </c>
      <c r="X14" s="140" t="s">
        <v>46</v>
      </c>
      <c r="Y14" s="140" t="s">
        <v>46</v>
      </c>
      <c r="Z14" s="140" t="s">
        <v>46</v>
      </c>
      <c r="AA14" s="140" t="s">
        <v>46</v>
      </c>
      <c r="AB14" s="140" t="s">
        <v>46</v>
      </c>
      <c r="AC14" s="140" t="s">
        <v>46</v>
      </c>
      <c r="AD14" s="140" t="s">
        <v>46</v>
      </c>
      <c r="AE14" s="140" t="s">
        <v>46</v>
      </c>
      <c r="AF14" s="140" t="s">
        <v>46</v>
      </c>
      <c r="AG14" s="140" t="s">
        <v>46</v>
      </c>
      <c r="AH14" s="140" t="s">
        <v>46</v>
      </c>
      <c r="AI14" s="140" t="s">
        <v>46</v>
      </c>
      <c r="AJ14" s="140">
        <v>0</v>
      </c>
      <c r="AK14" s="140">
        <v>0</v>
      </c>
      <c r="AL14" s="140">
        <f>AL12</f>
        <v>0.75</v>
      </c>
      <c r="AM14" s="140">
        <f>AM12</f>
        <v>2.7E-2</v>
      </c>
      <c r="AN14" s="140">
        <f>AN12</f>
        <v>3</v>
      </c>
      <c r="AQ14" s="143">
        <f>AM14*I14*0.1+AL14</f>
        <v>1.2224999999999999</v>
      </c>
      <c r="AR14" s="143">
        <f t="shared" si="16"/>
        <v>0.12225</v>
      </c>
      <c r="AS14" s="144">
        <f t="shared" si="17"/>
        <v>0</v>
      </c>
      <c r="AT14" s="144">
        <f t="shared" si="18"/>
        <v>0.33618749999999997</v>
      </c>
      <c r="AU14" s="143">
        <f>1333*J12*POWER(10,-6)</f>
        <v>0.23327499999999998</v>
      </c>
      <c r="AV14" s="144">
        <f t="shared" si="14"/>
        <v>1.9142124999999999</v>
      </c>
      <c r="AW14" s="145">
        <f t="shared" si="19"/>
        <v>0</v>
      </c>
      <c r="AX14" s="145">
        <f t="shared" si="20"/>
        <v>0</v>
      </c>
      <c r="AY14" s="145">
        <f>H14*AV14</f>
        <v>1.4548014999999998E-6</v>
      </c>
      <c r="AZ14" s="297">
        <f>AW14/DB!$B$23</f>
        <v>0</v>
      </c>
      <c r="BA14" s="297">
        <f>AX14/DB!$B$23</f>
        <v>0</v>
      </c>
    </row>
    <row r="15" spans="1:53" s="140" customFormat="1" x14ac:dyDescent="0.3">
      <c r="A15" s="131" t="s">
        <v>746</v>
      </c>
      <c r="B15" s="131" t="str">
        <f>B12</f>
        <v>Отстойник О-5 (О-6), нефть, сточная вода</v>
      </c>
      <c r="C15" s="13" t="s">
        <v>160</v>
      </c>
      <c r="D15" s="133" t="s">
        <v>161</v>
      </c>
      <c r="E15" s="134">
        <v>1.0000000000000001E-5</v>
      </c>
      <c r="F15" s="147">
        <f t="shared" si="22"/>
        <v>1</v>
      </c>
      <c r="G15" s="131">
        <v>4.0000000000000008E-2</v>
      </c>
      <c r="H15" s="135">
        <f t="shared" si="15"/>
        <v>4.0000000000000009E-7</v>
      </c>
      <c r="I15" s="148">
        <f>0.15*I12</f>
        <v>26.25</v>
      </c>
      <c r="J15" s="137">
        <f>I15</f>
        <v>26.25</v>
      </c>
      <c r="K15" s="149" t="s">
        <v>126</v>
      </c>
      <c r="L15" s="150">
        <v>45390</v>
      </c>
      <c r="M15" s="140" t="str">
        <f t="shared" si="11"/>
        <v>C13</v>
      </c>
      <c r="N15" s="140" t="str">
        <f t="shared" si="12"/>
        <v>Отстойник О-5 (О-6), нефть, сточная вода</v>
      </c>
      <c r="O15" s="140" t="str">
        <f t="shared" si="13"/>
        <v>Частичное факел</v>
      </c>
      <c r="P15" s="140" t="s">
        <v>46</v>
      </c>
      <c r="Q15" s="140" t="s">
        <v>46</v>
      </c>
      <c r="R15" s="140" t="s">
        <v>46</v>
      </c>
      <c r="S15" s="140" t="s">
        <v>46</v>
      </c>
      <c r="T15" s="140" t="s">
        <v>46</v>
      </c>
      <c r="U15" s="140" t="s">
        <v>46</v>
      </c>
      <c r="V15" s="140" t="s">
        <v>46</v>
      </c>
      <c r="W15" s="140" t="s">
        <v>46</v>
      </c>
      <c r="X15" s="140" t="s">
        <v>46</v>
      </c>
      <c r="Y15" s="140">
        <v>15</v>
      </c>
      <c r="Z15" s="140">
        <v>3</v>
      </c>
      <c r="AA15" s="140" t="s">
        <v>46</v>
      </c>
      <c r="AB15" s="140" t="s">
        <v>46</v>
      </c>
      <c r="AC15" s="140" t="s">
        <v>46</v>
      </c>
      <c r="AD15" s="140" t="s">
        <v>46</v>
      </c>
      <c r="AE15" s="140" t="s">
        <v>46</v>
      </c>
      <c r="AF15" s="140" t="s">
        <v>46</v>
      </c>
      <c r="AG15" s="140" t="s">
        <v>46</v>
      </c>
      <c r="AH15" s="140" t="s">
        <v>46</v>
      </c>
      <c r="AI15" s="140" t="s">
        <v>46</v>
      </c>
      <c r="AJ15" s="140">
        <v>0</v>
      </c>
      <c r="AK15" s="140">
        <v>1</v>
      </c>
      <c r="AL15" s="140">
        <f>0.1*$AL$2</f>
        <v>7.5000000000000011E-2</v>
      </c>
      <c r="AM15" s="140">
        <f>AM13</f>
        <v>2.7E-2</v>
      </c>
      <c r="AN15" s="140">
        <f>AN12</f>
        <v>3</v>
      </c>
      <c r="AQ15" s="143">
        <f>AM15*I15*0.1+AL15</f>
        <v>0.14587500000000003</v>
      </c>
      <c r="AR15" s="143">
        <f t="shared" si="16"/>
        <v>1.4587500000000003E-2</v>
      </c>
      <c r="AS15" s="144">
        <f t="shared" si="17"/>
        <v>0.25</v>
      </c>
      <c r="AT15" s="144">
        <f t="shared" si="18"/>
        <v>0.10261562500000002</v>
      </c>
      <c r="AU15" s="143">
        <f>10068.2*J15*POWER(10,-6)</f>
        <v>0.26429025</v>
      </c>
      <c r="AV15" s="144">
        <f t="shared" si="14"/>
        <v>0.777368375</v>
      </c>
      <c r="AW15" s="145">
        <f t="shared" si="19"/>
        <v>0</v>
      </c>
      <c r="AX15" s="145">
        <f t="shared" si="20"/>
        <v>4.0000000000000009E-7</v>
      </c>
      <c r="AY15" s="145">
        <f t="shared" ref="AY15:AY19" si="23">H15*AV15</f>
        <v>3.1094735000000009E-7</v>
      </c>
      <c r="AZ15" s="297">
        <f>AW15/DB!$B$23</f>
        <v>0</v>
      </c>
      <c r="BA15" s="297">
        <f>AX15/DB!$B$23</f>
        <v>4.8192771084337365E-10</v>
      </c>
    </row>
    <row r="16" spans="1:53" s="140" customFormat="1" x14ac:dyDescent="0.3">
      <c r="A16" s="131" t="s">
        <v>747</v>
      </c>
      <c r="B16" s="131" t="str">
        <f>B12</f>
        <v>Отстойник О-5 (О-6), нефть, сточная вода</v>
      </c>
      <c r="C16" s="13" t="s">
        <v>189</v>
      </c>
      <c r="D16" s="133" t="s">
        <v>27</v>
      </c>
      <c r="E16" s="146">
        <f>E15</f>
        <v>1.0000000000000001E-5</v>
      </c>
      <c r="F16" s="147">
        <f t="shared" si="22"/>
        <v>1</v>
      </c>
      <c r="G16" s="131">
        <v>0.16000000000000003</v>
      </c>
      <c r="H16" s="135">
        <f t="shared" si="15"/>
        <v>1.6000000000000004E-6</v>
      </c>
      <c r="I16" s="148">
        <f>0.15*I12</f>
        <v>26.25</v>
      </c>
      <c r="J16" s="137">
        <v>0</v>
      </c>
      <c r="K16" s="149" t="s">
        <v>127</v>
      </c>
      <c r="L16" s="150">
        <v>3</v>
      </c>
      <c r="M16" s="140" t="str">
        <f t="shared" si="11"/>
        <v>C14</v>
      </c>
      <c r="N16" s="140" t="str">
        <f t="shared" si="12"/>
        <v>Отстойник О-5 (О-6), нефть, сточная вода</v>
      </c>
      <c r="O16" s="140" t="str">
        <f t="shared" si="13"/>
        <v>Частичное-ликвидация</v>
      </c>
      <c r="P16" s="140" t="s">
        <v>46</v>
      </c>
      <c r="Q16" s="140" t="s">
        <v>46</v>
      </c>
      <c r="R16" s="140" t="s">
        <v>46</v>
      </c>
      <c r="S16" s="140" t="s">
        <v>46</v>
      </c>
      <c r="T16" s="140" t="s">
        <v>46</v>
      </c>
      <c r="U16" s="140" t="s">
        <v>46</v>
      </c>
      <c r="V16" s="140" t="s">
        <v>46</v>
      </c>
      <c r="W16" s="140" t="s">
        <v>46</v>
      </c>
      <c r="X16" s="140" t="s">
        <v>46</v>
      </c>
      <c r="Y16" s="140" t="s">
        <v>46</v>
      </c>
      <c r="Z16" s="140" t="s">
        <v>46</v>
      </c>
      <c r="AA16" s="140" t="s">
        <v>46</v>
      </c>
      <c r="AB16" s="140" t="s">
        <v>46</v>
      </c>
      <c r="AC16" s="140" t="s">
        <v>46</v>
      </c>
      <c r="AD16" s="140" t="s">
        <v>46</v>
      </c>
      <c r="AE16" s="140" t="s">
        <v>46</v>
      </c>
      <c r="AF16" s="140" t="s">
        <v>46</v>
      </c>
      <c r="AG16" s="140" t="s">
        <v>46</v>
      </c>
      <c r="AH16" s="140" t="s">
        <v>46</v>
      </c>
      <c r="AI16" s="140" t="s">
        <v>46</v>
      </c>
      <c r="AJ16" s="140">
        <v>0</v>
      </c>
      <c r="AK16" s="140">
        <v>1</v>
      </c>
      <c r="AL16" s="140">
        <f>0.1*$AL$2</f>
        <v>7.5000000000000011E-2</v>
      </c>
      <c r="AM16" s="140">
        <f>AM12</f>
        <v>2.7E-2</v>
      </c>
      <c r="AN16" s="140">
        <f>ROUNDUP(AN12/3,0)</f>
        <v>1</v>
      </c>
      <c r="AQ16" s="143">
        <f>AM16*I16+AL16</f>
        <v>0.78374999999999995</v>
      </c>
      <c r="AR16" s="143">
        <f t="shared" si="16"/>
        <v>7.8375E-2</v>
      </c>
      <c r="AS16" s="144">
        <f t="shared" si="17"/>
        <v>0.25</v>
      </c>
      <c r="AT16" s="144">
        <f t="shared" si="18"/>
        <v>0.27803124999999995</v>
      </c>
      <c r="AU16" s="143">
        <f>1333*J13*POWER(10,-6)*10</f>
        <v>2.5193699999999998E-4</v>
      </c>
      <c r="AV16" s="144">
        <f t="shared" si="14"/>
        <v>1.3904081869999998</v>
      </c>
      <c r="AW16" s="145">
        <f t="shared" si="19"/>
        <v>0</v>
      </c>
      <c r="AX16" s="145">
        <f t="shared" si="20"/>
        <v>1.6000000000000004E-6</v>
      </c>
      <c r="AY16" s="145">
        <f t="shared" si="23"/>
        <v>2.2246530992E-6</v>
      </c>
      <c r="AZ16" s="297">
        <f>AW16/DB!$B$23</f>
        <v>0</v>
      </c>
      <c r="BA16" s="297">
        <f>AX16/DB!$B$23</f>
        <v>1.9277108433734946E-9</v>
      </c>
    </row>
    <row r="17" spans="1:53" s="140" customFormat="1" x14ac:dyDescent="0.3">
      <c r="A17" s="131" t="s">
        <v>748</v>
      </c>
      <c r="B17" s="131" t="str">
        <f>B12</f>
        <v>Отстойник О-5 (О-6), нефть, сточная вода</v>
      </c>
      <c r="C17" s="13" t="s">
        <v>162</v>
      </c>
      <c r="D17" s="133" t="s">
        <v>161</v>
      </c>
      <c r="E17" s="146">
        <f>E16</f>
        <v>1.0000000000000001E-5</v>
      </c>
      <c r="F17" s="147">
        <f t="shared" si="22"/>
        <v>1</v>
      </c>
      <c r="G17" s="131">
        <v>4.0000000000000008E-2</v>
      </c>
      <c r="H17" s="135">
        <f t="shared" si="15"/>
        <v>4.0000000000000009E-7</v>
      </c>
      <c r="I17" s="148">
        <f>I15*0.15</f>
        <v>3.9375</v>
      </c>
      <c r="J17" s="137">
        <f>I17</f>
        <v>3.9375</v>
      </c>
      <c r="K17" s="152" t="s">
        <v>138</v>
      </c>
      <c r="L17" s="153">
        <v>12</v>
      </c>
      <c r="M17" s="140" t="str">
        <f t="shared" si="11"/>
        <v>C15</v>
      </c>
      <c r="N17" s="140" t="str">
        <f t="shared" si="12"/>
        <v>Отстойник О-5 (О-6), нефть, сточная вода</v>
      </c>
      <c r="O17" s="140" t="str">
        <f t="shared" si="13"/>
        <v>Частичное факел</v>
      </c>
      <c r="P17" s="140" t="s">
        <v>46</v>
      </c>
      <c r="Q17" s="140" t="s">
        <v>46</v>
      </c>
      <c r="R17" s="140" t="s">
        <v>46</v>
      </c>
      <c r="S17" s="140" t="s">
        <v>46</v>
      </c>
      <c r="T17" s="140" t="s">
        <v>46</v>
      </c>
      <c r="U17" s="140" t="s">
        <v>46</v>
      </c>
      <c r="V17" s="140" t="s">
        <v>46</v>
      </c>
      <c r="W17" s="140" t="s">
        <v>46</v>
      </c>
      <c r="X17" s="140" t="s">
        <v>46</v>
      </c>
      <c r="Y17" s="140">
        <v>11</v>
      </c>
      <c r="Z17" s="140">
        <v>2</v>
      </c>
      <c r="AA17" s="140" t="s">
        <v>46</v>
      </c>
      <c r="AB17" s="140" t="s">
        <v>46</v>
      </c>
      <c r="AC17" s="140" t="s">
        <v>46</v>
      </c>
      <c r="AD17" s="140" t="s">
        <v>46</v>
      </c>
      <c r="AE17" s="140" t="s">
        <v>46</v>
      </c>
      <c r="AF17" s="140" t="s">
        <v>46</v>
      </c>
      <c r="AG17" s="140" t="s">
        <v>46</v>
      </c>
      <c r="AH17" s="140" t="s">
        <v>46</v>
      </c>
      <c r="AI17" s="140" t="s">
        <v>46</v>
      </c>
      <c r="AJ17" s="140">
        <v>0</v>
      </c>
      <c r="AK17" s="140">
        <v>1</v>
      </c>
      <c r="AL17" s="140">
        <f>0.1*$AL$2</f>
        <v>7.5000000000000011E-2</v>
      </c>
      <c r="AM17" s="140">
        <f>AM12</f>
        <v>2.7E-2</v>
      </c>
      <c r="AN17" s="140">
        <f>AN16</f>
        <v>1</v>
      </c>
      <c r="AQ17" s="143">
        <f>AM17*I17+AL17</f>
        <v>0.18131250000000002</v>
      </c>
      <c r="AR17" s="143">
        <f t="shared" si="16"/>
        <v>1.8131250000000002E-2</v>
      </c>
      <c r="AS17" s="144">
        <f t="shared" si="17"/>
        <v>0.25</v>
      </c>
      <c r="AT17" s="144">
        <f t="shared" si="18"/>
        <v>0.11236093750000001</v>
      </c>
      <c r="AU17" s="143">
        <f>10068.2*J17*POWER(10,-6)</f>
        <v>3.9643537500000006E-2</v>
      </c>
      <c r="AV17" s="144">
        <f t="shared" si="14"/>
        <v>0.60144822500000006</v>
      </c>
      <c r="AW17" s="145">
        <f t="shared" si="19"/>
        <v>0</v>
      </c>
      <c r="AX17" s="145">
        <f t="shared" si="20"/>
        <v>4.0000000000000009E-7</v>
      </c>
      <c r="AY17" s="145">
        <f t="shared" si="23"/>
        <v>2.4057929000000007E-7</v>
      </c>
      <c r="AZ17" s="297">
        <f>AW17/DB!$B$23</f>
        <v>0</v>
      </c>
      <c r="BA17" s="297">
        <f>AX17/DB!$B$23</f>
        <v>4.8192771084337365E-10</v>
      </c>
    </row>
    <row r="18" spans="1:53" s="140" customFormat="1" x14ac:dyDescent="0.3">
      <c r="A18" s="131" t="s">
        <v>749</v>
      </c>
      <c r="B18" s="131" t="str">
        <f>B12</f>
        <v>Отстойник О-5 (О-6), нефть, сточная вода</v>
      </c>
      <c r="C18" s="13" t="s">
        <v>163</v>
      </c>
      <c r="D18" s="133" t="s">
        <v>112</v>
      </c>
      <c r="E18" s="146">
        <f>E16</f>
        <v>1.0000000000000001E-5</v>
      </c>
      <c r="F18" s="147">
        <f t="shared" si="22"/>
        <v>1</v>
      </c>
      <c r="G18" s="131">
        <v>0.15200000000000002</v>
      </c>
      <c r="H18" s="135">
        <f t="shared" si="15"/>
        <v>1.5200000000000003E-6</v>
      </c>
      <c r="I18" s="148">
        <f>I15*0.15</f>
        <v>3.9375</v>
      </c>
      <c r="J18" s="137">
        <f>I18</f>
        <v>3.9375</v>
      </c>
      <c r="K18" s="207" t="s">
        <v>468</v>
      </c>
      <c r="L18" s="295" t="s">
        <v>709</v>
      </c>
      <c r="M18" s="140" t="str">
        <f t="shared" si="11"/>
        <v>C16</v>
      </c>
      <c r="N18" s="140" t="str">
        <f t="shared" si="12"/>
        <v>Отстойник О-5 (О-6), нефть, сточная вода</v>
      </c>
      <c r="O18" s="140" t="str">
        <f t="shared" si="13"/>
        <v>Частичное-пожар-вспышка</v>
      </c>
      <c r="P18" s="140" t="s">
        <v>46</v>
      </c>
      <c r="Q18" s="140" t="s">
        <v>46</v>
      </c>
      <c r="R18" s="140" t="s">
        <v>46</v>
      </c>
      <c r="S18" s="140" t="s">
        <v>46</v>
      </c>
      <c r="T18" s="140" t="s">
        <v>46</v>
      </c>
      <c r="U18" s="140" t="s">
        <v>46</v>
      </c>
      <c r="V18" s="140" t="s">
        <v>46</v>
      </c>
      <c r="W18" s="140" t="s">
        <v>46</v>
      </c>
      <c r="X18" s="140" t="s">
        <v>46</v>
      </c>
      <c r="Y18" s="140" t="s">
        <v>46</v>
      </c>
      <c r="Z18" s="140" t="s">
        <v>46</v>
      </c>
      <c r="AA18" s="140">
        <v>52.69</v>
      </c>
      <c r="AB18" s="140">
        <v>63.23</v>
      </c>
      <c r="AC18" s="140" t="s">
        <v>46</v>
      </c>
      <c r="AD18" s="140" t="s">
        <v>46</v>
      </c>
      <c r="AE18" s="140" t="s">
        <v>46</v>
      </c>
      <c r="AF18" s="140" t="s">
        <v>46</v>
      </c>
      <c r="AG18" s="140" t="s">
        <v>46</v>
      </c>
      <c r="AH18" s="140" t="s">
        <v>46</v>
      </c>
      <c r="AI18" s="140" t="s">
        <v>46</v>
      </c>
      <c r="AJ18" s="140">
        <v>0</v>
      </c>
      <c r="AK18" s="140">
        <v>1</v>
      </c>
      <c r="AL18" s="140">
        <f>0.1*$AL$2</f>
        <v>7.5000000000000011E-2</v>
      </c>
      <c r="AM18" s="140">
        <f>AM12</f>
        <v>2.7E-2</v>
      </c>
      <c r="AN18" s="140">
        <f>ROUNDUP(AN12/3,0)</f>
        <v>1</v>
      </c>
      <c r="AQ18" s="143">
        <f>AM18*I18+AL18</f>
        <v>0.18131250000000002</v>
      </c>
      <c r="AR18" s="143">
        <f t="shared" si="16"/>
        <v>1.8131250000000002E-2</v>
      </c>
      <c r="AS18" s="144">
        <f t="shared" si="17"/>
        <v>0.25</v>
      </c>
      <c r="AT18" s="144">
        <f t="shared" si="18"/>
        <v>0.11236093750000001</v>
      </c>
      <c r="AU18" s="143">
        <f>10068.2*J18*POWER(10,-6)</f>
        <v>3.9643537500000006E-2</v>
      </c>
      <c r="AV18" s="144">
        <f t="shared" si="14"/>
        <v>0.60144822500000006</v>
      </c>
      <c r="AW18" s="145">
        <f t="shared" si="19"/>
        <v>0</v>
      </c>
      <c r="AX18" s="145">
        <f t="shared" si="20"/>
        <v>1.5200000000000003E-6</v>
      </c>
      <c r="AY18" s="145">
        <f t="shared" si="23"/>
        <v>9.1420130200000024E-7</v>
      </c>
      <c r="AZ18" s="297">
        <f>AW18/DB!$B$23</f>
        <v>0</v>
      </c>
      <c r="BA18" s="297">
        <f>AX18/DB!$B$23</f>
        <v>1.8313253012048197E-9</v>
      </c>
    </row>
    <row r="19" spans="1:53" s="140" customFormat="1" ht="15" thickBot="1" x14ac:dyDescent="0.35">
      <c r="A19" s="131" t="s">
        <v>750</v>
      </c>
      <c r="B19" s="131" t="str">
        <f>B12</f>
        <v>Отстойник О-5 (О-6), нефть, сточная вода</v>
      </c>
      <c r="C19" s="13" t="s">
        <v>164</v>
      </c>
      <c r="D19" s="133" t="s">
        <v>27</v>
      </c>
      <c r="E19" s="146">
        <f>E16</f>
        <v>1.0000000000000001E-5</v>
      </c>
      <c r="F19" s="147">
        <f t="shared" si="22"/>
        <v>1</v>
      </c>
      <c r="G19" s="131">
        <v>0.6080000000000001</v>
      </c>
      <c r="H19" s="135">
        <f t="shared" si="15"/>
        <v>6.0800000000000011E-6</v>
      </c>
      <c r="I19" s="148">
        <f>I15*0.15</f>
        <v>3.9375</v>
      </c>
      <c r="J19" s="151">
        <v>0</v>
      </c>
      <c r="K19" s="154"/>
      <c r="L19" s="155"/>
      <c r="M19" s="140" t="str">
        <f t="shared" si="11"/>
        <v>C17</v>
      </c>
      <c r="N19" s="140" t="str">
        <f t="shared" si="12"/>
        <v>Отстойник О-5 (О-6), нефть, сточная вода</v>
      </c>
      <c r="O19" s="140" t="str">
        <f t="shared" si="13"/>
        <v>Частичное-ликвидация</v>
      </c>
      <c r="P19" s="140" t="s">
        <v>46</v>
      </c>
      <c r="Q19" s="140" t="s">
        <v>46</v>
      </c>
      <c r="R19" s="140" t="s">
        <v>46</v>
      </c>
      <c r="S19" s="140" t="s">
        <v>46</v>
      </c>
      <c r="T19" s="140" t="s">
        <v>46</v>
      </c>
      <c r="U19" s="140" t="s">
        <v>46</v>
      </c>
      <c r="V19" s="140" t="s">
        <v>46</v>
      </c>
      <c r="W19" s="140" t="s">
        <v>46</v>
      </c>
      <c r="X19" s="140" t="s">
        <v>46</v>
      </c>
      <c r="Y19" s="140" t="s">
        <v>46</v>
      </c>
      <c r="Z19" s="140" t="s">
        <v>46</v>
      </c>
      <c r="AA19" s="140" t="s">
        <v>46</v>
      </c>
      <c r="AB19" s="140" t="s">
        <v>46</v>
      </c>
      <c r="AC19" s="140" t="s">
        <v>46</v>
      </c>
      <c r="AD19" s="140" t="s">
        <v>46</v>
      </c>
      <c r="AE19" s="140" t="s">
        <v>46</v>
      </c>
      <c r="AF19" s="140" t="s">
        <v>46</v>
      </c>
      <c r="AG19" s="140" t="s">
        <v>46</v>
      </c>
      <c r="AH19" s="140" t="s">
        <v>46</v>
      </c>
      <c r="AI19" s="140" t="s">
        <v>46</v>
      </c>
      <c r="AJ19" s="140">
        <v>0</v>
      </c>
      <c r="AK19" s="140">
        <v>0</v>
      </c>
      <c r="AL19" s="140">
        <f>0.1*$AL$2</f>
        <v>7.5000000000000011E-2</v>
      </c>
      <c r="AM19" s="140">
        <f>AM12</f>
        <v>2.7E-2</v>
      </c>
      <c r="AN19" s="140">
        <f>ROUNDUP(AN12/3,0)</f>
        <v>1</v>
      </c>
      <c r="AQ19" s="143">
        <f>AM19*I19*0.1+AL19</f>
        <v>8.563125000000002E-2</v>
      </c>
      <c r="AR19" s="143">
        <f t="shared" si="16"/>
        <v>8.563125000000003E-3</v>
      </c>
      <c r="AS19" s="144">
        <f t="shared" si="17"/>
        <v>0</v>
      </c>
      <c r="AT19" s="144">
        <f t="shared" si="18"/>
        <v>2.3548593750000006E-2</v>
      </c>
      <c r="AU19" s="143">
        <f>1333*J17*POWER(10,-6)</f>
        <v>5.2486874999999999E-3</v>
      </c>
      <c r="AV19" s="144">
        <f t="shared" si="14"/>
        <v>0.12299165625000003</v>
      </c>
      <c r="AW19" s="145">
        <f t="shared" si="19"/>
        <v>0</v>
      </c>
      <c r="AX19" s="145">
        <f t="shared" si="20"/>
        <v>0</v>
      </c>
      <c r="AY19" s="145">
        <f t="shared" si="23"/>
        <v>7.4778927000000032E-7</v>
      </c>
      <c r="AZ19" s="297">
        <f>AW19/DB!$B$23</f>
        <v>0</v>
      </c>
      <c r="BA19" s="297">
        <f>AX19/DB!$B$23</f>
        <v>0</v>
      </c>
    </row>
    <row r="20" spans="1:53" s="140" customFormat="1" x14ac:dyDescent="0.3">
      <c r="A20" s="194" t="s">
        <v>751</v>
      </c>
      <c r="B20" s="194" t="str">
        <f>B12</f>
        <v>Отстойник О-5 (О-6), нефть, сточная вода</v>
      </c>
      <c r="C20" s="194" t="s">
        <v>341</v>
      </c>
      <c r="D20" s="194" t="s">
        <v>342</v>
      </c>
      <c r="E20" s="195">
        <v>2.5000000000000001E-5</v>
      </c>
      <c r="F20" s="147">
        <v>1</v>
      </c>
      <c r="G20" s="194">
        <v>1</v>
      </c>
      <c r="H20" s="196">
        <f t="shared" si="15"/>
        <v>2.5000000000000001E-5</v>
      </c>
      <c r="I20" s="197">
        <f>I12</f>
        <v>175</v>
      </c>
      <c r="J20" s="197">
        <f>J12*0.1</f>
        <v>17.5</v>
      </c>
      <c r="K20" s="194"/>
      <c r="L20" s="194"/>
      <c r="M20" s="198" t="str">
        <f t="shared" si="11"/>
        <v>C18</v>
      </c>
      <c r="N20" s="198"/>
      <c r="O20" s="198"/>
      <c r="P20" s="198">
        <v>17.100000000000001</v>
      </c>
      <c r="Q20" s="198">
        <v>23.8</v>
      </c>
      <c r="R20" s="198">
        <v>34.299999999999997</v>
      </c>
      <c r="S20" s="198">
        <v>64.5</v>
      </c>
      <c r="T20" s="198"/>
      <c r="U20" s="198"/>
      <c r="V20" s="198" t="s">
        <v>46</v>
      </c>
      <c r="W20" s="198" t="s">
        <v>46</v>
      </c>
      <c r="X20" s="198" t="s">
        <v>46</v>
      </c>
      <c r="Y20" s="198" t="s">
        <v>46</v>
      </c>
      <c r="Z20" s="198"/>
      <c r="AA20" s="198"/>
      <c r="AB20" s="198"/>
      <c r="AC20" s="198"/>
      <c r="AD20" s="198"/>
      <c r="AE20" s="198">
        <v>118</v>
      </c>
      <c r="AF20" s="198">
        <v>170.5</v>
      </c>
      <c r="AG20" s="198">
        <v>203</v>
      </c>
      <c r="AH20" s="198">
        <v>260.5</v>
      </c>
      <c r="AI20" s="198"/>
      <c r="AJ20" s="198">
        <v>0</v>
      </c>
      <c r="AK20" s="198">
        <v>2</v>
      </c>
      <c r="AL20" s="198">
        <f>AL12</f>
        <v>0.75</v>
      </c>
      <c r="AM20" s="198">
        <f>AM12</f>
        <v>2.7E-2</v>
      </c>
      <c r="AN20" s="198">
        <v>5</v>
      </c>
      <c r="AO20" s="198"/>
      <c r="AP20" s="198"/>
      <c r="AQ20" s="199">
        <f>AM20*I20+AL20</f>
        <v>5.4749999999999996</v>
      </c>
      <c r="AR20" s="199">
        <f>0.1*AQ20</f>
        <v>0.54749999999999999</v>
      </c>
      <c r="AS20" s="200">
        <f>AJ20*3+0.25*AK20</f>
        <v>0.5</v>
      </c>
      <c r="AT20" s="200">
        <f>SUM(AQ20:AS20)/4</f>
        <v>1.630625</v>
      </c>
      <c r="AU20" s="199">
        <f>10068.2*J20*POWER(10,-6)</f>
        <v>0.1761935</v>
      </c>
      <c r="AV20" s="200">
        <f t="shared" si="14"/>
        <v>8.3293184999999994</v>
      </c>
      <c r="AW20" s="201">
        <f>AJ20*H20</f>
        <v>0</v>
      </c>
      <c r="AX20" s="201">
        <f>H20*AK20</f>
        <v>5.0000000000000002E-5</v>
      </c>
      <c r="AY20" s="201">
        <f>H20*AV20</f>
        <v>2.0823296249999998E-4</v>
      </c>
      <c r="AZ20" s="297">
        <f>AW20/DB!$B$23</f>
        <v>0</v>
      </c>
      <c r="BA20" s="297">
        <f>AX20/DB!$B$23</f>
        <v>6.0240963855421685E-8</v>
      </c>
    </row>
    <row r="21" spans="1:53" ht="15" thickBot="1" x14ac:dyDescent="0.35"/>
    <row r="22" spans="1:53" s="140" customFormat="1" ht="18" customHeight="1" x14ac:dyDescent="0.3">
      <c r="A22" s="131" t="s">
        <v>752</v>
      </c>
      <c r="B22" s="132" t="s">
        <v>713</v>
      </c>
      <c r="C22" s="13" t="s">
        <v>143</v>
      </c>
      <c r="D22" s="133" t="s">
        <v>25</v>
      </c>
      <c r="E22" s="134">
        <v>9.9999999999999995E-7</v>
      </c>
      <c r="F22" s="132">
        <v>1</v>
      </c>
      <c r="G22" s="131">
        <v>0.05</v>
      </c>
      <c r="H22" s="135">
        <f>E22*F22*G22</f>
        <v>4.9999999999999998E-8</v>
      </c>
      <c r="I22" s="136">
        <v>29</v>
      </c>
      <c r="J22" s="137">
        <f>I22</f>
        <v>29</v>
      </c>
      <c r="K22" s="138" t="s">
        <v>122</v>
      </c>
      <c r="L22" s="139">
        <v>200</v>
      </c>
      <c r="M22" s="140" t="str">
        <f t="shared" ref="M22:M30" si="24">A22</f>
        <v>C19</v>
      </c>
      <c r="N22" s="140" t="str">
        <f t="shared" ref="N22:N29" si="25">B22</f>
        <v>Сепаратор С-1.1 (С-1.2), нефть, попутный нефтяной газ, сточная вода</v>
      </c>
      <c r="O22" s="140" t="str">
        <f t="shared" ref="O22:O29" si="26">D22</f>
        <v>Полное-пожар</v>
      </c>
      <c r="P22" s="140">
        <v>11.4</v>
      </c>
      <c r="Q22" s="140">
        <v>16.100000000000001</v>
      </c>
      <c r="R22" s="140">
        <v>23.6</v>
      </c>
      <c r="S22" s="140">
        <v>45.4</v>
      </c>
      <c r="T22" s="140" t="s">
        <v>46</v>
      </c>
      <c r="U22" s="140" t="s">
        <v>46</v>
      </c>
      <c r="V22" s="140" t="s">
        <v>46</v>
      </c>
      <c r="W22" s="140" t="s">
        <v>46</v>
      </c>
      <c r="X22" s="140" t="s">
        <v>46</v>
      </c>
      <c r="Y22" s="140" t="s">
        <v>46</v>
      </c>
      <c r="Z22" s="140" t="s">
        <v>46</v>
      </c>
      <c r="AA22" s="140" t="s">
        <v>46</v>
      </c>
      <c r="AB22" s="140" t="s">
        <v>46</v>
      </c>
      <c r="AC22" s="140" t="s">
        <v>46</v>
      </c>
      <c r="AD22" s="140" t="s">
        <v>46</v>
      </c>
      <c r="AE22" s="140" t="s">
        <v>46</v>
      </c>
      <c r="AF22" s="140" t="s">
        <v>46</v>
      </c>
      <c r="AG22" s="140" t="s">
        <v>46</v>
      </c>
      <c r="AH22" s="140" t="s">
        <v>46</v>
      </c>
      <c r="AI22" s="140" t="s">
        <v>46</v>
      </c>
      <c r="AJ22" s="141">
        <v>0</v>
      </c>
      <c r="AK22" s="141">
        <v>2</v>
      </c>
      <c r="AL22" s="142">
        <v>0.75</v>
      </c>
      <c r="AM22" s="142">
        <v>2.7E-2</v>
      </c>
      <c r="AN22" s="142">
        <v>3</v>
      </c>
      <c r="AQ22" s="143">
        <f>AM22*I22+AL22</f>
        <v>1.5329999999999999</v>
      </c>
      <c r="AR22" s="143">
        <f>0.1*AQ22</f>
        <v>0.15329999999999999</v>
      </c>
      <c r="AS22" s="144">
        <f>AJ22*3+0.25*AK22</f>
        <v>0.5</v>
      </c>
      <c r="AT22" s="144">
        <f>SUM(AQ22:AS22)/4</f>
        <v>0.54657500000000003</v>
      </c>
      <c r="AU22" s="143">
        <f>10068.2*J22*POWER(10,-6)</f>
        <v>0.29197780000000001</v>
      </c>
      <c r="AV22" s="144">
        <f t="shared" ref="AV22:AV30" si="27">AU22+AT22+AS22+AR22+AQ22</f>
        <v>3.0248527999999997</v>
      </c>
      <c r="AW22" s="145">
        <f>AJ22*H22</f>
        <v>0</v>
      </c>
      <c r="AX22" s="145">
        <f>H22*AK22</f>
        <v>9.9999999999999995E-8</v>
      </c>
      <c r="AY22" s="145">
        <f>H22*AV22</f>
        <v>1.5124263999999996E-7</v>
      </c>
      <c r="AZ22" s="297">
        <f>AW22/DB!$B$23</f>
        <v>0</v>
      </c>
      <c r="BA22" s="297">
        <f>AX22/DB!$B$23</f>
        <v>1.2048192771084336E-10</v>
      </c>
    </row>
    <row r="23" spans="1:53" s="140" customFormat="1" x14ac:dyDescent="0.3">
      <c r="A23" s="131" t="s">
        <v>753</v>
      </c>
      <c r="B23" s="131" t="str">
        <f>B22</f>
        <v>Сепаратор С-1.1 (С-1.2), нефть, попутный нефтяной газ, сточная вода</v>
      </c>
      <c r="C23" s="13" t="s">
        <v>149</v>
      </c>
      <c r="D23" s="133" t="s">
        <v>28</v>
      </c>
      <c r="E23" s="146">
        <f>E22</f>
        <v>9.9999999999999995E-7</v>
      </c>
      <c r="F23" s="147">
        <f>F22</f>
        <v>1</v>
      </c>
      <c r="G23" s="131">
        <v>0.19</v>
      </c>
      <c r="H23" s="135">
        <f t="shared" ref="H23:H30" si="28">E23*F23*G23</f>
        <v>1.8999999999999998E-7</v>
      </c>
      <c r="I23" s="148">
        <f>I22</f>
        <v>29</v>
      </c>
      <c r="J23" s="266">
        <f>POWER(10,-6)*35*SQRT(100)*L1*L22/1000*0.1</f>
        <v>8.3999999999999995E-3</v>
      </c>
      <c r="K23" s="149" t="s">
        <v>123</v>
      </c>
      <c r="L23" s="150">
        <v>2</v>
      </c>
      <c r="M23" s="140" t="str">
        <f t="shared" si="24"/>
        <v>C20</v>
      </c>
      <c r="N23" s="140" t="str">
        <f t="shared" si="25"/>
        <v>Сепаратор С-1.1 (С-1.2), нефть, попутный нефтяной газ, сточная вода</v>
      </c>
      <c r="O23" s="140" t="str">
        <f t="shared" si="26"/>
        <v>Полное-взрыв</v>
      </c>
      <c r="P23" s="140" t="s">
        <v>46</v>
      </c>
      <c r="Q23" s="140" t="s">
        <v>46</v>
      </c>
      <c r="R23" s="140" t="s">
        <v>46</v>
      </c>
      <c r="S23" s="140" t="s">
        <v>46</v>
      </c>
      <c r="T23" s="140">
        <v>0</v>
      </c>
      <c r="U23" s="140">
        <v>0</v>
      </c>
      <c r="V23" s="140">
        <v>15.6</v>
      </c>
      <c r="W23" s="140">
        <v>51.6</v>
      </c>
      <c r="X23" s="140">
        <v>75.099999999999994</v>
      </c>
      <c r="Y23" s="140" t="s">
        <v>46</v>
      </c>
      <c r="Z23" s="140" t="s">
        <v>46</v>
      </c>
      <c r="AA23" s="140" t="s">
        <v>46</v>
      </c>
      <c r="AB23" s="140" t="s">
        <v>46</v>
      </c>
      <c r="AC23" s="140" t="s">
        <v>46</v>
      </c>
      <c r="AD23" s="140" t="s">
        <v>46</v>
      </c>
      <c r="AE23" s="140" t="s">
        <v>46</v>
      </c>
      <c r="AF23" s="140" t="s">
        <v>46</v>
      </c>
      <c r="AG23" s="140" t="s">
        <v>46</v>
      </c>
      <c r="AH23" s="140" t="s">
        <v>46</v>
      </c>
      <c r="AI23" s="140" t="s">
        <v>46</v>
      </c>
      <c r="AJ23" s="141">
        <v>1</v>
      </c>
      <c r="AK23" s="141">
        <v>2</v>
      </c>
      <c r="AL23" s="140">
        <f>AL22</f>
        <v>0.75</v>
      </c>
      <c r="AM23" s="140">
        <f>AM22</f>
        <v>2.7E-2</v>
      </c>
      <c r="AN23" s="140">
        <f>AN22</f>
        <v>3</v>
      </c>
      <c r="AQ23" s="143">
        <f>AM23*I23+AL23</f>
        <v>1.5329999999999999</v>
      </c>
      <c r="AR23" s="143">
        <f t="shared" ref="AR23:AR29" si="29">0.1*AQ23</f>
        <v>0.15329999999999999</v>
      </c>
      <c r="AS23" s="144">
        <f t="shared" ref="AS23:AS29" si="30">AJ23*3+0.25*AK23</f>
        <v>3.5</v>
      </c>
      <c r="AT23" s="144">
        <f t="shared" ref="AT23:AT29" si="31">SUM(AQ23:AS23)/4</f>
        <v>1.296575</v>
      </c>
      <c r="AU23" s="143">
        <f>10068.2*J23*POWER(10,-6)*10</f>
        <v>8.4572879999999997E-4</v>
      </c>
      <c r="AV23" s="144">
        <f t="shared" si="27"/>
        <v>6.4837207287999998</v>
      </c>
      <c r="AW23" s="145">
        <f t="shared" ref="AW23:AW29" si="32">AJ23*H23</f>
        <v>1.8999999999999998E-7</v>
      </c>
      <c r="AX23" s="145">
        <f t="shared" ref="AX23:AX29" si="33">H23*AK23</f>
        <v>3.7999999999999996E-7</v>
      </c>
      <c r="AY23" s="145">
        <f t="shared" ref="AY23" si="34">H23*AV23</f>
        <v>1.2319069384719998E-6</v>
      </c>
      <c r="AZ23" s="297">
        <f>AW23/DB!$B$23</f>
        <v>2.2891566265060238E-10</v>
      </c>
      <c r="BA23" s="297">
        <f>AX23/DB!$B$23</f>
        <v>4.5783132530120476E-10</v>
      </c>
    </row>
    <row r="24" spans="1:53" s="140" customFormat="1" x14ac:dyDescent="0.3">
      <c r="A24" s="131" t="s">
        <v>754</v>
      </c>
      <c r="B24" s="131" t="str">
        <f>B22</f>
        <v>Сепаратор С-1.1 (С-1.2), нефть, попутный нефтяной газ, сточная вода</v>
      </c>
      <c r="C24" s="13" t="s">
        <v>188</v>
      </c>
      <c r="D24" s="133" t="s">
        <v>26</v>
      </c>
      <c r="E24" s="146">
        <f>E22</f>
        <v>9.9999999999999995E-7</v>
      </c>
      <c r="F24" s="147">
        <f t="shared" ref="F24:F29" si="35">F23</f>
        <v>1</v>
      </c>
      <c r="G24" s="131">
        <v>0.76</v>
      </c>
      <c r="H24" s="135">
        <f t="shared" si="28"/>
        <v>7.5999999999999992E-7</v>
      </c>
      <c r="I24" s="148">
        <f>I22</f>
        <v>29</v>
      </c>
      <c r="J24" s="151">
        <v>0</v>
      </c>
      <c r="K24" s="149" t="s">
        <v>124</v>
      </c>
      <c r="L24" s="150">
        <v>1.05</v>
      </c>
      <c r="M24" s="140" t="str">
        <f t="shared" si="24"/>
        <v>C21</v>
      </c>
      <c r="N24" s="140" t="str">
        <f t="shared" si="25"/>
        <v>Сепаратор С-1.1 (С-1.2), нефть, попутный нефтяной газ, сточная вода</v>
      </c>
      <c r="O24" s="140" t="str">
        <f t="shared" si="26"/>
        <v>Полное-ликвидация</v>
      </c>
      <c r="P24" s="140" t="s">
        <v>46</v>
      </c>
      <c r="Q24" s="140" t="s">
        <v>46</v>
      </c>
      <c r="R24" s="140" t="s">
        <v>46</v>
      </c>
      <c r="S24" s="140" t="s">
        <v>46</v>
      </c>
      <c r="T24" s="140" t="s">
        <v>46</v>
      </c>
      <c r="U24" s="140" t="s">
        <v>46</v>
      </c>
      <c r="V24" s="140" t="s">
        <v>46</v>
      </c>
      <c r="W24" s="140" t="s">
        <v>46</v>
      </c>
      <c r="X24" s="140" t="s">
        <v>46</v>
      </c>
      <c r="Y24" s="140" t="s">
        <v>46</v>
      </c>
      <c r="Z24" s="140" t="s">
        <v>46</v>
      </c>
      <c r="AA24" s="140" t="s">
        <v>46</v>
      </c>
      <c r="AB24" s="140" t="s">
        <v>46</v>
      </c>
      <c r="AC24" s="140" t="s">
        <v>46</v>
      </c>
      <c r="AD24" s="140" t="s">
        <v>46</v>
      </c>
      <c r="AE24" s="140" t="s">
        <v>46</v>
      </c>
      <c r="AF24" s="140" t="s">
        <v>46</v>
      </c>
      <c r="AG24" s="140" t="s">
        <v>46</v>
      </c>
      <c r="AH24" s="140" t="s">
        <v>46</v>
      </c>
      <c r="AI24" s="140" t="s">
        <v>46</v>
      </c>
      <c r="AJ24" s="140">
        <v>0</v>
      </c>
      <c r="AK24" s="140">
        <v>0</v>
      </c>
      <c r="AL24" s="140">
        <f>AL22</f>
        <v>0.75</v>
      </c>
      <c r="AM24" s="140">
        <f>AM22</f>
        <v>2.7E-2</v>
      </c>
      <c r="AN24" s="140">
        <f>AN22</f>
        <v>3</v>
      </c>
      <c r="AQ24" s="143">
        <f>AM24*I24*0.1+AL24</f>
        <v>0.82830000000000004</v>
      </c>
      <c r="AR24" s="143">
        <f t="shared" si="29"/>
        <v>8.2830000000000015E-2</v>
      </c>
      <c r="AS24" s="144">
        <f t="shared" si="30"/>
        <v>0</v>
      </c>
      <c r="AT24" s="144">
        <f t="shared" si="31"/>
        <v>0.2277825</v>
      </c>
      <c r="AU24" s="143">
        <f>1333*J22*POWER(10,-6)</f>
        <v>3.8656999999999997E-2</v>
      </c>
      <c r="AV24" s="144">
        <f t="shared" si="27"/>
        <v>1.1775695000000002</v>
      </c>
      <c r="AW24" s="145">
        <f t="shared" si="32"/>
        <v>0</v>
      </c>
      <c r="AX24" s="145">
        <f t="shared" si="33"/>
        <v>0</v>
      </c>
      <c r="AY24" s="145">
        <f>H24*AV24</f>
        <v>8.9495282000000007E-7</v>
      </c>
      <c r="AZ24" s="297">
        <f>AW24/DB!$B$23</f>
        <v>0</v>
      </c>
      <c r="BA24" s="297">
        <f>AX24/DB!$B$23</f>
        <v>0</v>
      </c>
    </row>
    <row r="25" spans="1:53" s="140" customFormat="1" x14ac:dyDescent="0.3">
      <c r="A25" s="131" t="s">
        <v>755</v>
      </c>
      <c r="B25" s="131" t="str">
        <f>B22</f>
        <v>Сепаратор С-1.1 (С-1.2), нефть, попутный нефтяной газ, сточная вода</v>
      </c>
      <c r="C25" s="13" t="s">
        <v>160</v>
      </c>
      <c r="D25" s="133" t="s">
        <v>161</v>
      </c>
      <c r="E25" s="134">
        <v>1.0000000000000001E-5</v>
      </c>
      <c r="F25" s="147">
        <f t="shared" si="35"/>
        <v>1</v>
      </c>
      <c r="G25" s="131">
        <v>4.0000000000000008E-2</v>
      </c>
      <c r="H25" s="135">
        <f t="shared" si="28"/>
        <v>4.0000000000000009E-7</v>
      </c>
      <c r="I25" s="148">
        <f>0.15*I22</f>
        <v>4.3499999999999996</v>
      </c>
      <c r="J25" s="137">
        <f>I25</f>
        <v>4.3499999999999996</v>
      </c>
      <c r="K25" s="149" t="s">
        <v>126</v>
      </c>
      <c r="L25" s="150">
        <v>45390</v>
      </c>
      <c r="M25" s="140" t="str">
        <f t="shared" si="24"/>
        <v>C22</v>
      </c>
      <c r="N25" s="140" t="str">
        <f t="shared" si="25"/>
        <v>Сепаратор С-1.1 (С-1.2), нефть, попутный нефтяной газ, сточная вода</v>
      </c>
      <c r="O25" s="140" t="str">
        <f t="shared" si="26"/>
        <v>Частичное факел</v>
      </c>
      <c r="P25" s="140" t="s">
        <v>46</v>
      </c>
      <c r="Q25" s="140" t="s">
        <v>46</v>
      </c>
      <c r="R25" s="140" t="s">
        <v>46</v>
      </c>
      <c r="S25" s="140" t="s">
        <v>46</v>
      </c>
      <c r="T25" s="140" t="s">
        <v>46</v>
      </c>
      <c r="U25" s="140" t="s">
        <v>46</v>
      </c>
      <c r="V25" s="140" t="s">
        <v>46</v>
      </c>
      <c r="W25" s="140" t="s">
        <v>46</v>
      </c>
      <c r="X25" s="140" t="s">
        <v>46</v>
      </c>
      <c r="Y25" s="140">
        <v>15</v>
      </c>
      <c r="Z25" s="140">
        <v>3</v>
      </c>
      <c r="AA25" s="140" t="s">
        <v>46</v>
      </c>
      <c r="AB25" s="140" t="s">
        <v>46</v>
      </c>
      <c r="AC25" s="140" t="s">
        <v>46</v>
      </c>
      <c r="AD25" s="140" t="s">
        <v>46</v>
      </c>
      <c r="AE25" s="140" t="s">
        <v>46</v>
      </c>
      <c r="AF25" s="140" t="s">
        <v>46</v>
      </c>
      <c r="AG25" s="140" t="s">
        <v>46</v>
      </c>
      <c r="AH25" s="140" t="s">
        <v>46</v>
      </c>
      <c r="AI25" s="140" t="s">
        <v>46</v>
      </c>
      <c r="AJ25" s="140">
        <v>0</v>
      </c>
      <c r="AK25" s="140">
        <v>1</v>
      </c>
      <c r="AL25" s="140">
        <f>0.1*$AL$2</f>
        <v>7.5000000000000011E-2</v>
      </c>
      <c r="AM25" s="140">
        <f>AM23</f>
        <v>2.7E-2</v>
      </c>
      <c r="AN25" s="140">
        <f>AN22</f>
        <v>3</v>
      </c>
      <c r="AQ25" s="143">
        <f>AM25*I25*0.1+AL25</f>
        <v>8.6745000000000017E-2</v>
      </c>
      <c r="AR25" s="143">
        <f t="shared" si="29"/>
        <v>8.6745000000000017E-3</v>
      </c>
      <c r="AS25" s="144">
        <f t="shared" si="30"/>
        <v>0.25</v>
      </c>
      <c r="AT25" s="144">
        <f t="shared" si="31"/>
        <v>8.6354874999999998E-2</v>
      </c>
      <c r="AU25" s="143">
        <f>10068.2*J25*POWER(10,-6)</f>
        <v>4.3796669999999996E-2</v>
      </c>
      <c r="AV25" s="144">
        <f t="shared" si="27"/>
        <v>0.47557104499999997</v>
      </c>
      <c r="AW25" s="145">
        <f t="shared" si="32"/>
        <v>0</v>
      </c>
      <c r="AX25" s="145">
        <f t="shared" si="33"/>
        <v>4.0000000000000009E-7</v>
      </c>
      <c r="AY25" s="145">
        <f t="shared" ref="AY25:AY29" si="36">H25*AV25</f>
        <v>1.9022841800000004E-7</v>
      </c>
      <c r="AZ25" s="297">
        <f>AW25/DB!$B$23</f>
        <v>0</v>
      </c>
      <c r="BA25" s="297">
        <f>AX25/DB!$B$23</f>
        <v>4.8192771084337365E-10</v>
      </c>
    </row>
    <row r="26" spans="1:53" s="140" customFormat="1" x14ac:dyDescent="0.3">
      <c r="A26" s="131" t="s">
        <v>756</v>
      </c>
      <c r="B26" s="131" t="str">
        <f>B22</f>
        <v>Сепаратор С-1.1 (С-1.2), нефть, попутный нефтяной газ, сточная вода</v>
      </c>
      <c r="C26" s="13" t="s">
        <v>189</v>
      </c>
      <c r="D26" s="133" t="s">
        <v>27</v>
      </c>
      <c r="E26" s="146">
        <f>E25</f>
        <v>1.0000000000000001E-5</v>
      </c>
      <c r="F26" s="147">
        <f t="shared" si="35"/>
        <v>1</v>
      </c>
      <c r="G26" s="131">
        <v>0.16000000000000003</v>
      </c>
      <c r="H26" s="135">
        <f t="shared" si="28"/>
        <v>1.6000000000000004E-6</v>
      </c>
      <c r="I26" s="148">
        <f>0.15*I22</f>
        <v>4.3499999999999996</v>
      </c>
      <c r="J26" s="137">
        <v>0</v>
      </c>
      <c r="K26" s="149" t="s">
        <v>127</v>
      </c>
      <c r="L26" s="150">
        <v>3</v>
      </c>
      <c r="M26" s="140" t="str">
        <f t="shared" si="24"/>
        <v>C23</v>
      </c>
      <c r="N26" s="140" t="str">
        <f t="shared" si="25"/>
        <v>Сепаратор С-1.1 (С-1.2), нефть, попутный нефтяной газ, сточная вода</v>
      </c>
      <c r="O26" s="140" t="str">
        <f t="shared" si="26"/>
        <v>Частичное-ликвидация</v>
      </c>
      <c r="P26" s="140" t="s">
        <v>46</v>
      </c>
      <c r="Q26" s="140" t="s">
        <v>46</v>
      </c>
      <c r="R26" s="140" t="s">
        <v>46</v>
      </c>
      <c r="S26" s="140" t="s">
        <v>46</v>
      </c>
      <c r="T26" s="140" t="s">
        <v>46</v>
      </c>
      <c r="U26" s="140" t="s">
        <v>46</v>
      </c>
      <c r="V26" s="140" t="s">
        <v>46</v>
      </c>
      <c r="W26" s="140" t="s">
        <v>46</v>
      </c>
      <c r="X26" s="140" t="s">
        <v>46</v>
      </c>
      <c r="Y26" s="140" t="s">
        <v>46</v>
      </c>
      <c r="Z26" s="140" t="s">
        <v>46</v>
      </c>
      <c r="AA26" s="140" t="s">
        <v>46</v>
      </c>
      <c r="AB26" s="140" t="s">
        <v>46</v>
      </c>
      <c r="AC26" s="140" t="s">
        <v>46</v>
      </c>
      <c r="AD26" s="140" t="s">
        <v>46</v>
      </c>
      <c r="AE26" s="140" t="s">
        <v>46</v>
      </c>
      <c r="AF26" s="140" t="s">
        <v>46</v>
      </c>
      <c r="AG26" s="140" t="s">
        <v>46</v>
      </c>
      <c r="AH26" s="140" t="s">
        <v>46</v>
      </c>
      <c r="AI26" s="140" t="s">
        <v>46</v>
      </c>
      <c r="AJ26" s="140">
        <v>0</v>
      </c>
      <c r="AK26" s="140">
        <v>1</v>
      </c>
      <c r="AL26" s="140">
        <f>0.1*$AL$2</f>
        <v>7.5000000000000011E-2</v>
      </c>
      <c r="AM26" s="140">
        <f>AM22</f>
        <v>2.7E-2</v>
      </c>
      <c r="AN26" s="140">
        <f>ROUNDUP(AN22/3,0)</f>
        <v>1</v>
      </c>
      <c r="AQ26" s="143">
        <f>AM26*I26+AL26</f>
        <v>0.19245000000000001</v>
      </c>
      <c r="AR26" s="143">
        <f t="shared" si="29"/>
        <v>1.9245000000000002E-2</v>
      </c>
      <c r="AS26" s="144">
        <f t="shared" si="30"/>
        <v>0.25</v>
      </c>
      <c r="AT26" s="144">
        <f t="shared" si="31"/>
        <v>0.11542375000000001</v>
      </c>
      <c r="AU26" s="143">
        <f>1333*J23*POWER(10,-6)*10</f>
        <v>1.1197199999999998E-4</v>
      </c>
      <c r="AV26" s="144">
        <f t="shared" si="27"/>
        <v>0.57723072200000003</v>
      </c>
      <c r="AW26" s="145">
        <f t="shared" si="32"/>
        <v>0</v>
      </c>
      <c r="AX26" s="145">
        <f t="shared" si="33"/>
        <v>1.6000000000000004E-6</v>
      </c>
      <c r="AY26" s="145">
        <f t="shared" si="36"/>
        <v>9.2356915520000021E-7</v>
      </c>
      <c r="AZ26" s="297">
        <f>AW26/DB!$B$23</f>
        <v>0</v>
      </c>
      <c r="BA26" s="297">
        <f>AX26/DB!$B$23</f>
        <v>1.9277108433734946E-9</v>
      </c>
    </row>
    <row r="27" spans="1:53" s="140" customFormat="1" x14ac:dyDescent="0.3">
      <c r="A27" s="131" t="s">
        <v>757</v>
      </c>
      <c r="B27" s="131" t="str">
        <f>B22</f>
        <v>Сепаратор С-1.1 (С-1.2), нефть, попутный нефтяной газ, сточная вода</v>
      </c>
      <c r="C27" s="13" t="s">
        <v>162</v>
      </c>
      <c r="D27" s="133" t="s">
        <v>161</v>
      </c>
      <c r="E27" s="146">
        <f>E26</f>
        <v>1.0000000000000001E-5</v>
      </c>
      <c r="F27" s="147">
        <f t="shared" si="35"/>
        <v>1</v>
      </c>
      <c r="G27" s="131">
        <v>4.0000000000000008E-2</v>
      </c>
      <c r="H27" s="135">
        <f t="shared" si="28"/>
        <v>4.0000000000000009E-7</v>
      </c>
      <c r="I27" s="148">
        <f>I25*0.15</f>
        <v>0.65249999999999997</v>
      </c>
      <c r="J27" s="137">
        <f>I27</f>
        <v>0.65249999999999997</v>
      </c>
      <c r="K27" s="152" t="s">
        <v>138</v>
      </c>
      <c r="L27" s="153">
        <v>12</v>
      </c>
      <c r="M27" s="140" t="str">
        <f t="shared" si="24"/>
        <v>C24</v>
      </c>
      <c r="N27" s="140" t="str">
        <f t="shared" si="25"/>
        <v>Сепаратор С-1.1 (С-1.2), нефть, попутный нефтяной газ, сточная вода</v>
      </c>
      <c r="O27" s="140" t="str">
        <f t="shared" si="26"/>
        <v>Частичное факел</v>
      </c>
      <c r="P27" s="140" t="s">
        <v>46</v>
      </c>
      <c r="Q27" s="140" t="s">
        <v>46</v>
      </c>
      <c r="R27" s="140" t="s">
        <v>46</v>
      </c>
      <c r="S27" s="140" t="s">
        <v>46</v>
      </c>
      <c r="T27" s="140" t="s">
        <v>46</v>
      </c>
      <c r="U27" s="140" t="s">
        <v>46</v>
      </c>
      <c r="V27" s="140" t="s">
        <v>46</v>
      </c>
      <c r="W27" s="140" t="s">
        <v>46</v>
      </c>
      <c r="X27" s="140" t="s">
        <v>46</v>
      </c>
      <c r="Y27" s="140">
        <v>11</v>
      </c>
      <c r="Z27" s="140">
        <v>2</v>
      </c>
      <c r="AA27" s="140" t="s">
        <v>46</v>
      </c>
      <c r="AB27" s="140" t="s">
        <v>46</v>
      </c>
      <c r="AC27" s="140" t="s">
        <v>46</v>
      </c>
      <c r="AD27" s="140" t="s">
        <v>46</v>
      </c>
      <c r="AE27" s="140" t="s">
        <v>46</v>
      </c>
      <c r="AF27" s="140" t="s">
        <v>46</v>
      </c>
      <c r="AG27" s="140" t="s">
        <v>46</v>
      </c>
      <c r="AH27" s="140" t="s">
        <v>46</v>
      </c>
      <c r="AI27" s="140" t="s">
        <v>46</v>
      </c>
      <c r="AJ27" s="140">
        <v>0</v>
      </c>
      <c r="AK27" s="140">
        <v>1</v>
      </c>
      <c r="AL27" s="140">
        <f>0.1*$AL$2</f>
        <v>7.5000000000000011E-2</v>
      </c>
      <c r="AM27" s="140">
        <f>AM22</f>
        <v>2.7E-2</v>
      </c>
      <c r="AN27" s="140">
        <f>AN26</f>
        <v>1</v>
      </c>
      <c r="AQ27" s="143">
        <f>AM27*I27+AL27</f>
        <v>9.2617500000000005E-2</v>
      </c>
      <c r="AR27" s="143">
        <f t="shared" si="29"/>
        <v>9.2617500000000009E-3</v>
      </c>
      <c r="AS27" s="144">
        <f t="shared" si="30"/>
        <v>0.25</v>
      </c>
      <c r="AT27" s="144">
        <f t="shared" si="31"/>
        <v>8.7969812499999994E-2</v>
      </c>
      <c r="AU27" s="143">
        <f>10068.2*J27*POWER(10,-6)</f>
        <v>6.5695004999999996E-3</v>
      </c>
      <c r="AV27" s="144">
        <f t="shared" si="27"/>
        <v>0.44641856300000005</v>
      </c>
      <c r="AW27" s="145">
        <f t="shared" si="32"/>
        <v>0</v>
      </c>
      <c r="AX27" s="145">
        <f t="shared" si="33"/>
        <v>4.0000000000000009E-7</v>
      </c>
      <c r="AY27" s="145">
        <f t="shared" si="36"/>
        <v>1.7856742520000006E-7</v>
      </c>
      <c r="AZ27" s="297">
        <f>AW27/DB!$B$23</f>
        <v>0</v>
      </c>
      <c r="BA27" s="297">
        <f>AX27/DB!$B$23</f>
        <v>4.8192771084337365E-10</v>
      </c>
    </row>
    <row r="28" spans="1:53" s="140" customFormat="1" x14ac:dyDescent="0.3">
      <c r="A28" s="131" t="s">
        <v>758</v>
      </c>
      <c r="B28" s="131" t="str">
        <f>B22</f>
        <v>Сепаратор С-1.1 (С-1.2), нефть, попутный нефтяной газ, сточная вода</v>
      </c>
      <c r="C28" s="13" t="s">
        <v>163</v>
      </c>
      <c r="D28" s="133" t="s">
        <v>112</v>
      </c>
      <c r="E28" s="146">
        <f>E26</f>
        <v>1.0000000000000001E-5</v>
      </c>
      <c r="F28" s="147">
        <f t="shared" si="35"/>
        <v>1</v>
      </c>
      <c r="G28" s="131">
        <v>0.15200000000000002</v>
      </c>
      <c r="H28" s="135">
        <f t="shared" si="28"/>
        <v>1.5200000000000003E-6</v>
      </c>
      <c r="I28" s="148">
        <f>I25*0.15</f>
        <v>0.65249999999999997</v>
      </c>
      <c r="J28" s="137">
        <f>I28</f>
        <v>0.65249999999999997</v>
      </c>
      <c r="K28" s="207" t="s">
        <v>468</v>
      </c>
      <c r="L28" s="295" t="s">
        <v>709</v>
      </c>
      <c r="M28" s="140" t="str">
        <f t="shared" si="24"/>
        <v>C25</v>
      </c>
      <c r="N28" s="140" t="str">
        <f t="shared" si="25"/>
        <v>Сепаратор С-1.1 (С-1.2), нефть, попутный нефтяной газ, сточная вода</v>
      </c>
      <c r="O28" s="140" t="str">
        <f t="shared" si="26"/>
        <v>Частичное-пожар-вспышка</v>
      </c>
      <c r="P28" s="140" t="s">
        <v>46</v>
      </c>
      <c r="Q28" s="140" t="s">
        <v>46</v>
      </c>
      <c r="R28" s="140" t="s">
        <v>46</v>
      </c>
      <c r="S28" s="140" t="s">
        <v>46</v>
      </c>
      <c r="T28" s="140" t="s">
        <v>46</v>
      </c>
      <c r="U28" s="140" t="s">
        <v>46</v>
      </c>
      <c r="V28" s="140" t="s">
        <v>46</v>
      </c>
      <c r="W28" s="140" t="s">
        <v>46</v>
      </c>
      <c r="X28" s="140" t="s">
        <v>46</v>
      </c>
      <c r="Y28" s="140" t="s">
        <v>46</v>
      </c>
      <c r="Z28" s="140" t="s">
        <v>46</v>
      </c>
      <c r="AA28" s="140">
        <v>29.11</v>
      </c>
      <c r="AB28" s="140">
        <v>34.93</v>
      </c>
      <c r="AC28" s="140" t="s">
        <v>46</v>
      </c>
      <c r="AD28" s="140" t="s">
        <v>46</v>
      </c>
      <c r="AE28" s="140" t="s">
        <v>46</v>
      </c>
      <c r="AF28" s="140" t="s">
        <v>46</v>
      </c>
      <c r="AG28" s="140" t="s">
        <v>46</v>
      </c>
      <c r="AH28" s="140" t="s">
        <v>46</v>
      </c>
      <c r="AI28" s="140" t="s">
        <v>46</v>
      </c>
      <c r="AJ28" s="140">
        <v>0</v>
      </c>
      <c r="AK28" s="140">
        <v>1</v>
      </c>
      <c r="AL28" s="140">
        <f>0.1*$AL$2</f>
        <v>7.5000000000000011E-2</v>
      </c>
      <c r="AM28" s="140">
        <f>AM22</f>
        <v>2.7E-2</v>
      </c>
      <c r="AN28" s="140">
        <f>ROUNDUP(AN22/3,0)</f>
        <v>1</v>
      </c>
      <c r="AQ28" s="143">
        <f>AM28*I28+AL28</f>
        <v>9.2617500000000005E-2</v>
      </c>
      <c r="AR28" s="143">
        <f t="shared" si="29"/>
        <v>9.2617500000000009E-3</v>
      </c>
      <c r="AS28" s="144">
        <f t="shared" si="30"/>
        <v>0.25</v>
      </c>
      <c r="AT28" s="144">
        <f t="shared" si="31"/>
        <v>8.7969812499999994E-2</v>
      </c>
      <c r="AU28" s="143">
        <f>10068.2*J28*POWER(10,-6)</f>
        <v>6.5695004999999996E-3</v>
      </c>
      <c r="AV28" s="144">
        <f t="shared" si="27"/>
        <v>0.44641856300000005</v>
      </c>
      <c r="AW28" s="145">
        <f t="shared" si="32"/>
        <v>0</v>
      </c>
      <c r="AX28" s="145">
        <f t="shared" si="33"/>
        <v>1.5200000000000003E-6</v>
      </c>
      <c r="AY28" s="145">
        <f t="shared" si="36"/>
        <v>6.7855621576000014E-7</v>
      </c>
      <c r="AZ28" s="297">
        <f>AW28/DB!$B$23</f>
        <v>0</v>
      </c>
      <c r="BA28" s="297">
        <f>AX28/DB!$B$23</f>
        <v>1.8313253012048197E-9</v>
      </c>
    </row>
    <row r="29" spans="1:53" s="140" customFormat="1" ht="15" thickBot="1" x14ac:dyDescent="0.35">
      <c r="A29" s="131" t="s">
        <v>759</v>
      </c>
      <c r="B29" s="131" t="str">
        <f>B22</f>
        <v>Сепаратор С-1.1 (С-1.2), нефть, попутный нефтяной газ, сточная вода</v>
      </c>
      <c r="C29" s="13" t="s">
        <v>164</v>
      </c>
      <c r="D29" s="133" t="s">
        <v>27</v>
      </c>
      <c r="E29" s="146">
        <f>E26</f>
        <v>1.0000000000000001E-5</v>
      </c>
      <c r="F29" s="147">
        <f t="shared" si="35"/>
        <v>1</v>
      </c>
      <c r="G29" s="131">
        <v>0.6080000000000001</v>
      </c>
      <c r="H29" s="135">
        <f t="shared" si="28"/>
        <v>6.0800000000000011E-6</v>
      </c>
      <c r="I29" s="148">
        <f>I25*0.15</f>
        <v>0.65249999999999997</v>
      </c>
      <c r="J29" s="151">
        <v>0</v>
      </c>
      <c r="K29" s="154"/>
      <c r="L29" s="155"/>
      <c r="M29" s="140" t="str">
        <f t="shared" si="24"/>
        <v>C26</v>
      </c>
      <c r="N29" s="140" t="str">
        <f t="shared" si="25"/>
        <v>Сепаратор С-1.1 (С-1.2), нефть, попутный нефтяной газ, сточная вода</v>
      </c>
      <c r="O29" s="140" t="str">
        <f t="shared" si="26"/>
        <v>Частичное-ликвидация</v>
      </c>
      <c r="P29" s="140" t="s">
        <v>46</v>
      </c>
      <c r="Q29" s="140" t="s">
        <v>46</v>
      </c>
      <c r="R29" s="140" t="s">
        <v>46</v>
      </c>
      <c r="S29" s="140" t="s">
        <v>46</v>
      </c>
      <c r="T29" s="140" t="s">
        <v>46</v>
      </c>
      <c r="U29" s="140" t="s">
        <v>46</v>
      </c>
      <c r="V29" s="140" t="s">
        <v>46</v>
      </c>
      <c r="W29" s="140" t="s">
        <v>46</v>
      </c>
      <c r="X29" s="140" t="s">
        <v>46</v>
      </c>
      <c r="Y29" s="140" t="s">
        <v>46</v>
      </c>
      <c r="Z29" s="140" t="s">
        <v>46</v>
      </c>
      <c r="AA29" s="140" t="s">
        <v>46</v>
      </c>
      <c r="AB29" s="140" t="s">
        <v>46</v>
      </c>
      <c r="AC29" s="140" t="s">
        <v>46</v>
      </c>
      <c r="AD29" s="140" t="s">
        <v>46</v>
      </c>
      <c r="AE29" s="140" t="s">
        <v>46</v>
      </c>
      <c r="AF29" s="140" t="s">
        <v>46</v>
      </c>
      <c r="AG29" s="140" t="s">
        <v>46</v>
      </c>
      <c r="AH29" s="140" t="s">
        <v>46</v>
      </c>
      <c r="AI29" s="140" t="s">
        <v>46</v>
      </c>
      <c r="AJ29" s="140">
        <v>0</v>
      </c>
      <c r="AK29" s="140">
        <v>0</v>
      </c>
      <c r="AL29" s="140">
        <f>0.1*$AL$2</f>
        <v>7.5000000000000011E-2</v>
      </c>
      <c r="AM29" s="140">
        <f>AM22</f>
        <v>2.7E-2</v>
      </c>
      <c r="AN29" s="140">
        <f>ROUNDUP(AN22/3,0)</f>
        <v>1</v>
      </c>
      <c r="AQ29" s="143">
        <f>AM29*I29*0.1+AL29</f>
        <v>7.6761750000000017E-2</v>
      </c>
      <c r="AR29" s="143">
        <f t="shared" si="29"/>
        <v>7.6761750000000021E-3</v>
      </c>
      <c r="AS29" s="144">
        <f t="shared" si="30"/>
        <v>0</v>
      </c>
      <c r="AT29" s="144">
        <f t="shared" si="31"/>
        <v>2.1109481250000006E-2</v>
      </c>
      <c r="AU29" s="143">
        <f>1333*J27*POWER(10,-6)</f>
        <v>8.6978249999999989E-4</v>
      </c>
      <c r="AV29" s="144">
        <f t="shared" si="27"/>
        <v>0.10641718875000003</v>
      </c>
      <c r="AW29" s="145">
        <f t="shared" si="32"/>
        <v>0</v>
      </c>
      <c r="AX29" s="145">
        <f t="shared" si="33"/>
        <v>0</v>
      </c>
      <c r="AY29" s="145">
        <f t="shared" si="36"/>
        <v>6.470165076000003E-7</v>
      </c>
      <c r="AZ29" s="297">
        <f>AW29/DB!$B$23</f>
        <v>0</v>
      </c>
      <c r="BA29" s="297">
        <f>AX29/DB!$B$23</f>
        <v>0</v>
      </c>
    </row>
    <row r="30" spans="1:53" s="140" customFormat="1" x14ac:dyDescent="0.3">
      <c r="A30" s="194" t="s">
        <v>760</v>
      </c>
      <c r="B30" s="194" t="str">
        <f>B22</f>
        <v>Сепаратор С-1.1 (С-1.2), нефть, попутный нефтяной газ, сточная вода</v>
      </c>
      <c r="C30" s="194" t="s">
        <v>341</v>
      </c>
      <c r="D30" s="194" t="s">
        <v>342</v>
      </c>
      <c r="E30" s="195">
        <v>2.5000000000000001E-5</v>
      </c>
      <c r="F30" s="147">
        <v>1</v>
      </c>
      <c r="G30" s="194">
        <v>1</v>
      </c>
      <c r="H30" s="196">
        <f t="shared" si="28"/>
        <v>2.5000000000000001E-5</v>
      </c>
      <c r="I30" s="197">
        <f>I22</f>
        <v>29</v>
      </c>
      <c r="J30" s="197">
        <f>J22*0.1</f>
        <v>2.9000000000000004</v>
      </c>
      <c r="K30" s="194"/>
      <c r="L30" s="194"/>
      <c r="M30" s="198" t="str">
        <f t="shared" si="24"/>
        <v>C27</v>
      </c>
      <c r="N30" s="198"/>
      <c r="O30" s="198"/>
      <c r="P30" s="198">
        <v>11.4</v>
      </c>
      <c r="Q30" s="198">
        <v>16.100000000000001</v>
      </c>
      <c r="R30" s="198">
        <v>23.6</v>
      </c>
      <c r="S30" s="198">
        <v>45.4</v>
      </c>
      <c r="T30" s="198"/>
      <c r="U30" s="198"/>
      <c r="V30" s="198" t="s">
        <v>46</v>
      </c>
      <c r="W30" s="198" t="s">
        <v>46</v>
      </c>
      <c r="X30" s="198" t="s">
        <v>46</v>
      </c>
      <c r="Y30" s="198" t="s">
        <v>46</v>
      </c>
      <c r="Z30" s="198"/>
      <c r="AA30" s="198"/>
      <c r="AB30" s="198"/>
      <c r="AC30" s="198"/>
      <c r="AD30" s="198"/>
      <c r="AE30" s="198">
        <v>39.5</v>
      </c>
      <c r="AF30" s="198">
        <v>70.5</v>
      </c>
      <c r="AG30" s="198">
        <v>88</v>
      </c>
      <c r="AH30" s="198">
        <v>118.5</v>
      </c>
      <c r="AI30" s="198"/>
      <c r="AJ30" s="198">
        <v>0</v>
      </c>
      <c r="AK30" s="198">
        <v>2</v>
      </c>
      <c r="AL30" s="198">
        <f>AL22</f>
        <v>0.75</v>
      </c>
      <c r="AM30" s="198">
        <f>AM22</f>
        <v>2.7E-2</v>
      </c>
      <c r="AN30" s="198">
        <v>5</v>
      </c>
      <c r="AO30" s="198"/>
      <c r="AP30" s="198"/>
      <c r="AQ30" s="199">
        <f>AM30*I30+AL30</f>
        <v>1.5329999999999999</v>
      </c>
      <c r="AR30" s="199">
        <f>0.1*AQ30</f>
        <v>0.15329999999999999</v>
      </c>
      <c r="AS30" s="200">
        <f>AJ30*3+0.25*AK30</f>
        <v>0.5</v>
      </c>
      <c r="AT30" s="200">
        <f>SUM(AQ30:AS30)/4</f>
        <v>0.54657500000000003</v>
      </c>
      <c r="AU30" s="199">
        <f>10068.2*J30*POWER(10,-6)</f>
        <v>2.9197780000000007E-2</v>
      </c>
      <c r="AV30" s="200">
        <f t="shared" si="27"/>
        <v>2.76207278</v>
      </c>
      <c r="AW30" s="201">
        <f>AJ30*H30</f>
        <v>0</v>
      </c>
      <c r="AX30" s="201">
        <f>H30*AK30</f>
        <v>5.0000000000000002E-5</v>
      </c>
      <c r="AY30" s="201">
        <f>H30*AV30</f>
        <v>6.9051819500000005E-5</v>
      </c>
      <c r="AZ30" s="297">
        <f>AW30/DB!$B$23</f>
        <v>0</v>
      </c>
      <c r="BA30" s="297">
        <f>AX30/DB!$B$23</f>
        <v>6.0240963855421685E-8</v>
      </c>
    </row>
    <row r="31" spans="1:53" ht="15" thickBot="1" x14ac:dyDescent="0.35"/>
    <row r="32" spans="1:53" s="140" customFormat="1" ht="18" customHeight="1" x14ac:dyDescent="0.3">
      <c r="A32" s="131" t="s">
        <v>761</v>
      </c>
      <c r="B32" s="132" t="s">
        <v>725</v>
      </c>
      <c r="C32" s="13" t="s">
        <v>129</v>
      </c>
      <c r="D32" s="133" t="s">
        <v>243</v>
      </c>
      <c r="E32" s="134">
        <v>9.9999999999999995E-7</v>
      </c>
      <c r="F32" s="132">
        <v>1</v>
      </c>
      <c r="G32" s="131">
        <v>0.2</v>
      </c>
      <c r="H32" s="135">
        <f>E32*F32*G32</f>
        <v>1.9999999999999999E-7</v>
      </c>
      <c r="I32" s="136">
        <v>22</v>
      </c>
      <c r="J32" s="137">
        <f>I32</f>
        <v>22</v>
      </c>
      <c r="K32" s="138" t="s">
        <v>122</v>
      </c>
      <c r="L32" s="139">
        <v>0</v>
      </c>
      <c r="M32" s="140" t="str">
        <f t="shared" ref="M32:N39" si="37">A32</f>
        <v>C28</v>
      </c>
      <c r="N32" s="140" t="str">
        <f t="shared" si="37"/>
        <v>Газосепаратор ГС-1, попутный нефтяной газ</v>
      </c>
      <c r="O32" s="140" t="str">
        <f t="shared" ref="O32:O39" si="38">D32</f>
        <v>Полное-факельное горение</v>
      </c>
      <c r="P32" s="140" t="s">
        <v>46</v>
      </c>
      <c r="Q32" s="140" t="s">
        <v>46</v>
      </c>
      <c r="R32" s="140" t="s">
        <v>46</v>
      </c>
      <c r="S32" s="140" t="s">
        <v>46</v>
      </c>
      <c r="T32" s="140" t="s">
        <v>46</v>
      </c>
      <c r="U32" s="140" t="s">
        <v>46</v>
      </c>
      <c r="V32" s="140" t="s">
        <v>46</v>
      </c>
      <c r="W32" s="140" t="s">
        <v>46</v>
      </c>
      <c r="X32" s="140" t="s">
        <v>46</v>
      </c>
      <c r="Y32" s="140">
        <v>44</v>
      </c>
      <c r="Z32" s="140">
        <v>7</v>
      </c>
      <c r="AA32" s="140" t="s">
        <v>46</v>
      </c>
      <c r="AB32" s="140" t="s">
        <v>46</v>
      </c>
      <c r="AC32" s="140" t="s">
        <v>46</v>
      </c>
      <c r="AD32" s="140" t="s">
        <v>46</v>
      </c>
      <c r="AE32" s="140" t="s">
        <v>46</v>
      </c>
      <c r="AF32" s="140" t="s">
        <v>46</v>
      </c>
      <c r="AG32" s="140" t="s">
        <v>46</v>
      </c>
      <c r="AH32" s="140" t="s">
        <v>46</v>
      </c>
      <c r="AI32" s="140" t="s">
        <v>46</v>
      </c>
      <c r="AJ32" s="141">
        <v>1</v>
      </c>
      <c r="AK32" s="141">
        <v>2</v>
      </c>
      <c r="AL32" s="142">
        <v>0.75</v>
      </c>
      <c r="AM32" s="142">
        <v>2.7E-2</v>
      </c>
      <c r="AN32" s="142">
        <v>3</v>
      </c>
      <c r="AQ32" s="143">
        <f>AM32*I32+AL32</f>
        <v>1.3439999999999999</v>
      </c>
      <c r="AR32" s="143">
        <f>0.1*AQ32</f>
        <v>0.13439999999999999</v>
      </c>
      <c r="AS32" s="144">
        <f>AJ32*3+0.25*AK32</f>
        <v>3.5</v>
      </c>
      <c r="AT32" s="144">
        <f>SUM(AQ32:AS32)/4</f>
        <v>1.2445999999999999</v>
      </c>
      <c r="AU32" s="143">
        <f>10068.2*J32*POWER(10,-6)</f>
        <v>0.22150040000000001</v>
      </c>
      <c r="AV32" s="144">
        <f t="shared" ref="AV32:AV39" si="39">AU32+AT32+AS32+AR32+AQ32</f>
        <v>6.4445004000000008</v>
      </c>
      <c r="AW32" s="145">
        <f>AJ32*H32</f>
        <v>1.9999999999999999E-7</v>
      </c>
      <c r="AX32" s="145">
        <f>H32*AK32</f>
        <v>3.9999999999999998E-7</v>
      </c>
      <c r="AY32" s="145">
        <f>H32*AV32</f>
        <v>1.2889000800000001E-6</v>
      </c>
      <c r="AZ32" s="297">
        <f>AW32/DB!$B$23</f>
        <v>2.4096385542168672E-10</v>
      </c>
      <c r="BA32" s="297">
        <f>AX32/DB!$B$23</f>
        <v>4.8192771084337344E-10</v>
      </c>
    </row>
    <row r="33" spans="1:53" s="140" customFormat="1" x14ac:dyDescent="0.3">
      <c r="A33" s="131" t="s">
        <v>762</v>
      </c>
      <c r="B33" s="131" t="str">
        <f>B32</f>
        <v>Газосепаратор ГС-1, попутный нефтяной газ</v>
      </c>
      <c r="C33" s="13" t="s">
        <v>107</v>
      </c>
      <c r="D33" s="133" t="s">
        <v>28</v>
      </c>
      <c r="E33" s="146">
        <f>E32</f>
        <v>9.9999999999999995E-7</v>
      </c>
      <c r="F33" s="147">
        <f>F32</f>
        <v>1</v>
      </c>
      <c r="G33" s="131">
        <v>0.1152</v>
      </c>
      <c r="H33" s="135">
        <f t="shared" ref="H33:H39" si="40">E33*F33*G33</f>
        <v>1.1519999999999999E-7</v>
      </c>
      <c r="I33" s="148">
        <f>I32</f>
        <v>22</v>
      </c>
      <c r="J33" s="193">
        <f>0.1*I32</f>
        <v>2.2000000000000002</v>
      </c>
      <c r="K33" s="149" t="s">
        <v>123</v>
      </c>
      <c r="L33" s="150">
        <v>0</v>
      </c>
      <c r="M33" s="140" t="str">
        <f t="shared" si="37"/>
        <v>C29</v>
      </c>
      <c r="N33" s="140" t="str">
        <f t="shared" si="37"/>
        <v>Газосепаратор ГС-1, попутный нефтяной газ</v>
      </c>
      <c r="O33" s="140" t="str">
        <f t="shared" si="38"/>
        <v>Полное-взрыв</v>
      </c>
      <c r="P33" s="140" t="s">
        <v>46</v>
      </c>
      <c r="Q33" s="140" t="s">
        <v>46</v>
      </c>
      <c r="R33" s="140" t="s">
        <v>46</v>
      </c>
      <c r="S33" s="140" t="s">
        <v>46</v>
      </c>
      <c r="T33" s="140">
        <v>0</v>
      </c>
      <c r="U33" s="140">
        <v>0</v>
      </c>
      <c r="V33" s="140">
        <v>98.6</v>
      </c>
      <c r="W33" s="140">
        <v>329.1</v>
      </c>
      <c r="X33" s="140">
        <v>479.6</v>
      </c>
      <c r="Y33" s="140" t="s">
        <v>46</v>
      </c>
      <c r="Z33" s="140" t="s">
        <v>46</v>
      </c>
      <c r="AA33" s="140" t="s">
        <v>46</v>
      </c>
      <c r="AB33" s="140" t="s">
        <v>46</v>
      </c>
      <c r="AC33" s="140" t="s">
        <v>46</v>
      </c>
      <c r="AD33" s="140" t="s">
        <v>46</v>
      </c>
      <c r="AE33" s="140" t="s">
        <v>46</v>
      </c>
      <c r="AF33" s="140" t="s">
        <v>46</v>
      </c>
      <c r="AG33" s="140" t="s">
        <v>46</v>
      </c>
      <c r="AH33" s="140" t="s">
        <v>46</v>
      </c>
      <c r="AI33" s="140" t="s">
        <v>46</v>
      </c>
      <c r="AJ33" s="141">
        <v>2</v>
      </c>
      <c r="AK33" s="141">
        <v>2</v>
      </c>
      <c r="AL33" s="140">
        <f>AL32</f>
        <v>0.75</v>
      </c>
      <c r="AM33" s="140">
        <f>AM32</f>
        <v>2.7E-2</v>
      </c>
      <c r="AN33" s="140">
        <f>AN32</f>
        <v>3</v>
      </c>
      <c r="AQ33" s="143">
        <f>AM33*I33+AL33</f>
        <v>1.3439999999999999</v>
      </c>
      <c r="AR33" s="143">
        <f t="shared" ref="AR33:AR39" si="41">0.1*AQ33</f>
        <v>0.13439999999999999</v>
      </c>
      <c r="AS33" s="144">
        <f t="shared" ref="AS33:AS39" si="42">AJ33*3+0.25*AK33</f>
        <v>6.5</v>
      </c>
      <c r="AT33" s="144">
        <f t="shared" ref="AT33:AT39" si="43">SUM(AQ33:AS33)/4</f>
        <v>1.9945999999999999</v>
      </c>
      <c r="AU33" s="143">
        <f>10068.2*J33*POWER(10,-6)*10</f>
        <v>0.22150040000000004</v>
      </c>
      <c r="AV33" s="144">
        <f t="shared" si="39"/>
        <v>10.194500399999999</v>
      </c>
      <c r="AW33" s="145">
        <f t="shared" ref="AW33:AW39" si="44">AJ33*H33</f>
        <v>2.3039999999999997E-7</v>
      </c>
      <c r="AX33" s="145">
        <f t="shared" ref="AX33:AX39" si="45">H33*AK33</f>
        <v>2.3039999999999997E-7</v>
      </c>
      <c r="AY33" s="145">
        <f t="shared" ref="AY33:AY39" si="46">H33*AV33</f>
        <v>1.1744064460799997E-6</v>
      </c>
      <c r="AZ33" s="297">
        <f>AW33/DB!$B$23</f>
        <v>2.7759036144578311E-10</v>
      </c>
      <c r="BA33" s="297">
        <f>AX33/DB!$B$23</f>
        <v>2.7759036144578311E-10</v>
      </c>
    </row>
    <row r="34" spans="1:53" s="140" customFormat="1" x14ac:dyDescent="0.3">
      <c r="A34" s="131" t="s">
        <v>763</v>
      </c>
      <c r="B34" s="131" t="str">
        <f>B32</f>
        <v>Газосепаратор ГС-1, попутный нефтяной газ</v>
      </c>
      <c r="C34" s="13" t="s">
        <v>242</v>
      </c>
      <c r="D34" s="133" t="s">
        <v>241</v>
      </c>
      <c r="E34" s="146">
        <f>E32</f>
        <v>9.9999999999999995E-7</v>
      </c>
      <c r="F34" s="147">
        <f>F32</f>
        <v>1</v>
      </c>
      <c r="G34" s="131">
        <v>7.6799999999999993E-2</v>
      </c>
      <c r="H34" s="135">
        <f t="shared" si="40"/>
        <v>7.6799999999999986E-8</v>
      </c>
      <c r="I34" s="148">
        <f>I32</f>
        <v>22</v>
      </c>
      <c r="J34" s="137">
        <f>0.6*I32</f>
        <v>13.2</v>
      </c>
      <c r="K34" s="149" t="s">
        <v>124</v>
      </c>
      <c r="L34" s="150">
        <v>15</v>
      </c>
      <c r="M34" s="140" t="str">
        <f t="shared" si="37"/>
        <v>C30</v>
      </c>
      <c r="N34" s="140" t="str">
        <f t="shared" si="37"/>
        <v>Газосепаратор ГС-1, попутный нефтяной газ</v>
      </c>
      <c r="O34" s="140" t="str">
        <f t="shared" si="38"/>
        <v>Полное-огненный шар</v>
      </c>
      <c r="P34" s="140" t="s">
        <v>46</v>
      </c>
      <c r="Q34" s="140" t="s">
        <v>46</v>
      </c>
      <c r="R34" s="140" t="s">
        <v>46</v>
      </c>
      <c r="S34" s="140" t="s">
        <v>46</v>
      </c>
      <c r="T34" s="140" t="s">
        <v>46</v>
      </c>
      <c r="U34" s="140" t="s">
        <v>46</v>
      </c>
      <c r="V34" s="140" t="s">
        <v>46</v>
      </c>
      <c r="W34" s="140" t="s">
        <v>46</v>
      </c>
      <c r="X34" s="140" t="s">
        <v>46</v>
      </c>
      <c r="Y34" s="140" t="s">
        <v>46</v>
      </c>
      <c r="Z34" s="140" t="s">
        <v>46</v>
      </c>
      <c r="AA34" s="140" t="s">
        <v>46</v>
      </c>
      <c r="AB34" s="140" t="s">
        <v>46</v>
      </c>
      <c r="AC34" s="140" t="s">
        <v>46</v>
      </c>
      <c r="AD34" s="140" t="s">
        <v>46</v>
      </c>
      <c r="AE34" s="140">
        <v>101.5</v>
      </c>
      <c r="AF34" s="140">
        <v>149.5</v>
      </c>
      <c r="AG34" s="140">
        <v>179</v>
      </c>
      <c r="AH34" s="140">
        <v>231</v>
      </c>
      <c r="AI34" s="140" t="s">
        <v>46</v>
      </c>
      <c r="AJ34" s="140">
        <v>0</v>
      </c>
      <c r="AK34" s="140">
        <v>0</v>
      </c>
      <c r="AL34" s="140">
        <f>AL32</f>
        <v>0.75</v>
      </c>
      <c r="AM34" s="140">
        <f>AM32</f>
        <v>2.7E-2</v>
      </c>
      <c r="AN34" s="140">
        <f>AN32</f>
        <v>3</v>
      </c>
      <c r="AQ34" s="143">
        <f>AM34*I34*0.1+AL34</f>
        <v>0.80940000000000001</v>
      </c>
      <c r="AR34" s="143">
        <f t="shared" si="41"/>
        <v>8.0940000000000012E-2</v>
      </c>
      <c r="AS34" s="144">
        <f t="shared" si="42"/>
        <v>0</v>
      </c>
      <c r="AT34" s="144">
        <f t="shared" si="43"/>
        <v>0.22258500000000001</v>
      </c>
      <c r="AU34" s="143">
        <f>1333*J32*POWER(10,-6)</f>
        <v>2.9325999999999998E-2</v>
      </c>
      <c r="AV34" s="144">
        <f t="shared" si="39"/>
        <v>1.1422509999999999</v>
      </c>
      <c r="AW34" s="145">
        <f t="shared" si="44"/>
        <v>0</v>
      </c>
      <c r="AX34" s="145">
        <f t="shared" si="45"/>
        <v>0</v>
      </c>
      <c r="AY34" s="145">
        <f t="shared" si="46"/>
        <v>8.7724876799999974E-8</v>
      </c>
      <c r="AZ34" s="297">
        <f>AW34/DB!$B$23</f>
        <v>0</v>
      </c>
      <c r="BA34" s="297">
        <f>AX34/DB!$B$23</f>
        <v>0</v>
      </c>
    </row>
    <row r="35" spans="1:53" s="140" customFormat="1" x14ac:dyDescent="0.3">
      <c r="A35" s="131" t="s">
        <v>764</v>
      </c>
      <c r="B35" s="131" t="str">
        <f>B32</f>
        <v>Газосепаратор ГС-1, попутный нефтяной газ</v>
      </c>
      <c r="C35" s="13" t="s">
        <v>108</v>
      </c>
      <c r="D35" s="133" t="s">
        <v>26</v>
      </c>
      <c r="E35" s="146">
        <f>E32</f>
        <v>9.9999999999999995E-7</v>
      </c>
      <c r="F35" s="147">
        <f>F32</f>
        <v>1</v>
      </c>
      <c r="G35" s="131">
        <v>0.60799999999999998</v>
      </c>
      <c r="H35" s="135">
        <f t="shared" si="40"/>
        <v>6.0799999999999994E-7</v>
      </c>
      <c r="I35" s="148">
        <f>I32</f>
        <v>22</v>
      </c>
      <c r="J35" s="151">
        <v>0</v>
      </c>
      <c r="K35" s="149" t="s">
        <v>126</v>
      </c>
      <c r="L35" s="150">
        <v>45390</v>
      </c>
      <c r="M35" s="140" t="str">
        <f t="shared" si="37"/>
        <v>C31</v>
      </c>
      <c r="N35" s="140" t="str">
        <f t="shared" si="37"/>
        <v>Газосепаратор ГС-1, попутный нефтяной газ</v>
      </c>
      <c r="O35" s="140" t="str">
        <f t="shared" si="38"/>
        <v>Полное-ликвидация</v>
      </c>
      <c r="P35" s="140" t="s">
        <v>46</v>
      </c>
      <c r="Q35" s="140" t="s">
        <v>46</v>
      </c>
      <c r="R35" s="140" t="s">
        <v>46</v>
      </c>
      <c r="S35" s="140" t="s">
        <v>46</v>
      </c>
      <c r="T35" s="140" t="s">
        <v>46</v>
      </c>
      <c r="U35" s="140" t="s">
        <v>46</v>
      </c>
      <c r="V35" s="140" t="s">
        <v>46</v>
      </c>
      <c r="W35" s="140" t="s">
        <v>46</v>
      </c>
      <c r="X35" s="140" t="s">
        <v>46</v>
      </c>
      <c r="Y35" s="140" t="s">
        <v>46</v>
      </c>
      <c r="Z35" s="140" t="s">
        <v>46</v>
      </c>
      <c r="AA35" s="140" t="s">
        <v>46</v>
      </c>
      <c r="AB35" s="140" t="s">
        <v>46</v>
      </c>
      <c r="AC35" s="140" t="s">
        <v>46</v>
      </c>
      <c r="AD35" s="140" t="s">
        <v>46</v>
      </c>
      <c r="AE35" s="140" t="s">
        <v>46</v>
      </c>
      <c r="AF35" s="140" t="s">
        <v>46</v>
      </c>
      <c r="AG35" s="140" t="s">
        <v>46</v>
      </c>
      <c r="AH35" s="140" t="s">
        <v>46</v>
      </c>
      <c r="AI35" s="140" t="s">
        <v>46</v>
      </c>
      <c r="AJ35" s="140">
        <v>0</v>
      </c>
      <c r="AK35" s="140">
        <v>0</v>
      </c>
      <c r="AL35" s="140">
        <f>AL32</f>
        <v>0.75</v>
      </c>
      <c r="AM35" s="140">
        <f>AM32</f>
        <v>2.7E-2</v>
      </c>
      <c r="AN35" s="140">
        <f>AN32</f>
        <v>3</v>
      </c>
      <c r="AQ35" s="143">
        <f>AM35*I35*0.1+AL35</f>
        <v>0.80940000000000001</v>
      </c>
      <c r="AR35" s="143">
        <f t="shared" si="41"/>
        <v>8.0940000000000012E-2</v>
      </c>
      <c r="AS35" s="144">
        <f t="shared" si="42"/>
        <v>0</v>
      </c>
      <c r="AT35" s="144">
        <f t="shared" si="43"/>
        <v>0.22258500000000001</v>
      </c>
      <c r="AU35" s="143">
        <f>1333*J33*POWER(10,-6)</f>
        <v>2.9326000000000001E-3</v>
      </c>
      <c r="AV35" s="144">
        <f t="shared" si="39"/>
        <v>1.1158576</v>
      </c>
      <c r="AW35" s="145">
        <f t="shared" si="44"/>
        <v>0</v>
      </c>
      <c r="AX35" s="145">
        <f t="shared" si="45"/>
        <v>0</v>
      </c>
      <c r="AY35" s="145">
        <f t="shared" si="46"/>
        <v>6.784414207999999E-7</v>
      </c>
      <c r="AZ35" s="297">
        <f>AW35/DB!$B$23</f>
        <v>0</v>
      </c>
      <c r="BA35" s="297">
        <f>AX35/DB!$B$23</f>
        <v>0</v>
      </c>
    </row>
    <row r="36" spans="1:53" s="140" customFormat="1" x14ac:dyDescent="0.3">
      <c r="A36" s="131" t="s">
        <v>765</v>
      </c>
      <c r="B36" s="131" t="str">
        <f>B32</f>
        <v>Газосепаратор ГС-1, попутный нефтяной газ</v>
      </c>
      <c r="C36" s="13" t="s">
        <v>133</v>
      </c>
      <c r="D36" s="133" t="s">
        <v>134</v>
      </c>
      <c r="E36" s="134">
        <v>1.0000000000000001E-5</v>
      </c>
      <c r="F36" s="147">
        <f>F32</f>
        <v>1</v>
      </c>
      <c r="G36" s="131">
        <v>3.5000000000000003E-2</v>
      </c>
      <c r="H36" s="135">
        <f t="shared" si="40"/>
        <v>3.5000000000000004E-7</v>
      </c>
      <c r="I36" s="148">
        <f>0.15*I32</f>
        <v>3.3</v>
      </c>
      <c r="J36" s="137">
        <f>I36</f>
        <v>3.3</v>
      </c>
      <c r="K36" s="149" t="s">
        <v>127</v>
      </c>
      <c r="L36" s="150">
        <v>3</v>
      </c>
      <c r="M36" s="140" t="str">
        <f t="shared" si="37"/>
        <v>C32</v>
      </c>
      <c r="N36" s="140" t="str">
        <f t="shared" si="37"/>
        <v>Газосепаратор ГС-1, попутный нефтяной газ</v>
      </c>
      <c r="O36" s="140" t="str">
        <f t="shared" si="38"/>
        <v>Частичное-факел</v>
      </c>
      <c r="P36" s="140" t="s">
        <v>46</v>
      </c>
      <c r="Q36" s="140" t="s">
        <v>46</v>
      </c>
      <c r="R36" s="140" t="s">
        <v>46</v>
      </c>
      <c r="S36" s="140" t="s">
        <v>46</v>
      </c>
      <c r="T36" s="140" t="s">
        <v>46</v>
      </c>
      <c r="U36" s="140" t="s">
        <v>46</v>
      </c>
      <c r="V36" s="140" t="s">
        <v>46</v>
      </c>
      <c r="W36" s="140" t="s">
        <v>46</v>
      </c>
      <c r="X36" s="140" t="s">
        <v>46</v>
      </c>
      <c r="Y36" s="140">
        <v>28</v>
      </c>
      <c r="Z36" s="140">
        <v>5</v>
      </c>
      <c r="AA36" s="140" t="s">
        <v>46</v>
      </c>
      <c r="AB36" s="140" t="s">
        <v>46</v>
      </c>
      <c r="AC36" s="140" t="s">
        <v>46</v>
      </c>
      <c r="AD36" s="140" t="s">
        <v>46</v>
      </c>
      <c r="AE36" s="140" t="s">
        <v>46</v>
      </c>
      <c r="AF36" s="140" t="s">
        <v>46</v>
      </c>
      <c r="AG36" s="140" t="s">
        <v>46</v>
      </c>
      <c r="AH36" s="140" t="s">
        <v>46</v>
      </c>
      <c r="AI36" s="140" t="s">
        <v>46</v>
      </c>
      <c r="AJ36" s="140">
        <v>0</v>
      </c>
      <c r="AK36" s="140">
        <v>2</v>
      </c>
      <c r="AL36" s="140">
        <f>0.1*$AL$2</f>
        <v>7.5000000000000011E-2</v>
      </c>
      <c r="AM36" s="140">
        <f>AM32</f>
        <v>2.7E-2</v>
      </c>
      <c r="AN36" s="140">
        <f>ROUNDUP(AN32/3,0)</f>
        <v>1</v>
      </c>
      <c r="AQ36" s="143">
        <f>AM36*I36+AL36</f>
        <v>0.16410000000000002</v>
      </c>
      <c r="AR36" s="143">
        <f t="shared" si="41"/>
        <v>1.6410000000000004E-2</v>
      </c>
      <c r="AS36" s="144">
        <f t="shared" si="42"/>
        <v>0.5</v>
      </c>
      <c r="AT36" s="144">
        <f t="shared" si="43"/>
        <v>0.17012750000000001</v>
      </c>
      <c r="AU36" s="143">
        <f>10068.2*J36*POWER(10,-6)</f>
        <v>3.3225059999999994E-2</v>
      </c>
      <c r="AV36" s="144">
        <f t="shared" si="39"/>
        <v>0.88386256000000007</v>
      </c>
      <c r="AW36" s="145">
        <f t="shared" si="44"/>
        <v>0</v>
      </c>
      <c r="AX36" s="145">
        <f t="shared" si="45"/>
        <v>7.0000000000000007E-7</v>
      </c>
      <c r="AY36" s="145">
        <f t="shared" si="46"/>
        <v>3.0935189600000005E-7</v>
      </c>
      <c r="AZ36" s="297">
        <f>AW36/DB!$B$23</f>
        <v>0</v>
      </c>
      <c r="BA36" s="297">
        <f>AX36/DB!$B$23</f>
        <v>8.4337349397590368E-10</v>
      </c>
    </row>
    <row r="37" spans="1:53" s="140" customFormat="1" x14ac:dyDescent="0.3">
      <c r="A37" s="131" t="s">
        <v>766</v>
      </c>
      <c r="B37" s="131" t="str">
        <f>B32</f>
        <v>Газосепаратор ГС-1, попутный нефтяной газ</v>
      </c>
      <c r="C37" s="13" t="s">
        <v>135</v>
      </c>
      <c r="D37" s="133" t="s">
        <v>136</v>
      </c>
      <c r="E37" s="146">
        <f>E36</f>
        <v>1.0000000000000001E-5</v>
      </c>
      <c r="F37" s="147">
        <v>1</v>
      </c>
      <c r="G37" s="131">
        <v>8.3000000000000001E-3</v>
      </c>
      <c r="H37" s="135">
        <f t="shared" si="40"/>
        <v>8.3000000000000002E-8</v>
      </c>
      <c r="I37" s="148">
        <f>I36</f>
        <v>3.3</v>
      </c>
      <c r="J37" s="137">
        <f>J33*0.15</f>
        <v>0.33</v>
      </c>
      <c r="K37" s="152" t="s">
        <v>138</v>
      </c>
      <c r="L37" s="153">
        <v>19</v>
      </c>
      <c r="M37" s="140" t="str">
        <f t="shared" si="37"/>
        <v>C33</v>
      </c>
      <c r="N37" s="140" t="str">
        <f t="shared" si="37"/>
        <v>Газосепаратор ГС-1, попутный нефтяной газ</v>
      </c>
      <c r="O37" s="140" t="str">
        <f t="shared" si="38"/>
        <v>Частичное-взрыв</v>
      </c>
      <c r="P37" s="140" t="s">
        <v>46</v>
      </c>
      <c r="Q37" s="140" t="s">
        <v>46</v>
      </c>
      <c r="R37" s="140" t="s">
        <v>46</v>
      </c>
      <c r="S37" s="140" t="s">
        <v>46</v>
      </c>
      <c r="T37" s="140">
        <v>0</v>
      </c>
      <c r="U37" s="140">
        <v>0</v>
      </c>
      <c r="V37" s="140">
        <v>52.6</v>
      </c>
      <c r="W37" s="140">
        <v>174.6</v>
      </c>
      <c r="X37" s="140">
        <v>255.1</v>
      </c>
      <c r="Y37" s="140" t="s">
        <v>46</v>
      </c>
      <c r="Z37" s="140" t="s">
        <v>46</v>
      </c>
      <c r="AA37" s="140" t="s">
        <v>46</v>
      </c>
      <c r="AB37" s="140" t="s">
        <v>46</v>
      </c>
      <c r="AC37" s="140" t="s">
        <v>46</v>
      </c>
      <c r="AD37" s="140" t="s">
        <v>46</v>
      </c>
      <c r="AE37" s="140" t="s">
        <v>46</v>
      </c>
      <c r="AF37" s="140" t="s">
        <v>46</v>
      </c>
      <c r="AG37" s="140" t="s">
        <v>46</v>
      </c>
      <c r="AH37" s="140" t="s">
        <v>46</v>
      </c>
      <c r="AI37" s="140" t="s">
        <v>46</v>
      </c>
      <c r="AJ37" s="140">
        <v>0</v>
      </c>
      <c r="AK37" s="140">
        <v>1</v>
      </c>
      <c r="AL37" s="140">
        <f>0.1*$AL$2</f>
        <v>7.5000000000000011E-2</v>
      </c>
      <c r="AM37" s="140">
        <f>AM32</f>
        <v>2.7E-2</v>
      </c>
      <c r="AN37" s="140">
        <f>AN36</f>
        <v>1</v>
      </c>
      <c r="AQ37" s="143">
        <f>AM37*I37+AL37</f>
        <v>0.16410000000000002</v>
      </c>
      <c r="AR37" s="143">
        <f t="shared" si="41"/>
        <v>1.6410000000000004E-2</v>
      </c>
      <c r="AS37" s="144">
        <f t="shared" si="42"/>
        <v>0.25</v>
      </c>
      <c r="AT37" s="144">
        <f t="shared" si="43"/>
        <v>0.10762750000000001</v>
      </c>
      <c r="AU37" s="143">
        <f>10068.2*J37*POWER(10,-6)*10</f>
        <v>3.3225060000000001E-2</v>
      </c>
      <c r="AV37" s="144">
        <f t="shared" si="39"/>
        <v>0.57136256000000007</v>
      </c>
      <c r="AW37" s="145">
        <f t="shared" si="44"/>
        <v>0</v>
      </c>
      <c r="AX37" s="145">
        <f t="shared" si="45"/>
        <v>8.3000000000000002E-8</v>
      </c>
      <c r="AY37" s="145">
        <f t="shared" si="46"/>
        <v>4.7423092480000009E-8</v>
      </c>
      <c r="AZ37" s="297">
        <f>AW37/DB!$B$23</f>
        <v>0</v>
      </c>
      <c r="BA37" s="297">
        <f>AX37/DB!$B$23</f>
        <v>1E-10</v>
      </c>
    </row>
    <row r="38" spans="1:53" s="140" customFormat="1" x14ac:dyDescent="0.3">
      <c r="A38" s="131" t="s">
        <v>767</v>
      </c>
      <c r="B38" s="131" t="str">
        <f>B32</f>
        <v>Газосепаратор ГС-1, попутный нефтяной газ</v>
      </c>
      <c r="C38" s="13" t="s">
        <v>110</v>
      </c>
      <c r="D38" s="133" t="s">
        <v>112</v>
      </c>
      <c r="E38" s="146">
        <f>E36</f>
        <v>1.0000000000000001E-5</v>
      </c>
      <c r="F38" s="147">
        <f>F32</f>
        <v>1</v>
      </c>
      <c r="G38" s="131">
        <v>2.64E-2</v>
      </c>
      <c r="H38" s="135">
        <f t="shared" si="40"/>
        <v>2.6400000000000003E-7</v>
      </c>
      <c r="I38" s="148">
        <f>0.15*I32</f>
        <v>3.3</v>
      </c>
      <c r="J38" s="137">
        <f>J34*0.15</f>
        <v>1.9799999999999998</v>
      </c>
      <c r="K38" s="207" t="s">
        <v>468</v>
      </c>
      <c r="L38" s="295" t="s">
        <v>709</v>
      </c>
      <c r="M38" s="140" t="str">
        <f t="shared" si="37"/>
        <v>C34</v>
      </c>
      <c r="N38" s="140" t="str">
        <f t="shared" si="37"/>
        <v>Газосепаратор ГС-1, попутный нефтяной газ</v>
      </c>
      <c r="O38" s="140" t="str">
        <f t="shared" si="38"/>
        <v>Частичное-пожар-вспышка</v>
      </c>
      <c r="P38" s="140" t="s">
        <v>46</v>
      </c>
      <c r="Q38" s="140" t="s">
        <v>46</v>
      </c>
      <c r="R38" s="140" t="s">
        <v>46</v>
      </c>
      <c r="S38" s="140" t="s">
        <v>46</v>
      </c>
      <c r="T38" s="140" t="s">
        <v>46</v>
      </c>
      <c r="U38" s="140" t="s">
        <v>46</v>
      </c>
      <c r="V38" s="140" t="s">
        <v>46</v>
      </c>
      <c r="W38" s="140" t="s">
        <v>46</v>
      </c>
      <c r="X38" s="140" t="s">
        <v>46</v>
      </c>
      <c r="Y38" s="140" t="s">
        <v>46</v>
      </c>
      <c r="Z38" s="140" t="s">
        <v>46</v>
      </c>
      <c r="AA38" s="140">
        <v>41.99</v>
      </c>
      <c r="AB38" s="140">
        <v>50.39</v>
      </c>
      <c r="AC38" s="140" t="s">
        <v>46</v>
      </c>
      <c r="AD38" s="140" t="s">
        <v>46</v>
      </c>
      <c r="AE38" s="140" t="s">
        <v>46</v>
      </c>
      <c r="AF38" s="140" t="s">
        <v>46</v>
      </c>
      <c r="AG38" s="140" t="s">
        <v>46</v>
      </c>
      <c r="AH38" s="140" t="s">
        <v>46</v>
      </c>
      <c r="AI38" s="140" t="s">
        <v>46</v>
      </c>
      <c r="AJ38" s="140">
        <v>0</v>
      </c>
      <c r="AK38" s="140">
        <v>1</v>
      </c>
      <c r="AL38" s="140">
        <f>0.1*$AL$2</f>
        <v>7.5000000000000011E-2</v>
      </c>
      <c r="AM38" s="140">
        <f>AM32</f>
        <v>2.7E-2</v>
      </c>
      <c r="AN38" s="140">
        <f>ROUNDUP(AN32/3,0)</f>
        <v>1</v>
      </c>
      <c r="AQ38" s="143">
        <f>AM38*I38+AL38</f>
        <v>0.16410000000000002</v>
      </c>
      <c r="AR38" s="143">
        <f t="shared" si="41"/>
        <v>1.6410000000000004E-2</v>
      </c>
      <c r="AS38" s="144">
        <f t="shared" si="42"/>
        <v>0.25</v>
      </c>
      <c r="AT38" s="144">
        <f t="shared" si="43"/>
        <v>0.10762750000000001</v>
      </c>
      <c r="AU38" s="143">
        <f>10068.2*J38*POWER(10,-6)*10</f>
        <v>0.19935036</v>
      </c>
      <c r="AV38" s="144">
        <f t="shared" si="39"/>
        <v>0.73748786000000011</v>
      </c>
      <c r="AW38" s="145">
        <f t="shared" si="44"/>
        <v>0</v>
      </c>
      <c r="AX38" s="145">
        <f t="shared" si="45"/>
        <v>2.6400000000000003E-7</v>
      </c>
      <c r="AY38" s="145">
        <f t="shared" si="46"/>
        <v>1.9469679504000006E-7</v>
      </c>
      <c r="AZ38" s="297">
        <f>AW38/DB!$B$23</f>
        <v>0</v>
      </c>
      <c r="BA38" s="297">
        <f>AX38/DB!$B$23</f>
        <v>3.1807228915662654E-10</v>
      </c>
    </row>
    <row r="39" spans="1:53" s="140" customFormat="1" ht="15" thickBot="1" x14ac:dyDescent="0.35">
      <c r="A39" s="131" t="s">
        <v>768</v>
      </c>
      <c r="B39" s="131" t="str">
        <f>B32</f>
        <v>Газосепаратор ГС-1, попутный нефтяной газ</v>
      </c>
      <c r="C39" s="13" t="s">
        <v>111</v>
      </c>
      <c r="D39" s="133" t="s">
        <v>27</v>
      </c>
      <c r="E39" s="146">
        <f>E36</f>
        <v>1.0000000000000001E-5</v>
      </c>
      <c r="F39" s="147">
        <f>F32</f>
        <v>1</v>
      </c>
      <c r="G39" s="131">
        <v>0.93030000000000002</v>
      </c>
      <c r="H39" s="135">
        <f t="shared" si="40"/>
        <v>9.3030000000000005E-6</v>
      </c>
      <c r="I39" s="148">
        <f>0.15*I32</f>
        <v>3.3</v>
      </c>
      <c r="J39" s="151">
        <v>0</v>
      </c>
      <c r="K39" s="154"/>
      <c r="L39" s="155"/>
      <c r="M39" s="140" t="str">
        <f t="shared" si="37"/>
        <v>C35</v>
      </c>
      <c r="N39" s="140" t="str">
        <f t="shared" si="37"/>
        <v>Газосепаратор ГС-1, попутный нефтяной газ</v>
      </c>
      <c r="O39" s="140" t="str">
        <f t="shared" si="38"/>
        <v>Частичное-ликвидация</v>
      </c>
      <c r="P39" s="140" t="s">
        <v>46</v>
      </c>
      <c r="Q39" s="140" t="s">
        <v>46</v>
      </c>
      <c r="R39" s="140" t="s">
        <v>46</v>
      </c>
      <c r="S39" s="140" t="s">
        <v>46</v>
      </c>
      <c r="T39" s="140" t="s">
        <v>46</v>
      </c>
      <c r="U39" s="140" t="s">
        <v>46</v>
      </c>
      <c r="V39" s="140" t="s">
        <v>46</v>
      </c>
      <c r="W39" s="140" t="s">
        <v>46</v>
      </c>
      <c r="X39" s="140" t="s">
        <v>46</v>
      </c>
      <c r="Y39" s="140" t="s">
        <v>46</v>
      </c>
      <c r="Z39" s="140" t="s">
        <v>46</v>
      </c>
      <c r="AA39" s="140" t="s">
        <v>46</v>
      </c>
      <c r="AB39" s="140" t="s">
        <v>46</v>
      </c>
      <c r="AC39" s="140" t="s">
        <v>46</v>
      </c>
      <c r="AD39" s="140" t="s">
        <v>46</v>
      </c>
      <c r="AE39" s="140" t="s">
        <v>46</v>
      </c>
      <c r="AF39" s="140" t="s">
        <v>46</v>
      </c>
      <c r="AG39" s="140" t="s">
        <v>46</v>
      </c>
      <c r="AH39" s="140" t="s">
        <v>46</v>
      </c>
      <c r="AI39" s="140" t="s">
        <v>46</v>
      </c>
      <c r="AJ39" s="140">
        <v>0</v>
      </c>
      <c r="AK39" s="140">
        <v>0</v>
      </c>
      <c r="AL39" s="140">
        <f>0.1*$AL$2</f>
        <v>7.5000000000000011E-2</v>
      </c>
      <c r="AM39" s="140">
        <f>AM32</f>
        <v>2.7E-2</v>
      </c>
      <c r="AN39" s="140">
        <f>ROUNDUP(AN32/3,0)</f>
        <v>1</v>
      </c>
      <c r="AQ39" s="143">
        <f>AM39*I39*0.1+AL39</f>
        <v>8.3910000000000012E-2</v>
      </c>
      <c r="AR39" s="143">
        <f t="shared" si="41"/>
        <v>8.3910000000000009E-3</v>
      </c>
      <c r="AS39" s="144">
        <f t="shared" si="42"/>
        <v>0</v>
      </c>
      <c r="AT39" s="144">
        <f t="shared" si="43"/>
        <v>2.3075250000000002E-2</v>
      </c>
      <c r="AU39" s="143">
        <f>1333*J38*POWER(10,-6)</f>
        <v>2.6393399999999996E-3</v>
      </c>
      <c r="AV39" s="144">
        <f t="shared" si="39"/>
        <v>0.11801559000000002</v>
      </c>
      <c r="AW39" s="145">
        <f t="shared" si="44"/>
        <v>0</v>
      </c>
      <c r="AX39" s="145">
        <f t="shared" si="45"/>
        <v>0</v>
      </c>
      <c r="AY39" s="145">
        <f t="shared" si="46"/>
        <v>1.0978990337700003E-6</v>
      </c>
      <c r="AZ39" s="297">
        <f>AW39/DB!$B$23</f>
        <v>0</v>
      </c>
      <c r="BA39" s="297">
        <f>AX39/DB!$B$23</f>
        <v>0</v>
      </c>
    </row>
    <row r="40" spans="1:53" s="140" customFormat="1" x14ac:dyDescent="0.3">
      <c r="A40" s="131"/>
      <c r="B40" s="194"/>
      <c r="C40" s="194"/>
      <c r="D40" s="194"/>
      <c r="E40" s="195"/>
      <c r="F40" s="147"/>
      <c r="G40" s="194"/>
      <c r="H40" s="196"/>
      <c r="I40" s="197"/>
      <c r="J40" s="197"/>
      <c r="K40" s="194"/>
      <c r="L40" s="194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9"/>
      <c r="AR40" s="199"/>
      <c r="AS40" s="200"/>
      <c r="AT40" s="200"/>
      <c r="AU40" s="199"/>
      <c r="AV40" s="200"/>
      <c r="AW40" s="201"/>
      <c r="AX40" s="201"/>
      <c r="AY40" s="201"/>
      <c r="AZ40" s="297"/>
      <c r="BA40" s="297"/>
    </row>
    <row r="41" spans="1:53" ht="15" thickBot="1" x14ac:dyDescent="0.35"/>
    <row r="42" spans="1:53" s="140" customFormat="1" ht="18" customHeight="1" x14ac:dyDescent="0.3">
      <c r="A42" s="131" t="s">
        <v>769</v>
      </c>
      <c r="B42" s="132" t="s">
        <v>714</v>
      </c>
      <c r="C42" s="13" t="s">
        <v>143</v>
      </c>
      <c r="D42" s="133" t="s">
        <v>25</v>
      </c>
      <c r="E42" s="134">
        <v>9.9999999999999995E-7</v>
      </c>
      <c r="F42" s="132">
        <v>1</v>
      </c>
      <c r="G42" s="131">
        <v>0.05</v>
      </c>
      <c r="H42" s="135">
        <f>E42*F42*G42</f>
        <v>4.9999999999999998E-8</v>
      </c>
      <c r="I42" s="136">
        <v>26</v>
      </c>
      <c r="J42" s="137">
        <f>I42</f>
        <v>26</v>
      </c>
      <c r="K42" s="138" t="s">
        <v>122</v>
      </c>
      <c r="L42" s="139">
        <v>180</v>
      </c>
      <c r="M42" s="140" t="str">
        <f t="shared" ref="M42:M50" si="47">A42</f>
        <v>C36</v>
      </c>
      <c r="N42" s="140" t="str">
        <f t="shared" ref="N42:N49" si="48">B42</f>
        <v>Отстойник О-1.1(О-1.2), нефть, попутный нефтяной газ, пластовая вода</v>
      </c>
      <c r="O42" s="140" t="str">
        <f t="shared" ref="O42:O49" si="49">D42</f>
        <v>Полное-пожар</v>
      </c>
      <c r="P42" s="140">
        <v>10.9</v>
      </c>
      <c r="Q42" s="140">
        <v>15.3</v>
      </c>
      <c r="R42" s="140">
        <v>22.4</v>
      </c>
      <c r="S42" s="140">
        <v>43.4</v>
      </c>
      <c r="T42" s="140" t="s">
        <v>46</v>
      </c>
      <c r="U42" s="140" t="s">
        <v>46</v>
      </c>
      <c r="V42" s="140" t="s">
        <v>46</v>
      </c>
      <c r="W42" s="140" t="s">
        <v>46</v>
      </c>
      <c r="X42" s="140" t="s">
        <v>46</v>
      </c>
      <c r="Y42" s="140" t="s">
        <v>46</v>
      </c>
      <c r="Z42" s="140" t="s">
        <v>46</v>
      </c>
      <c r="AA42" s="140" t="s">
        <v>46</v>
      </c>
      <c r="AB42" s="140" t="s">
        <v>46</v>
      </c>
      <c r="AC42" s="140" t="s">
        <v>46</v>
      </c>
      <c r="AD42" s="140" t="s">
        <v>46</v>
      </c>
      <c r="AE42" s="140" t="s">
        <v>46</v>
      </c>
      <c r="AF42" s="140" t="s">
        <v>46</v>
      </c>
      <c r="AG42" s="140" t="s">
        <v>46</v>
      </c>
      <c r="AH42" s="140" t="s">
        <v>46</v>
      </c>
      <c r="AI42" s="140" t="s">
        <v>46</v>
      </c>
      <c r="AJ42" s="141">
        <v>0</v>
      </c>
      <c r="AK42" s="141">
        <v>2</v>
      </c>
      <c r="AL42" s="142">
        <v>0.75</v>
      </c>
      <c r="AM42" s="142">
        <v>2.7E-2</v>
      </c>
      <c r="AN42" s="142">
        <v>3</v>
      </c>
      <c r="AQ42" s="143">
        <f>AM42*I42+AL42</f>
        <v>1.452</v>
      </c>
      <c r="AR42" s="143">
        <f>0.1*AQ42</f>
        <v>0.1452</v>
      </c>
      <c r="AS42" s="144">
        <f>AJ42*3+0.25*AK42</f>
        <v>0.5</v>
      </c>
      <c r="AT42" s="144">
        <f>SUM(AQ42:AS42)/4</f>
        <v>0.52429999999999999</v>
      </c>
      <c r="AU42" s="143">
        <f>10068.2*J42*POWER(10,-6)</f>
        <v>0.26177319999999998</v>
      </c>
      <c r="AV42" s="144">
        <f t="shared" ref="AV42:AV50" si="50">AU42+AT42+AS42+AR42+AQ42</f>
        <v>2.8832731999999996</v>
      </c>
      <c r="AW42" s="145">
        <f>AJ42*H42</f>
        <v>0</v>
      </c>
      <c r="AX42" s="145">
        <f>H42*AK42</f>
        <v>9.9999999999999995E-8</v>
      </c>
      <c r="AY42" s="145">
        <f>H42*AV42</f>
        <v>1.4416365999999998E-7</v>
      </c>
      <c r="AZ42" s="297">
        <f>AW42/DB!$B$23</f>
        <v>0</v>
      </c>
      <c r="BA42" s="297">
        <f>AX42/DB!$B$23</f>
        <v>1.2048192771084336E-10</v>
      </c>
    </row>
    <row r="43" spans="1:53" s="140" customFormat="1" x14ac:dyDescent="0.3">
      <c r="A43" s="131" t="s">
        <v>770</v>
      </c>
      <c r="B43" s="131" t="str">
        <f>B42</f>
        <v>Отстойник О-1.1(О-1.2), нефть, попутный нефтяной газ, пластовая вода</v>
      </c>
      <c r="C43" s="13" t="s">
        <v>149</v>
      </c>
      <c r="D43" s="133" t="s">
        <v>28</v>
      </c>
      <c r="E43" s="146">
        <f>E42</f>
        <v>9.9999999999999995E-7</v>
      </c>
      <c r="F43" s="147">
        <f>F42</f>
        <v>1</v>
      </c>
      <c r="G43" s="131">
        <v>0.19</v>
      </c>
      <c r="H43" s="135">
        <f t="shared" ref="H43:H50" si="51">E43*F43*G43</f>
        <v>1.8999999999999998E-7</v>
      </c>
      <c r="I43" s="148">
        <f>I42</f>
        <v>26</v>
      </c>
      <c r="J43" s="266">
        <f>POWER(10,-6)*35*SQRT(100)*L1*L42/1000*0.1</f>
        <v>7.5600000000000007E-3</v>
      </c>
      <c r="K43" s="149" t="s">
        <v>123</v>
      </c>
      <c r="L43" s="150">
        <v>2</v>
      </c>
      <c r="M43" s="140" t="str">
        <f t="shared" si="47"/>
        <v>C37</v>
      </c>
      <c r="N43" s="140" t="str">
        <f t="shared" si="48"/>
        <v>Отстойник О-1.1(О-1.2), нефть, попутный нефтяной газ, пластовая вода</v>
      </c>
      <c r="O43" s="140" t="str">
        <f t="shared" si="49"/>
        <v>Полное-взрыв</v>
      </c>
      <c r="P43" s="140" t="s">
        <v>46</v>
      </c>
      <c r="Q43" s="140" t="s">
        <v>46</v>
      </c>
      <c r="R43" s="140" t="s">
        <v>46</v>
      </c>
      <c r="S43" s="140" t="s">
        <v>46</v>
      </c>
      <c r="T43" s="140">
        <v>0</v>
      </c>
      <c r="U43" s="140">
        <v>0</v>
      </c>
      <c r="V43" s="140">
        <v>15.1</v>
      </c>
      <c r="W43" s="140">
        <v>49.6</v>
      </c>
      <c r="X43" s="140">
        <v>72.599999999999994</v>
      </c>
      <c r="Y43" s="140" t="s">
        <v>46</v>
      </c>
      <c r="Z43" s="140" t="s">
        <v>46</v>
      </c>
      <c r="AA43" s="140" t="s">
        <v>46</v>
      </c>
      <c r="AB43" s="140" t="s">
        <v>46</v>
      </c>
      <c r="AC43" s="140" t="s">
        <v>46</v>
      </c>
      <c r="AD43" s="140" t="s">
        <v>46</v>
      </c>
      <c r="AE43" s="140" t="s">
        <v>46</v>
      </c>
      <c r="AF43" s="140" t="s">
        <v>46</v>
      </c>
      <c r="AG43" s="140" t="s">
        <v>46</v>
      </c>
      <c r="AH43" s="140" t="s">
        <v>46</v>
      </c>
      <c r="AI43" s="140" t="s">
        <v>46</v>
      </c>
      <c r="AJ43" s="141">
        <v>1</v>
      </c>
      <c r="AK43" s="141">
        <v>2</v>
      </c>
      <c r="AL43" s="140">
        <f>AL42</f>
        <v>0.75</v>
      </c>
      <c r="AM43" s="140">
        <f>AM42</f>
        <v>2.7E-2</v>
      </c>
      <c r="AN43" s="140">
        <f>AN42</f>
        <v>3</v>
      </c>
      <c r="AQ43" s="143">
        <f>AM43*I43+AL43</f>
        <v>1.452</v>
      </c>
      <c r="AR43" s="143">
        <f t="shared" ref="AR43:AR49" si="52">0.1*AQ43</f>
        <v>0.1452</v>
      </c>
      <c r="AS43" s="144">
        <f t="shared" ref="AS43:AS49" si="53">AJ43*3+0.25*AK43</f>
        <v>3.5</v>
      </c>
      <c r="AT43" s="144">
        <f t="shared" ref="AT43:AT49" si="54">SUM(AQ43:AS43)/4</f>
        <v>1.2743</v>
      </c>
      <c r="AU43" s="143">
        <f>10068.2*J43*POWER(10,-6)*10</f>
        <v>7.6115592000000002E-4</v>
      </c>
      <c r="AV43" s="144">
        <f t="shared" si="50"/>
        <v>6.3722611559199995</v>
      </c>
      <c r="AW43" s="145">
        <f t="shared" ref="AW43:AW49" si="55">AJ43*H43</f>
        <v>1.8999999999999998E-7</v>
      </c>
      <c r="AX43" s="145">
        <f t="shared" ref="AX43:AX49" si="56">H43*AK43</f>
        <v>3.7999999999999996E-7</v>
      </c>
      <c r="AY43" s="145">
        <f t="shared" ref="AY43" si="57">H43*AV43</f>
        <v>1.2107296196247998E-6</v>
      </c>
      <c r="AZ43" s="297">
        <f>AW43/DB!$B$23</f>
        <v>2.2891566265060238E-10</v>
      </c>
      <c r="BA43" s="297">
        <f>AX43/DB!$B$23</f>
        <v>4.5783132530120476E-10</v>
      </c>
    </row>
    <row r="44" spans="1:53" s="140" customFormat="1" x14ac:dyDescent="0.3">
      <c r="A44" s="131" t="s">
        <v>771</v>
      </c>
      <c r="B44" s="131" t="str">
        <f>B42</f>
        <v>Отстойник О-1.1(О-1.2), нефть, попутный нефтяной газ, пластовая вода</v>
      </c>
      <c r="C44" s="13" t="s">
        <v>188</v>
      </c>
      <c r="D44" s="133" t="s">
        <v>26</v>
      </c>
      <c r="E44" s="146">
        <f>E42</f>
        <v>9.9999999999999995E-7</v>
      </c>
      <c r="F44" s="147">
        <f t="shared" ref="F44:F49" si="58">F43</f>
        <v>1</v>
      </c>
      <c r="G44" s="131">
        <v>0.76</v>
      </c>
      <c r="H44" s="135">
        <f t="shared" si="51"/>
        <v>7.5999999999999992E-7</v>
      </c>
      <c r="I44" s="148">
        <f>I42</f>
        <v>26</v>
      </c>
      <c r="J44" s="151">
        <v>0</v>
      </c>
      <c r="K44" s="149" t="s">
        <v>124</v>
      </c>
      <c r="L44" s="150">
        <v>1.05</v>
      </c>
      <c r="M44" s="140" t="str">
        <f t="shared" si="47"/>
        <v>C38</v>
      </c>
      <c r="N44" s="140" t="str">
        <f t="shared" si="48"/>
        <v>Отстойник О-1.1(О-1.2), нефть, попутный нефтяной газ, пластовая вода</v>
      </c>
      <c r="O44" s="140" t="str">
        <f t="shared" si="49"/>
        <v>Полное-ликвидация</v>
      </c>
      <c r="P44" s="140" t="s">
        <v>46</v>
      </c>
      <c r="Q44" s="140" t="s">
        <v>46</v>
      </c>
      <c r="R44" s="140" t="s">
        <v>46</v>
      </c>
      <c r="S44" s="140" t="s">
        <v>46</v>
      </c>
      <c r="T44" s="140" t="s">
        <v>46</v>
      </c>
      <c r="U44" s="140" t="s">
        <v>46</v>
      </c>
      <c r="V44" s="140" t="s">
        <v>46</v>
      </c>
      <c r="W44" s="140" t="s">
        <v>46</v>
      </c>
      <c r="X44" s="140" t="s">
        <v>46</v>
      </c>
      <c r="Y44" s="140" t="s">
        <v>46</v>
      </c>
      <c r="Z44" s="140" t="s">
        <v>46</v>
      </c>
      <c r="AA44" s="140" t="s">
        <v>46</v>
      </c>
      <c r="AB44" s="140" t="s">
        <v>46</v>
      </c>
      <c r="AC44" s="140" t="s">
        <v>46</v>
      </c>
      <c r="AD44" s="140" t="s">
        <v>46</v>
      </c>
      <c r="AE44" s="140" t="s">
        <v>46</v>
      </c>
      <c r="AF44" s="140" t="s">
        <v>46</v>
      </c>
      <c r="AG44" s="140" t="s">
        <v>46</v>
      </c>
      <c r="AH44" s="140" t="s">
        <v>46</v>
      </c>
      <c r="AI44" s="140" t="s">
        <v>46</v>
      </c>
      <c r="AJ44" s="140">
        <v>0</v>
      </c>
      <c r="AK44" s="140">
        <v>0</v>
      </c>
      <c r="AL44" s="140">
        <f>AL42</f>
        <v>0.75</v>
      </c>
      <c r="AM44" s="140">
        <f>AM42</f>
        <v>2.7E-2</v>
      </c>
      <c r="AN44" s="140">
        <f>AN42</f>
        <v>3</v>
      </c>
      <c r="AQ44" s="143">
        <f>AM44*I44*0.1+AL44</f>
        <v>0.82020000000000004</v>
      </c>
      <c r="AR44" s="143">
        <f t="shared" si="52"/>
        <v>8.202000000000001E-2</v>
      </c>
      <c r="AS44" s="144">
        <f t="shared" si="53"/>
        <v>0</v>
      </c>
      <c r="AT44" s="144">
        <f t="shared" si="54"/>
        <v>0.22555500000000001</v>
      </c>
      <c r="AU44" s="143">
        <f>1333*J42*POWER(10,-6)</f>
        <v>3.4658000000000001E-2</v>
      </c>
      <c r="AV44" s="144">
        <f t="shared" si="50"/>
        <v>1.162433</v>
      </c>
      <c r="AW44" s="145">
        <f t="shared" si="55"/>
        <v>0</v>
      </c>
      <c r="AX44" s="145">
        <f t="shared" si="56"/>
        <v>0</v>
      </c>
      <c r="AY44" s="145">
        <f>H44*AV44</f>
        <v>8.8344907999999993E-7</v>
      </c>
      <c r="AZ44" s="297">
        <f>AW44/DB!$B$23</f>
        <v>0</v>
      </c>
      <c r="BA44" s="297">
        <f>AX44/DB!$B$23</f>
        <v>0</v>
      </c>
    </row>
    <row r="45" spans="1:53" s="140" customFormat="1" x14ac:dyDescent="0.3">
      <c r="A45" s="131" t="s">
        <v>772</v>
      </c>
      <c r="B45" s="131" t="str">
        <f>B42</f>
        <v>Отстойник О-1.1(О-1.2), нефть, попутный нефтяной газ, пластовая вода</v>
      </c>
      <c r="C45" s="13" t="s">
        <v>160</v>
      </c>
      <c r="D45" s="133" t="s">
        <v>161</v>
      </c>
      <c r="E45" s="134">
        <v>1.0000000000000001E-5</v>
      </c>
      <c r="F45" s="147">
        <f t="shared" si="58"/>
        <v>1</v>
      </c>
      <c r="G45" s="131">
        <v>4.0000000000000008E-2</v>
      </c>
      <c r="H45" s="135">
        <f t="shared" si="51"/>
        <v>4.0000000000000009E-7</v>
      </c>
      <c r="I45" s="148">
        <f>0.15*I42</f>
        <v>3.9</v>
      </c>
      <c r="J45" s="137">
        <f>I45</f>
        <v>3.9</v>
      </c>
      <c r="K45" s="149" t="s">
        <v>126</v>
      </c>
      <c r="L45" s="150">
        <v>45390</v>
      </c>
      <c r="M45" s="140" t="str">
        <f t="shared" si="47"/>
        <v>C39</v>
      </c>
      <c r="N45" s="140" t="str">
        <f t="shared" si="48"/>
        <v>Отстойник О-1.1(О-1.2), нефть, попутный нефтяной газ, пластовая вода</v>
      </c>
      <c r="O45" s="140" t="str">
        <f t="shared" si="49"/>
        <v>Частичное факел</v>
      </c>
      <c r="P45" s="140" t="s">
        <v>46</v>
      </c>
      <c r="Q45" s="140" t="s">
        <v>46</v>
      </c>
      <c r="R45" s="140" t="s">
        <v>46</v>
      </c>
      <c r="S45" s="140" t="s">
        <v>46</v>
      </c>
      <c r="T45" s="140" t="s">
        <v>46</v>
      </c>
      <c r="U45" s="140" t="s">
        <v>46</v>
      </c>
      <c r="V45" s="140" t="s">
        <v>46</v>
      </c>
      <c r="W45" s="140" t="s">
        <v>46</v>
      </c>
      <c r="X45" s="140" t="s">
        <v>46</v>
      </c>
      <c r="Y45" s="140">
        <v>15</v>
      </c>
      <c r="Z45" s="140">
        <v>3</v>
      </c>
      <c r="AA45" s="140" t="s">
        <v>46</v>
      </c>
      <c r="AB45" s="140" t="s">
        <v>46</v>
      </c>
      <c r="AC45" s="140" t="s">
        <v>46</v>
      </c>
      <c r="AD45" s="140" t="s">
        <v>46</v>
      </c>
      <c r="AE45" s="140" t="s">
        <v>46</v>
      </c>
      <c r="AF45" s="140" t="s">
        <v>46</v>
      </c>
      <c r="AG45" s="140" t="s">
        <v>46</v>
      </c>
      <c r="AH45" s="140" t="s">
        <v>46</v>
      </c>
      <c r="AI45" s="140" t="s">
        <v>46</v>
      </c>
      <c r="AJ45" s="140">
        <v>0</v>
      </c>
      <c r="AK45" s="140">
        <v>1</v>
      </c>
      <c r="AL45" s="140">
        <f>0.1*$AL$2</f>
        <v>7.5000000000000011E-2</v>
      </c>
      <c r="AM45" s="140">
        <f>AM43</f>
        <v>2.7E-2</v>
      </c>
      <c r="AN45" s="140">
        <f>AN42</f>
        <v>3</v>
      </c>
      <c r="AQ45" s="143">
        <f>AM45*I45*0.1+AL45</f>
        <v>8.5530000000000009E-2</v>
      </c>
      <c r="AR45" s="143">
        <f t="shared" si="52"/>
        <v>8.5530000000000016E-3</v>
      </c>
      <c r="AS45" s="144">
        <f t="shared" si="53"/>
        <v>0.25</v>
      </c>
      <c r="AT45" s="144">
        <f t="shared" si="54"/>
        <v>8.6020750000000007E-2</v>
      </c>
      <c r="AU45" s="143">
        <f>10068.2*J45*POWER(10,-6)</f>
        <v>3.9265979999999999E-2</v>
      </c>
      <c r="AV45" s="144">
        <f t="shared" si="50"/>
        <v>0.46936972999999999</v>
      </c>
      <c r="AW45" s="145">
        <f t="shared" si="55"/>
        <v>0</v>
      </c>
      <c r="AX45" s="145">
        <f t="shared" si="56"/>
        <v>4.0000000000000009E-7</v>
      </c>
      <c r="AY45" s="145">
        <f t="shared" ref="AY45:AY49" si="59">H45*AV45</f>
        <v>1.8774789200000003E-7</v>
      </c>
      <c r="AZ45" s="297">
        <f>AW45/DB!$B$23</f>
        <v>0</v>
      </c>
      <c r="BA45" s="297">
        <f>AX45/DB!$B$23</f>
        <v>4.8192771084337365E-10</v>
      </c>
    </row>
    <row r="46" spans="1:53" s="140" customFormat="1" x14ac:dyDescent="0.3">
      <c r="A46" s="131" t="s">
        <v>773</v>
      </c>
      <c r="B46" s="131" t="str">
        <f>B42</f>
        <v>Отстойник О-1.1(О-1.2), нефть, попутный нефтяной газ, пластовая вода</v>
      </c>
      <c r="C46" s="13" t="s">
        <v>189</v>
      </c>
      <c r="D46" s="133" t="s">
        <v>27</v>
      </c>
      <c r="E46" s="146">
        <f>E45</f>
        <v>1.0000000000000001E-5</v>
      </c>
      <c r="F46" s="147">
        <f t="shared" si="58"/>
        <v>1</v>
      </c>
      <c r="G46" s="131">
        <v>0.16000000000000003</v>
      </c>
      <c r="H46" s="135">
        <f t="shared" si="51"/>
        <v>1.6000000000000004E-6</v>
      </c>
      <c r="I46" s="148">
        <f>0.15*I42</f>
        <v>3.9</v>
      </c>
      <c r="J46" s="137">
        <v>0</v>
      </c>
      <c r="K46" s="149" t="s">
        <v>127</v>
      </c>
      <c r="L46" s="150">
        <v>3</v>
      </c>
      <c r="M46" s="140" t="str">
        <f t="shared" si="47"/>
        <v>C40</v>
      </c>
      <c r="N46" s="140" t="str">
        <f t="shared" si="48"/>
        <v>Отстойник О-1.1(О-1.2), нефть, попутный нефтяной газ, пластовая вода</v>
      </c>
      <c r="O46" s="140" t="str">
        <f t="shared" si="49"/>
        <v>Частичное-ликвидация</v>
      </c>
      <c r="P46" s="140" t="s">
        <v>46</v>
      </c>
      <c r="Q46" s="140" t="s">
        <v>46</v>
      </c>
      <c r="R46" s="140" t="s">
        <v>46</v>
      </c>
      <c r="S46" s="140" t="s">
        <v>46</v>
      </c>
      <c r="T46" s="140" t="s">
        <v>46</v>
      </c>
      <c r="U46" s="140" t="s">
        <v>46</v>
      </c>
      <c r="V46" s="140" t="s">
        <v>46</v>
      </c>
      <c r="W46" s="140" t="s">
        <v>46</v>
      </c>
      <c r="X46" s="140" t="s">
        <v>46</v>
      </c>
      <c r="Y46" s="140" t="s">
        <v>46</v>
      </c>
      <c r="Z46" s="140" t="s">
        <v>46</v>
      </c>
      <c r="AA46" s="140" t="s">
        <v>46</v>
      </c>
      <c r="AB46" s="140" t="s">
        <v>46</v>
      </c>
      <c r="AC46" s="140" t="s">
        <v>46</v>
      </c>
      <c r="AD46" s="140" t="s">
        <v>46</v>
      </c>
      <c r="AE46" s="140" t="s">
        <v>46</v>
      </c>
      <c r="AF46" s="140" t="s">
        <v>46</v>
      </c>
      <c r="AG46" s="140" t="s">
        <v>46</v>
      </c>
      <c r="AH46" s="140" t="s">
        <v>46</v>
      </c>
      <c r="AI46" s="140" t="s">
        <v>46</v>
      </c>
      <c r="AJ46" s="140">
        <v>0</v>
      </c>
      <c r="AK46" s="140">
        <v>1</v>
      </c>
      <c r="AL46" s="140">
        <f>0.1*$AL$2</f>
        <v>7.5000000000000011E-2</v>
      </c>
      <c r="AM46" s="140">
        <f>AM42</f>
        <v>2.7E-2</v>
      </c>
      <c r="AN46" s="140">
        <f>ROUNDUP(AN42/3,0)</f>
        <v>1</v>
      </c>
      <c r="AQ46" s="143">
        <f>AM46*I46+AL46</f>
        <v>0.18030000000000002</v>
      </c>
      <c r="AR46" s="143">
        <f t="shared" si="52"/>
        <v>1.8030000000000001E-2</v>
      </c>
      <c r="AS46" s="144">
        <f t="shared" si="53"/>
        <v>0.25</v>
      </c>
      <c r="AT46" s="144">
        <f t="shared" si="54"/>
        <v>0.1120825</v>
      </c>
      <c r="AU46" s="143">
        <f>1333*J43*POWER(10,-6)*10</f>
        <v>1.0077480000000001E-4</v>
      </c>
      <c r="AV46" s="144">
        <f t="shared" si="50"/>
        <v>0.56051327480000002</v>
      </c>
      <c r="AW46" s="145">
        <f t="shared" si="55"/>
        <v>0</v>
      </c>
      <c r="AX46" s="145">
        <f t="shared" si="56"/>
        <v>1.6000000000000004E-6</v>
      </c>
      <c r="AY46" s="145">
        <f t="shared" si="59"/>
        <v>8.9682123968000027E-7</v>
      </c>
      <c r="AZ46" s="297">
        <f>AW46/DB!$B$23</f>
        <v>0</v>
      </c>
      <c r="BA46" s="297">
        <f>AX46/DB!$B$23</f>
        <v>1.9277108433734946E-9</v>
      </c>
    </row>
    <row r="47" spans="1:53" s="140" customFormat="1" x14ac:dyDescent="0.3">
      <c r="A47" s="131" t="s">
        <v>774</v>
      </c>
      <c r="B47" s="131" t="str">
        <f>B42</f>
        <v>Отстойник О-1.1(О-1.2), нефть, попутный нефтяной газ, пластовая вода</v>
      </c>
      <c r="C47" s="13" t="s">
        <v>162</v>
      </c>
      <c r="D47" s="133" t="s">
        <v>161</v>
      </c>
      <c r="E47" s="146">
        <f>E46</f>
        <v>1.0000000000000001E-5</v>
      </c>
      <c r="F47" s="147">
        <f t="shared" si="58"/>
        <v>1</v>
      </c>
      <c r="G47" s="131">
        <v>4.0000000000000008E-2</v>
      </c>
      <c r="H47" s="135">
        <f t="shared" si="51"/>
        <v>4.0000000000000009E-7</v>
      </c>
      <c r="I47" s="148">
        <f>I45*0.15</f>
        <v>0.58499999999999996</v>
      </c>
      <c r="J47" s="137">
        <f>I47</f>
        <v>0.58499999999999996</v>
      </c>
      <c r="K47" s="152" t="s">
        <v>138</v>
      </c>
      <c r="L47" s="153">
        <v>12</v>
      </c>
      <c r="M47" s="140" t="str">
        <f t="shared" si="47"/>
        <v>C41</v>
      </c>
      <c r="N47" s="140" t="str">
        <f t="shared" si="48"/>
        <v>Отстойник О-1.1(О-1.2), нефть, попутный нефтяной газ, пластовая вода</v>
      </c>
      <c r="O47" s="140" t="str">
        <f t="shared" si="49"/>
        <v>Частичное факел</v>
      </c>
      <c r="P47" s="140" t="s">
        <v>46</v>
      </c>
      <c r="Q47" s="140" t="s">
        <v>46</v>
      </c>
      <c r="R47" s="140" t="s">
        <v>46</v>
      </c>
      <c r="S47" s="140" t="s">
        <v>46</v>
      </c>
      <c r="T47" s="140" t="s">
        <v>46</v>
      </c>
      <c r="U47" s="140" t="s">
        <v>46</v>
      </c>
      <c r="V47" s="140" t="s">
        <v>46</v>
      </c>
      <c r="W47" s="140" t="s">
        <v>46</v>
      </c>
      <c r="X47" s="140" t="s">
        <v>46</v>
      </c>
      <c r="Y47" s="140">
        <v>11</v>
      </c>
      <c r="Z47" s="140">
        <v>2</v>
      </c>
      <c r="AA47" s="140" t="s">
        <v>46</v>
      </c>
      <c r="AB47" s="140" t="s">
        <v>46</v>
      </c>
      <c r="AC47" s="140" t="s">
        <v>46</v>
      </c>
      <c r="AD47" s="140" t="s">
        <v>46</v>
      </c>
      <c r="AE47" s="140" t="s">
        <v>46</v>
      </c>
      <c r="AF47" s="140" t="s">
        <v>46</v>
      </c>
      <c r="AG47" s="140" t="s">
        <v>46</v>
      </c>
      <c r="AH47" s="140" t="s">
        <v>46</v>
      </c>
      <c r="AI47" s="140" t="s">
        <v>46</v>
      </c>
      <c r="AJ47" s="140">
        <v>0</v>
      </c>
      <c r="AK47" s="140">
        <v>1</v>
      </c>
      <c r="AL47" s="140">
        <f>0.1*$AL$2</f>
        <v>7.5000000000000011E-2</v>
      </c>
      <c r="AM47" s="140">
        <f>AM42</f>
        <v>2.7E-2</v>
      </c>
      <c r="AN47" s="140">
        <f>AN46</f>
        <v>1</v>
      </c>
      <c r="AQ47" s="143">
        <f>AM47*I47+AL47</f>
        <v>9.0795000000000015E-2</v>
      </c>
      <c r="AR47" s="143">
        <f t="shared" si="52"/>
        <v>9.0795000000000025E-3</v>
      </c>
      <c r="AS47" s="144">
        <f t="shared" si="53"/>
        <v>0.25</v>
      </c>
      <c r="AT47" s="144">
        <f t="shared" si="54"/>
        <v>8.7468625000000008E-2</v>
      </c>
      <c r="AU47" s="143">
        <f>10068.2*J47*POWER(10,-6)</f>
        <v>5.8898969999999998E-3</v>
      </c>
      <c r="AV47" s="144">
        <f t="shared" si="50"/>
        <v>0.44323302200000003</v>
      </c>
      <c r="AW47" s="145">
        <f t="shared" si="55"/>
        <v>0</v>
      </c>
      <c r="AX47" s="145">
        <f t="shared" si="56"/>
        <v>4.0000000000000009E-7</v>
      </c>
      <c r="AY47" s="145">
        <f t="shared" si="59"/>
        <v>1.7729320880000005E-7</v>
      </c>
      <c r="AZ47" s="297">
        <f>AW47/DB!$B$23</f>
        <v>0</v>
      </c>
      <c r="BA47" s="297">
        <f>AX47/DB!$B$23</f>
        <v>4.8192771084337365E-10</v>
      </c>
    </row>
    <row r="48" spans="1:53" s="140" customFormat="1" x14ac:dyDescent="0.3">
      <c r="A48" s="131" t="s">
        <v>775</v>
      </c>
      <c r="B48" s="131" t="str">
        <f>B42</f>
        <v>Отстойник О-1.1(О-1.2), нефть, попутный нефтяной газ, пластовая вода</v>
      </c>
      <c r="C48" s="13" t="s">
        <v>163</v>
      </c>
      <c r="D48" s="133" t="s">
        <v>112</v>
      </c>
      <c r="E48" s="146">
        <f>E46</f>
        <v>1.0000000000000001E-5</v>
      </c>
      <c r="F48" s="147">
        <f t="shared" si="58"/>
        <v>1</v>
      </c>
      <c r="G48" s="131">
        <v>0.15200000000000002</v>
      </c>
      <c r="H48" s="135">
        <f t="shared" si="51"/>
        <v>1.5200000000000003E-6</v>
      </c>
      <c r="I48" s="148">
        <f>I45*0.15</f>
        <v>0.58499999999999996</v>
      </c>
      <c r="J48" s="137">
        <f>I48</f>
        <v>0.58499999999999996</v>
      </c>
      <c r="K48" s="207" t="s">
        <v>468</v>
      </c>
      <c r="L48" s="295" t="s">
        <v>709</v>
      </c>
      <c r="M48" s="140" t="str">
        <f t="shared" si="47"/>
        <v>C42</v>
      </c>
      <c r="N48" s="140" t="str">
        <f t="shared" si="48"/>
        <v>Отстойник О-1.1(О-1.2), нефть, попутный нефтяной газ, пластовая вода</v>
      </c>
      <c r="O48" s="140" t="str">
        <f t="shared" si="49"/>
        <v>Частичное-пожар-вспышка</v>
      </c>
      <c r="P48" s="140" t="s">
        <v>46</v>
      </c>
      <c r="Q48" s="140" t="s">
        <v>46</v>
      </c>
      <c r="R48" s="140" t="s">
        <v>46</v>
      </c>
      <c r="S48" s="140" t="s">
        <v>46</v>
      </c>
      <c r="T48" s="140" t="s">
        <v>46</v>
      </c>
      <c r="U48" s="140" t="s">
        <v>46</v>
      </c>
      <c r="V48" s="140" t="s">
        <v>46</v>
      </c>
      <c r="W48" s="140" t="s">
        <v>46</v>
      </c>
      <c r="X48" s="140" t="s">
        <v>46</v>
      </c>
      <c r="Y48" s="140" t="s">
        <v>46</v>
      </c>
      <c r="Z48" s="140" t="s">
        <v>46</v>
      </c>
      <c r="AA48" s="140">
        <v>28.08</v>
      </c>
      <c r="AB48" s="140">
        <v>33.700000000000003</v>
      </c>
      <c r="AC48" s="140" t="s">
        <v>46</v>
      </c>
      <c r="AD48" s="140" t="s">
        <v>46</v>
      </c>
      <c r="AE48" s="140" t="s">
        <v>46</v>
      </c>
      <c r="AF48" s="140" t="s">
        <v>46</v>
      </c>
      <c r="AG48" s="140" t="s">
        <v>46</v>
      </c>
      <c r="AH48" s="140" t="s">
        <v>46</v>
      </c>
      <c r="AI48" s="140" t="s">
        <v>46</v>
      </c>
      <c r="AJ48" s="140">
        <v>0</v>
      </c>
      <c r="AK48" s="140">
        <v>1</v>
      </c>
      <c r="AL48" s="140">
        <f>0.1*$AL$2</f>
        <v>7.5000000000000011E-2</v>
      </c>
      <c r="AM48" s="140">
        <f>AM42</f>
        <v>2.7E-2</v>
      </c>
      <c r="AN48" s="140">
        <f>ROUNDUP(AN42/3,0)</f>
        <v>1</v>
      </c>
      <c r="AQ48" s="143">
        <f>AM48*I48+AL48</f>
        <v>9.0795000000000015E-2</v>
      </c>
      <c r="AR48" s="143">
        <f t="shared" si="52"/>
        <v>9.0795000000000025E-3</v>
      </c>
      <c r="AS48" s="144">
        <f t="shared" si="53"/>
        <v>0.25</v>
      </c>
      <c r="AT48" s="144">
        <f t="shared" si="54"/>
        <v>8.7468625000000008E-2</v>
      </c>
      <c r="AU48" s="143">
        <f>10068.2*J48*POWER(10,-6)</f>
        <v>5.8898969999999998E-3</v>
      </c>
      <c r="AV48" s="144">
        <f t="shared" si="50"/>
        <v>0.44323302200000003</v>
      </c>
      <c r="AW48" s="145">
        <f t="shared" si="55"/>
        <v>0</v>
      </c>
      <c r="AX48" s="145">
        <f t="shared" si="56"/>
        <v>1.5200000000000003E-6</v>
      </c>
      <c r="AY48" s="145">
        <f t="shared" si="59"/>
        <v>6.7371419344000019E-7</v>
      </c>
      <c r="AZ48" s="297">
        <f>AW48/DB!$B$23</f>
        <v>0</v>
      </c>
      <c r="BA48" s="297">
        <f>AX48/DB!$B$23</f>
        <v>1.8313253012048197E-9</v>
      </c>
    </row>
    <row r="49" spans="1:53" s="140" customFormat="1" ht="15" thickBot="1" x14ac:dyDescent="0.35">
      <c r="A49" s="131" t="s">
        <v>776</v>
      </c>
      <c r="B49" s="131" t="str">
        <f>B42</f>
        <v>Отстойник О-1.1(О-1.2), нефть, попутный нефтяной газ, пластовая вода</v>
      </c>
      <c r="C49" s="13" t="s">
        <v>164</v>
      </c>
      <c r="D49" s="133" t="s">
        <v>27</v>
      </c>
      <c r="E49" s="146">
        <f>E46</f>
        <v>1.0000000000000001E-5</v>
      </c>
      <c r="F49" s="147">
        <f t="shared" si="58"/>
        <v>1</v>
      </c>
      <c r="G49" s="131">
        <v>0.6080000000000001</v>
      </c>
      <c r="H49" s="135">
        <f t="shared" si="51"/>
        <v>6.0800000000000011E-6</v>
      </c>
      <c r="I49" s="148">
        <f>I45*0.15</f>
        <v>0.58499999999999996</v>
      </c>
      <c r="J49" s="151">
        <v>0</v>
      </c>
      <c r="K49" s="154"/>
      <c r="L49" s="155"/>
      <c r="M49" s="140" t="str">
        <f t="shared" si="47"/>
        <v>C43</v>
      </c>
      <c r="N49" s="140" t="str">
        <f t="shared" si="48"/>
        <v>Отстойник О-1.1(О-1.2), нефть, попутный нефтяной газ, пластовая вода</v>
      </c>
      <c r="O49" s="140" t="str">
        <f t="shared" si="49"/>
        <v>Частичное-ликвидация</v>
      </c>
      <c r="P49" s="140" t="s">
        <v>46</v>
      </c>
      <c r="Q49" s="140" t="s">
        <v>46</v>
      </c>
      <c r="R49" s="140" t="s">
        <v>46</v>
      </c>
      <c r="S49" s="140" t="s">
        <v>46</v>
      </c>
      <c r="T49" s="140" t="s">
        <v>46</v>
      </c>
      <c r="U49" s="140" t="s">
        <v>46</v>
      </c>
      <c r="V49" s="140" t="s">
        <v>46</v>
      </c>
      <c r="W49" s="140" t="s">
        <v>46</v>
      </c>
      <c r="X49" s="140" t="s">
        <v>46</v>
      </c>
      <c r="Y49" s="140" t="s">
        <v>46</v>
      </c>
      <c r="Z49" s="140" t="s">
        <v>46</v>
      </c>
      <c r="AA49" s="140" t="s">
        <v>46</v>
      </c>
      <c r="AB49" s="140" t="s">
        <v>46</v>
      </c>
      <c r="AC49" s="140" t="s">
        <v>46</v>
      </c>
      <c r="AD49" s="140" t="s">
        <v>46</v>
      </c>
      <c r="AE49" s="140" t="s">
        <v>46</v>
      </c>
      <c r="AF49" s="140" t="s">
        <v>46</v>
      </c>
      <c r="AG49" s="140" t="s">
        <v>46</v>
      </c>
      <c r="AH49" s="140" t="s">
        <v>46</v>
      </c>
      <c r="AI49" s="140" t="s">
        <v>46</v>
      </c>
      <c r="AJ49" s="140">
        <v>0</v>
      </c>
      <c r="AK49" s="140">
        <v>0</v>
      </c>
      <c r="AL49" s="140">
        <f>0.1*$AL$2</f>
        <v>7.5000000000000011E-2</v>
      </c>
      <c r="AM49" s="140">
        <f>AM42</f>
        <v>2.7E-2</v>
      </c>
      <c r="AN49" s="140">
        <f>ROUNDUP(AN42/3,0)</f>
        <v>1</v>
      </c>
      <c r="AQ49" s="143">
        <f>AM49*I49*0.1+AL49</f>
        <v>7.6579500000000009E-2</v>
      </c>
      <c r="AR49" s="143">
        <f t="shared" si="52"/>
        <v>7.657950000000001E-3</v>
      </c>
      <c r="AS49" s="144">
        <f t="shared" si="53"/>
        <v>0</v>
      </c>
      <c r="AT49" s="144">
        <f t="shared" si="54"/>
        <v>2.1059362500000001E-2</v>
      </c>
      <c r="AU49" s="143">
        <f>1333*J47*POWER(10,-6)</f>
        <v>7.7980499999999995E-4</v>
      </c>
      <c r="AV49" s="144">
        <f t="shared" si="50"/>
        <v>0.10607661750000001</v>
      </c>
      <c r="AW49" s="145">
        <f t="shared" si="55"/>
        <v>0</v>
      </c>
      <c r="AX49" s="145">
        <f t="shared" si="56"/>
        <v>0</v>
      </c>
      <c r="AY49" s="145">
        <f t="shared" si="59"/>
        <v>6.4494583440000018E-7</v>
      </c>
      <c r="AZ49" s="297">
        <f>AW49/DB!$B$23</f>
        <v>0</v>
      </c>
      <c r="BA49" s="297">
        <f>AX49/DB!$B$23</f>
        <v>0</v>
      </c>
    </row>
    <row r="50" spans="1:53" s="140" customFormat="1" x14ac:dyDescent="0.3">
      <c r="A50" s="194" t="s">
        <v>777</v>
      </c>
      <c r="B50" s="194" t="str">
        <f>B42</f>
        <v>Отстойник О-1.1(О-1.2), нефть, попутный нефтяной газ, пластовая вода</v>
      </c>
      <c r="C50" s="194" t="s">
        <v>341</v>
      </c>
      <c r="D50" s="194" t="s">
        <v>342</v>
      </c>
      <c r="E50" s="195">
        <v>2.5000000000000001E-5</v>
      </c>
      <c r="F50" s="147">
        <v>1</v>
      </c>
      <c r="G50" s="194">
        <v>1</v>
      </c>
      <c r="H50" s="196">
        <f t="shared" si="51"/>
        <v>2.5000000000000001E-5</v>
      </c>
      <c r="I50" s="197">
        <f>I42</f>
        <v>26</v>
      </c>
      <c r="J50" s="197">
        <f>J42*0.1</f>
        <v>2.6</v>
      </c>
      <c r="K50" s="194"/>
      <c r="L50" s="194"/>
      <c r="M50" s="198" t="str">
        <f t="shared" si="47"/>
        <v>C44</v>
      </c>
      <c r="N50" s="198"/>
      <c r="O50" s="198"/>
      <c r="P50" s="198">
        <v>10.9</v>
      </c>
      <c r="Q50" s="198">
        <v>15.3</v>
      </c>
      <c r="R50" s="198">
        <v>22.4</v>
      </c>
      <c r="S50" s="198">
        <v>43.4</v>
      </c>
      <c r="T50" s="198"/>
      <c r="U50" s="198"/>
      <c r="V50" s="198" t="s">
        <v>46</v>
      </c>
      <c r="W50" s="198" t="s">
        <v>46</v>
      </c>
      <c r="X50" s="198" t="s">
        <v>46</v>
      </c>
      <c r="Y50" s="198" t="s">
        <v>46</v>
      </c>
      <c r="Z50" s="198"/>
      <c r="AA50" s="198"/>
      <c r="AB50" s="198"/>
      <c r="AC50" s="198"/>
      <c r="AD50" s="198"/>
      <c r="AE50" s="198">
        <v>36.5</v>
      </c>
      <c r="AF50" s="198">
        <v>66.5</v>
      </c>
      <c r="AG50" s="198">
        <v>83.5</v>
      </c>
      <c r="AH50" s="198">
        <v>112.5</v>
      </c>
      <c r="AI50" s="198"/>
      <c r="AJ50" s="198">
        <v>0</v>
      </c>
      <c r="AK50" s="198">
        <v>2</v>
      </c>
      <c r="AL50" s="198">
        <f>AL42</f>
        <v>0.75</v>
      </c>
      <c r="AM50" s="198">
        <f>AM42</f>
        <v>2.7E-2</v>
      </c>
      <c r="AN50" s="198">
        <v>5</v>
      </c>
      <c r="AO50" s="198"/>
      <c r="AP50" s="198"/>
      <c r="AQ50" s="199">
        <f>AM50*I50+AL50</f>
        <v>1.452</v>
      </c>
      <c r="AR50" s="199">
        <f>0.1*AQ50</f>
        <v>0.1452</v>
      </c>
      <c r="AS50" s="200">
        <f>AJ50*3+0.25*AK50</f>
        <v>0.5</v>
      </c>
      <c r="AT50" s="200">
        <f>SUM(AQ50:AS50)/4</f>
        <v>0.52429999999999999</v>
      </c>
      <c r="AU50" s="199">
        <f>10068.2*J50*POWER(10,-6)</f>
        <v>2.617732E-2</v>
      </c>
      <c r="AV50" s="200">
        <f t="shared" si="50"/>
        <v>2.6476773199999997</v>
      </c>
      <c r="AW50" s="201">
        <f>AJ50*H50</f>
        <v>0</v>
      </c>
      <c r="AX50" s="201">
        <f>H50*AK50</f>
        <v>5.0000000000000002E-5</v>
      </c>
      <c r="AY50" s="201">
        <f>H50*AV50</f>
        <v>6.6191932999999989E-5</v>
      </c>
      <c r="AZ50" s="297">
        <f>AW50/DB!$B$23</f>
        <v>0</v>
      </c>
      <c r="BA50" s="297">
        <f>AX50/DB!$B$23</f>
        <v>6.0240963855421685E-8</v>
      </c>
    </row>
    <row r="51" spans="1:53" ht="15" thickBot="1" x14ac:dyDescent="0.35"/>
    <row r="52" spans="1:53" s="92" customFormat="1" ht="15" thickBot="1" x14ac:dyDescent="0.35">
      <c r="A52" s="82" t="s">
        <v>778</v>
      </c>
      <c r="B52" s="83" t="s">
        <v>715</v>
      </c>
      <c r="C52" s="84" t="s">
        <v>143</v>
      </c>
      <c r="D52" s="85" t="s">
        <v>25</v>
      </c>
      <c r="E52" s="86">
        <v>1.0000000000000001E-5</v>
      </c>
      <c r="F52" s="83">
        <v>4</v>
      </c>
      <c r="G52" s="82">
        <v>0.1</v>
      </c>
      <c r="H52" s="87">
        <f t="shared" ref="H52:H57" si="60">E52*F52*G52</f>
        <v>4.0000000000000007E-6</v>
      </c>
      <c r="I52" s="88">
        <v>1653</v>
      </c>
      <c r="J52" s="89">
        <f>I52</f>
        <v>1653</v>
      </c>
      <c r="K52" s="90" t="s">
        <v>122</v>
      </c>
      <c r="L52" s="91">
        <v>3500</v>
      </c>
      <c r="M52" s="92" t="str">
        <f t="shared" ref="M52:N57" si="61">A52</f>
        <v>C45</v>
      </c>
      <c r="N52" s="92" t="str">
        <f t="shared" si="61"/>
        <v>РВС №1-4, нефть</v>
      </c>
      <c r="O52" s="92" t="str">
        <f t="shared" ref="O52:O57" si="62">D52</f>
        <v>Полное-пожар</v>
      </c>
      <c r="P52" s="92">
        <v>46.9</v>
      </c>
      <c r="Q52" s="92">
        <v>63.3</v>
      </c>
      <c r="R52" s="92">
        <v>87.4</v>
      </c>
      <c r="S52" s="92">
        <v>154.9</v>
      </c>
      <c r="T52" s="92" t="s">
        <v>46</v>
      </c>
      <c r="U52" s="92" t="s">
        <v>46</v>
      </c>
      <c r="V52" s="92" t="s">
        <v>46</v>
      </c>
      <c r="W52" s="92" t="s">
        <v>46</v>
      </c>
      <c r="X52" s="92" t="s">
        <v>46</v>
      </c>
      <c r="Y52" s="92" t="s">
        <v>46</v>
      </c>
      <c r="Z52" s="92" t="s">
        <v>46</v>
      </c>
      <c r="AA52" s="92" t="s">
        <v>46</v>
      </c>
      <c r="AB52" s="92" t="s">
        <v>46</v>
      </c>
      <c r="AC52" s="92" t="s">
        <v>46</v>
      </c>
      <c r="AD52" s="92" t="s">
        <v>46</v>
      </c>
      <c r="AE52" s="92" t="s">
        <v>46</v>
      </c>
      <c r="AF52" s="92" t="s">
        <v>46</v>
      </c>
      <c r="AG52" s="92" t="s">
        <v>46</v>
      </c>
      <c r="AH52" s="92" t="s">
        <v>46</v>
      </c>
      <c r="AI52" s="92" t="s">
        <v>46</v>
      </c>
      <c r="AJ52" s="93">
        <v>1</v>
      </c>
      <c r="AK52" s="93">
        <v>2</v>
      </c>
      <c r="AL52" s="94">
        <v>0.75</v>
      </c>
      <c r="AM52" s="94">
        <v>2.7E-2</v>
      </c>
      <c r="AN52" s="94">
        <v>3</v>
      </c>
      <c r="AQ52" s="95">
        <f>AM52*I52+AL52</f>
        <v>45.381</v>
      </c>
      <c r="AR52" s="95">
        <f t="shared" ref="AR52:AR57" si="63">0.1*AQ52</f>
        <v>4.5381</v>
      </c>
      <c r="AS52" s="96">
        <f t="shared" ref="AS52:AS57" si="64">AJ52*3+0.25*AK52</f>
        <v>3.5</v>
      </c>
      <c r="AT52" s="96">
        <f t="shared" ref="AT52:AT57" si="65">SUM(AQ52:AS52)/4</f>
        <v>13.354775</v>
      </c>
      <c r="AU52" s="95">
        <f>10068.2*J52*POWER(10,-6)</f>
        <v>16.642734600000001</v>
      </c>
      <c r="AV52" s="96">
        <f t="shared" ref="AV52:AV57" si="66">AU52+AT52+AS52+AR52+AQ52</f>
        <v>83.416609600000001</v>
      </c>
      <c r="AW52" s="97">
        <f t="shared" ref="AW52:AW57" si="67">AJ52*H52</f>
        <v>4.0000000000000007E-6</v>
      </c>
      <c r="AX52" s="97">
        <f t="shared" ref="AX52:AX57" si="68">H52*AK52</f>
        <v>8.0000000000000013E-6</v>
      </c>
      <c r="AY52" s="97">
        <f t="shared" ref="AY52:AY57" si="69">H52*AV52</f>
        <v>3.3366643840000005E-4</v>
      </c>
      <c r="AZ52" s="297">
        <f>AW52/DB!$B$23</f>
        <v>4.8192771084337357E-9</v>
      </c>
      <c r="BA52" s="297">
        <f>AX52/DB!$B$23</f>
        <v>9.6385542168674713E-9</v>
      </c>
    </row>
    <row r="53" spans="1:53" s="92" customFormat="1" ht="15" thickBot="1" x14ac:dyDescent="0.35">
      <c r="A53" s="82" t="s">
        <v>779</v>
      </c>
      <c r="B53" s="82" t="str">
        <f>B52</f>
        <v>РВС №1-4, нефть</v>
      </c>
      <c r="C53" s="84" t="s">
        <v>149</v>
      </c>
      <c r="D53" s="85" t="s">
        <v>28</v>
      </c>
      <c r="E53" s="98">
        <f>E52</f>
        <v>1.0000000000000001E-5</v>
      </c>
      <c r="F53" s="99">
        <f>F52</f>
        <v>4</v>
      </c>
      <c r="G53" s="82">
        <v>0.18000000000000002</v>
      </c>
      <c r="H53" s="87">
        <f t="shared" si="60"/>
        <v>7.2000000000000014E-6</v>
      </c>
      <c r="I53" s="100">
        <f>I52</f>
        <v>1653</v>
      </c>
      <c r="J53" s="190">
        <f>POWER(10,-6)*25*SQRT(100)*L1*L52/1000*0.1</f>
        <v>0.10500000000000001</v>
      </c>
      <c r="K53" s="90" t="s">
        <v>123</v>
      </c>
      <c r="L53" s="91">
        <v>0</v>
      </c>
      <c r="M53" s="92" t="str">
        <f t="shared" si="61"/>
        <v>C46</v>
      </c>
      <c r="N53" s="92" t="str">
        <f t="shared" si="61"/>
        <v>РВС №1-4, нефть</v>
      </c>
      <c r="O53" s="92" t="str">
        <f t="shared" si="62"/>
        <v>Полное-взрыв</v>
      </c>
      <c r="P53" s="92" t="s">
        <v>46</v>
      </c>
      <c r="Q53" s="92" t="s">
        <v>46</v>
      </c>
      <c r="R53" s="92" t="s">
        <v>46</v>
      </c>
      <c r="S53" s="92" t="s">
        <v>46</v>
      </c>
      <c r="T53" s="92">
        <v>0</v>
      </c>
      <c r="U53" s="92">
        <v>0</v>
      </c>
      <c r="V53" s="92">
        <v>35.6</v>
      </c>
      <c r="W53" s="92">
        <v>119.1</v>
      </c>
      <c r="X53" s="92">
        <v>174.1</v>
      </c>
      <c r="Y53" s="92" t="s">
        <v>46</v>
      </c>
      <c r="Z53" s="92" t="s">
        <v>46</v>
      </c>
      <c r="AA53" s="92" t="s">
        <v>46</v>
      </c>
      <c r="AB53" s="92" t="s">
        <v>46</v>
      </c>
      <c r="AC53" s="92" t="s">
        <v>46</v>
      </c>
      <c r="AD53" s="92" t="s">
        <v>46</v>
      </c>
      <c r="AE53" s="92" t="s">
        <v>46</v>
      </c>
      <c r="AF53" s="92" t="s">
        <v>46</v>
      </c>
      <c r="AG53" s="92" t="s">
        <v>46</v>
      </c>
      <c r="AH53" s="92" t="s">
        <v>46</v>
      </c>
      <c r="AI53" s="92" t="s">
        <v>46</v>
      </c>
      <c r="AJ53" s="93">
        <v>3</v>
      </c>
      <c r="AK53" s="93">
        <v>2</v>
      </c>
      <c r="AL53" s="92">
        <f>AL52</f>
        <v>0.75</v>
      </c>
      <c r="AM53" s="92">
        <f>AM52</f>
        <v>2.7E-2</v>
      </c>
      <c r="AN53" s="92">
        <f>AN52</f>
        <v>3</v>
      </c>
      <c r="AQ53" s="95">
        <f t="shared" ref="AQ53:AQ57" si="70">AM53*I53+AL53</f>
        <v>45.381</v>
      </c>
      <c r="AR53" s="95">
        <f t="shared" si="63"/>
        <v>4.5381</v>
      </c>
      <c r="AS53" s="96">
        <f t="shared" si="64"/>
        <v>9.5</v>
      </c>
      <c r="AT53" s="96">
        <f t="shared" si="65"/>
        <v>14.854775</v>
      </c>
      <c r="AU53" s="95">
        <v>16.642734600000001</v>
      </c>
      <c r="AV53" s="96">
        <f t="shared" si="66"/>
        <v>90.916609600000001</v>
      </c>
      <c r="AW53" s="97">
        <f t="shared" si="67"/>
        <v>2.1600000000000003E-5</v>
      </c>
      <c r="AX53" s="97">
        <f t="shared" si="68"/>
        <v>1.4400000000000003E-5</v>
      </c>
      <c r="AY53" s="97">
        <f t="shared" si="69"/>
        <v>6.5459958912000014E-4</v>
      </c>
      <c r="AZ53" s="297">
        <f>AW53/DB!$B$23</f>
        <v>2.6024096385542173E-8</v>
      </c>
      <c r="BA53" s="297">
        <f>AX53/DB!$B$23</f>
        <v>1.734939759036145E-8</v>
      </c>
    </row>
    <row r="54" spans="1:53" s="92" customFormat="1" x14ac:dyDescent="0.3">
      <c r="A54" s="82" t="s">
        <v>780</v>
      </c>
      <c r="B54" s="82" t="str">
        <f>B52</f>
        <v>РВС №1-4, нефть</v>
      </c>
      <c r="C54" s="84" t="s">
        <v>145</v>
      </c>
      <c r="D54" s="85" t="s">
        <v>26</v>
      </c>
      <c r="E54" s="98">
        <f>E52</f>
        <v>1.0000000000000001E-5</v>
      </c>
      <c r="F54" s="99">
        <f>F52</f>
        <v>4</v>
      </c>
      <c r="G54" s="82">
        <v>0.72000000000000008</v>
      </c>
      <c r="H54" s="87">
        <f t="shared" si="60"/>
        <v>2.8800000000000005E-5</v>
      </c>
      <c r="I54" s="100">
        <f>I52</f>
        <v>1653</v>
      </c>
      <c r="J54" s="102">
        <v>0</v>
      </c>
      <c r="K54" s="90" t="s">
        <v>124</v>
      </c>
      <c r="L54" s="91">
        <v>0</v>
      </c>
      <c r="M54" s="92" t="str">
        <f t="shared" si="61"/>
        <v>C47</v>
      </c>
      <c r="N54" s="92" t="str">
        <f t="shared" si="61"/>
        <v>РВС №1-4, нефть</v>
      </c>
      <c r="O54" s="92" t="str">
        <f t="shared" si="62"/>
        <v>Полное-ликвидация</v>
      </c>
      <c r="P54" s="92" t="s">
        <v>46</v>
      </c>
      <c r="Q54" s="92" t="s">
        <v>46</v>
      </c>
      <c r="R54" s="92" t="s">
        <v>46</v>
      </c>
      <c r="S54" s="92" t="s">
        <v>46</v>
      </c>
      <c r="T54" s="92" t="s">
        <v>46</v>
      </c>
      <c r="U54" s="92" t="s">
        <v>46</v>
      </c>
      <c r="V54" s="92" t="s">
        <v>46</v>
      </c>
      <c r="W54" s="92" t="s">
        <v>46</v>
      </c>
      <c r="X54" s="92" t="s">
        <v>46</v>
      </c>
      <c r="Y54" s="92" t="s">
        <v>46</v>
      </c>
      <c r="Z54" s="92" t="s">
        <v>46</v>
      </c>
      <c r="AA54" s="92" t="s">
        <v>46</v>
      </c>
      <c r="AB54" s="92" t="s">
        <v>46</v>
      </c>
      <c r="AC54" s="92" t="s">
        <v>46</v>
      </c>
      <c r="AD54" s="92" t="s">
        <v>46</v>
      </c>
      <c r="AE54" s="92" t="s">
        <v>46</v>
      </c>
      <c r="AF54" s="92" t="s">
        <v>46</v>
      </c>
      <c r="AG54" s="92" t="s">
        <v>46</v>
      </c>
      <c r="AH54" s="92" t="s">
        <v>46</v>
      </c>
      <c r="AI54" s="92" t="s">
        <v>46</v>
      </c>
      <c r="AJ54" s="92">
        <v>0</v>
      </c>
      <c r="AK54" s="92">
        <v>0</v>
      </c>
      <c r="AL54" s="92">
        <f>AL52</f>
        <v>0.75</v>
      </c>
      <c r="AM54" s="92">
        <f>AM52</f>
        <v>2.7E-2</v>
      </c>
      <c r="AN54" s="92">
        <f>AN52</f>
        <v>3</v>
      </c>
      <c r="AQ54" s="95">
        <f t="shared" si="70"/>
        <v>45.381</v>
      </c>
      <c r="AR54" s="95">
        <f t="shared" si="63"/>
        <v>4.5381</v>
      </c>
      <c r="AS54" s="96">
        <f t="shared" si="64"/>
        <v>0</v>
      </c>
      <c r="AT54" s="96">
        <f t="shared" si="65"/>
        <v>12.479775</v>
      </c>
      <c r="AU54" s="95">
        <f>1333*J53*POWER(10,-6)</f>
        <v>1.3996500000000001E-4</v>
      </c>
      <c r="AV54" s="96">
        <f t="shared" si="66"/>
        <v>62.399014964999999</v>
      </c>
      <c r="AW54" s="97">
        <f t="shared" si="67"/>
        <v>0</v>
      </c>
      <c r="AX54" s="97">
        <f t="shared" si="68"/>
        <v>0</v>
      </c>
      <c r="AY54" s="97">
        <f t="shared" si="69"/>
        <v>1.7970916309920004E-3</v>
      </c>
      <c r="AZ54" s="297">
        <f>AW54/DB!$B$23</f>
        <v>0</v>
      </c>
      <c r="BA54" s="297">
        <f>AX54/DB!$B$23</f>
        <v>0</v>
      </c>
    </row>
    <row r="55" spans="1:53" s="92" customFormat="1" x14ac:dyDescent="0.3">
      <c r="A55" s="82" t="s">
        <v>781</v>
      </c>
      <c r="B55" s="82" t="str">
        <f>B52</f>
        <v>РВС №1-4, нефть</v>
      </c>
      <c r="C55" s="84" t="s">
        <v>146</v>
      </c>
      <c r="D55" s="85" t="s">
        <v>47</v>
      </c>
      <c r="E55" s="86">
        <v>1E-4</v>
      </c>
      <c r="F55" s="99">
        <f>F52</f>
        <v>4</v>
      </c>
      <c r="G55" s="82">
        <v>0.1</v>
      </c>
      <c r="H55" s="87">
        <f t="shared" si="60"/>
        <v>4.0000000000000003E-5</v>
      </c>
      <c r="I55" s="100">
        <f>0.15*I52</f>
        <v>247.95</v>
      </c>
      <c r="J55" s="89">
        <f>I55</f>
        <v>247.95</v>
      </c>
      <c r="K55" s="103" t="s">
        <v>126</v>
      </c>
      <c r="L55" s="104">
        <v>45390</v>
      </c>
      <c r="M55" s="92" t="str">
        <f t="shared" si="61"/>
        <v>C48</v>
      </c>
      <c r="N55" s="92" t="str">
        <f t="shared" si="61"/>
        <v>РВС №1-4, нефть</v>
      </c>
      <c r="O55" s="92" t="str">
        <f t="shared" si="62"/>
        <v>Частичное-пожар</v>
      </c>
      <c r="P55" s="92">
        <v>15.1</v>
      </c>
      <c r="Q55" s="92">
        <v>21.1</v>
      </c>
      <c r="R55" s="92">
        <v>30.5</v>
      </c>
      <c r="S55" s="92">
        <v>57.8</v>
      </c>
      <c r="T55" s="92" t="s">
        <v>46</v>
      </c>
      <c r="U55" s="92" t="s">
        <v>46</v>
      </c>
      <c r="V55" s="92" t="s">
        <v>46</v>
      </c>
      <c r="W55" s="92" t="s">
        <v>46</v>
      </c>
      <c r="X55" s="92" t="s">
        <v>46</v>
      </c>
      <c r="Y55" s="92" t="s">
        <v>46</v>
      </c>
      <c r="Z55" s="92" t="s">
        <v>46</v>
      </c>
      <c r="AA55" s="92" t="s">
        <v>46</v>
      </c>
      <c r="AB55" s="92" t="s">
        <v>46</v>
      </c>
      <c r="AC55" s="92" t="s">
        <v>46</v>
      </c>
      <c r="AD55" s="92" t="s">
        <v>46</v>
      </c>
      <c r="AE55" s="92" t="s">
        <v>46</v>
      </c>
      <c r="AF55" s="92" t="s">
        <v>46</v>
      </c>
      <c r="AG55" s="92" t="s">
        <v>46</v>
      </c>
      <c r="AH55" s="92" t="s">
        <v>46</v>
      </c>
      <c r="AI55" s="92" t="s">
        <v>46</v>
      </c>
      <c r="AJ55" s="92">
        <v>0</v>
      </c>
      <c r="AK55" s="92">
        <v>2</v>
      </c>
      <c r="AL55" s="92">
        <f>0.1*$AL$2</f>
        <v>7.5000000000000011E-2</v>
      </c>
      <c r="AM55" s="92">
        <f>AM52</f>
        <v>2.7E-2</v>
      </c>
      <c r="AN55" s="92">
        <f>ROUNDUP(AN52/3,0)</f>
        <v>1</v>
      </c>
      <c r="AQ55" s="95">
        <f t="shared" si="70"/>
        <v>6.7696499999999995</v>
      </c>
      <c r="AR55" s="95">
        <f t="shared" si="63"/>
        <v>0.67696500000000004</v>
      </c>
      <c r="AS55" s="96">
        <f t="shared" si="64"/>
        <v>0.5</v>
      </c>
      <c r="AT55" s="96">
        <f t="shared" si="65"/>
        <v>1.9866537499999999</v>
      </c>
      <c r="AU55" s="95">
        <f>10068.2*J55*POWER(10,-6)</f>
        <v>2.4964101899999998</v>
      </c>
      <c r="AV55" s="96">
        <f t="shared" si="66"/>
        <v>12.429678939999999</v>
      </c>
      <c r="AW55" s="97">
        <f t="shared" si="67"/>
        <v>0</v>
      </c>
      <c r="AX55" s="97">
        <f t="shared" si="68"/>
        <v>8.0000000000000007E-5</v>
      </c>
      <c r="AY55" s="97">
        <f t="shared" si="69"/>
        <v>4.9718715759999995E-4</v>
      </c>
      <c r="AZ55" s="297">
        <f>AW55/DB!$B$23</f>
        <v>0</v>
      </c>
      <c r="BA55" s="297">
        <f>AX55/DB!$B$23</f>
        <v>9.6385542168674707E-8</v>
      </c>
    </row>
    <row r="56" spans="1:53" s="92" customFormat="1" x14ac:dyDescent="0.3">
      <c r="A56" s="82" t="s">
        <v>782</v>
      </c>
      <c r="B56" s="82" t="str">
        <f>B52</f>
        <v>РВС №1-4, нефть</v>
      </c>
      <c r="C56" s="84" t="s">
        <v>147</v>
      </c>
      <c r="D56" s="85" t="s">
        <v>112</v>
      </c>
      <c r="E56" s="98">
        <f>E55</f>
        <v>1E-4</v>
      </c>
      <c r="F56" s="99">
        <f>F52</f>
        <v>4</v>
      </c>
      <c r="G56" s="82">
        <v>4.5000000000000005E-2</v>
      </c>
      <c r="H56" s="87">
        <f t="shared" si="60"/>
        <v>1.8000000000000004E-5</v>
      </c>
      <c r="I56" s="100">
        <f>0.15*I52</f>
        <v>247.95</v>
      </c>
      <c r="J56" s="89">
        <f>0.15*J53</f>
        <v>1.575E-2</v>
      </c>
      <c r="K56" s="103" t="s">
        <v>127</v>
      </c>
      <c r="L56" s="104">
        <v>3</v>
      </c>
      <c r="M56" s="92" t="str">
        <f t="shared" si="61"/>
        <v>C49</v>
      </c>
      <c r="N56" s="92" t="str">
        <f t="shared" si="61"/>
        <v>РВС №1-4, нефть</v>
      </c>
      <c r="O56" s="92" t="str">
        <f t="shared" si="62"/>
        <v>Частичное-пожар-вспышка</v>
      </c>
      <c r="P56" s="92" t="s">
        <v>46</v>
      </c>
      <c r="Q56" s="92" t="s">
        <v>46</v>
      </c>
      <c r="R56" s="92" t="s">
        <v>46</v>
      </c>
      <c r="S56" s="92" t="s">
        <v>46</v>
      </c>
      <c r="T56" s="92" t="s">
        <v>46</v>
      </c>
      <c r="U56" s="92" t="s">
        <v>46</v>
      </c>
      <c r="V56" s="92" t="s">
        <v>46</v>
      </c>
      <c r="W56" s="92" t="s">
        <v>46</v>
      </c>
      <c r="X56" s="92" t="s">
        <v>46</v>
      </c>
      <c r="Y56" s="92" t="s">
        <v>46</v>
      </c>
      <c r="Z56" s="92" t="s">
        <v>46</v>
      </c>
      <c r="AA56" s="92">
        <v>8.52</v>
      </c>
      <c r="AB56" s="92">
        <v>10.220000000000001</v>
      </c>
      <c r="AC56" s="92" t="s">
        <v>46</v>
      </c>
      <c r="AD56" s="92" t="s">
        <v>46</v>
      </c>
      <c r="AE56" s="92" t="s">
        <v>46</v>
      </c>
      <c r="AF56" s="92" t="s">
        <v>46</v>
      </c>
      <c r="AG56" s="92" t="s">
        <v>46</v>
      </c>
      <c r="AH56" s="92" t="s">
        <v>46</v>
      </c>
      <c r="AI56" s="92" t="s">
        <v>46</v>
      </c>
      <c r="AJ56" s="92">
        <v>0</v>
      </c>
      <c r="AK56" s="92">
        <v>1</v>
      </c>
      <c r="AL56" s="92">
        <f>0.1*$AL$2</f>
        <v>7.5000000000000011E-2</v>
      </c>
      <c r="AM56" s="92">
        <f>AM52</f>
        <v>2.7E-2</v>
      </c>
      <c r="AN56" s="92">
        <f>ROUNDUP(AN52/3,0)</f>
        <v>1</v>
      </c>
      <c r="AQ56" s="95">
        <f t="shared" si="70"/>
        <v>6.7696499999999995</v>
      </c>
      <c r="AR56" s="95">
        <f t="shared" si="63"/>
        <v>0.67696500000000004</v>
      </c>
      <c r="AS56" s="96">
        <f t="shared" si="64"/>
        <v>0.25</v>
      </c>
      <c r="AT56" s="96">
        <f t="shared" si="65"/>
        <v>1.9241537499999999</v>
      </c>
      <c r="AU56" s="95">
        <f>10068.2*J56*POWER(10,-6)*10</f>
        <v>1.5857415000000001E-3</v>
      </c>
      <c r="AV56" s="96">
        <f t="shared" si="66"/>
        <v>9.6223544914999994</v>
      </c>
      <c r="AW56" s="97">
        <f t="shared" si="67"/>
        <v>0</v>
      </c>
      <c r="AX56" s="97">
        <f t="shared" si="68"/>
        <v>1.8000000000000004E-5</v>
      </c>
      <c r="AY56" s="97">
        <f t="shared" si="69"/>
        <v>1.7320238084700003E-4</v>
      </c>
      <c r="AZ56" s="297">
        <f>AW56/DB!$B$23</f>
        <v>0</v>
      </c>
      <c r="BA56" s="297">
        <f>AX56/DB!$B$23</f>
        <v>2.1686746987951813E-8</v>
      </c>
    </row>
    <row r="57" spans="1:53" s="92" customFormat="1" ht="15" thickBot="1" x14ac:dyDescent="0.35">
      <c r="A57" s="82" t="s">
        <v>783</v>
      </c>
      <c r="B57" s="82" t="str">
        <f>B52</f>
        <v>РВС №1-4, нефть</v>
      </c>
      <c r="C57" s="84" t="s">
        <v>148</v>
      </c>
      <c r="D57" s="85" t="s">
        <v>27</v>
      </c>
      <c r="E57" s="98">
        <f>E55</f>
        <v>1E-4</v>
      </c>
      <c r="F57" s="99">
        <f>F52</f>
        <v>4</v>
      </c>
      <c r="G57" s="82">
        <v>0.85499999999999998</v>
      </c>
      <c r="H57" s="87">
        <f t="shared" si="60"/>
        <v>3.4200000000000002E-4</v>
      </c>
      <c r="I57" s="100">
        <f>0.15*I52</f>
        <v>247.95</v>
      </c>
      <c r="J57" s="102">
        <v>0</v>
      </c>
      <c r="K57" s="105" t="s">
        <v>138</v>
      </c>
      <c r="L57" s="105">
        <v>9</v>
      </c>
      <c r="M57" s="92" t="str">
        <f t="shared" si="61"/>
        <v>C50</v>
      </c>
      <c r="N57" s="92" t="str">
        <f t="shared" si="61"/>
        <v>РВС №1-4, нефть</v>
      </c>
      <c r="O57" s="92" t="str">
        <f t="shared" si="62"/>
        <v>Частичное-ликвидация</v>
      </c>
      <c r="P57" s="92" t="s">
        <v>46</v>
      </c>
      <c r="Q57" s="92" t="s">
        <v>46</v>
      </c>
      <c r="R57" s="92" t="s">
        <v>46</v>
      </c>
      <c r="S57" s="92" t="s">
        <v>46</v>
      </c>
      <c r="T57" s="92" t="s">
        <v>46</v>
      </c>
      <c r="U57" s="92" t="s">
        <v>46</v>
      </c>
      <c r="V57" s="92" t="s">
        <v>46</v>
      </c>
      <c r="W57" s="92" t="s">
        <v>46</v>
      </c>
      <c r="X57" s="92" t="s">
        <v>46</v>
      </c>
      <c r="Y57" s="92" t="s">
        <v>46</v>
      </c>
      <c r="Z57" s="92" t="s">
        <v>46</v>
      </c>
      <c r="AA57" s="92" t="s">
        <v>46</v>
      </c>
      <c r="AB57" s="92" t="s">
        <v>46</v>
      </c>
      <c r="AC57" s="92" t="s">
        <v>46</v>
      </c>
      <c r="AD57" s="92" t="s">
        <v>46</v>
      </c>
      <c r="AE57" s="92" t="s">
        <v>46</v>
      </c>
      <c r="AF57" s="92" t="s">
        <v>46</v>
      </c>
      <c r="AG57" s="92" t="s">
        <v>46</v>
      </c>
      <c r="AH57" s="92" t="s">
        <v>46</v>
      </c>
      <c r="AI57" s="92" t="s">
        <v>46</v>
      </c>
      <c r="AJ57" s="92">
        <v>0</v>
      </c>
      <c r="AK57" s="92">
        <v>0</v>
      </c>
      <c r="AL57" s="92">
        <f>0.1*$AL$2</f>
        <v>7.5000000000000011E-2</v>
      </c>
      <c r="AM57" s="92">
        <f>AM52</f>
        <v>2.7E-2</v>
      </c>
      <c r="AN57" s="92">
        <f>ROUNDUP(AN52/3,0)</f>
        <v>1</v>
      </c>
      <c r="AQ57" s="95">
        <f t="shared" si="70"/>
        <v>6.7696499999999995</v>
      </c>
      <c r="AR57" s="95">
        <f t="shared" si="63"/>
        <v>0.67696500000000004</v>
      </c>
      <c r="AS57" s="96">
        <f t="shared" si="64"/>
        <v>0</v>
      </c>
      <c r="AT57" s="96">
        <f t="shared" si="65"/>
        <v>1.8616537499999999</v>
      </c>
      <c r="AU57" s="95">
        <f>1333*J56*POWER(10,-6)</f>
        <v>2.0994749999999997E-5</v>
      </c>
      <c r="AV57" s="96">
        <f t="shared" si="66"/>
        <v>9.3082897447499988</v>
      </c>
      <c r="AW57" s="97">
        <f t="shared" si="67"/>
        <v>0</v>
      </c>
      <c r="AX57" s="97">
        <f t="shared" si="68"/>
        <v>0</v>
      </c>
      <c r="AY57" s="97">
        <f t="shared" si="69"/>
        <v>3.1834350927045E-3</v>
      </c>
      <c r="AZ57" s="297">
        <f>AW57/DB!$B$23</f>
        <v>0</v>
      </c>
      <c r="BA57" s="297">
        <f>AX57/DB!$B$23</f>
        <v>0</v>
      </c>
    </row>
    <row r="58" spans="1:53" s="92" customFormat="1" x14ac:dyDescent="0.3">
      <c r="A58" s="93"/>
      <c r="B58" s="93"/>
      <c r="D58" s="184"/>
      <c r="E58" s="185"/>
      <c r="F58" s="186"/>
      <c r="G58" s="93"/>
      <c r="H58" s="97"/>
      <c r="I58" s="96"/>
      <c r="J58" s="93"/>
      <c r="K58" s="296" t="s">
        <v>468</v>
      </c>
      <c r="L58" s="295" t="s">
        <v>709</v>
      </c>
      <c r="AQ58" s="95"/>
      <c r="AR58" s="95"/>
      <c r="AS58" s="96"/>
      <c r="AT58" s="96"/>
      <c r="AU58" s="95"/>
      <c r="AV58" s="96"/>
      <c r="AW58" s="97"/>
      <c r="AX58" s="97"/>
      <c r="AY58" s="97"/>
    </row>
    <row r="59" spans="1:53" s="92" customFormat="1" x14ac:dyDescent="0.3">
      <c r="A59" s="93"/>
      <c r="B59" s="93"/>
      <c r="D59" s="184"/>
      <c r="E59" s="185"/>
      <c r="F59" s="186"/>
      <c r="G59" s="93"/>
      <c r="H59" s="97"/>
      <c r="I59" s="96"/>
      <c r="J59" s="93"/>
      <c r="K59" s="93"/>
      <c r="L59" s="93"/>
      <c r="AQ59" s="95"/>
      <c r="AR59" s="95"/>
      <c r="AS59" s="96"/>
      <c r="AT59" s="96"/>
      <c r="AU59" s="95"/>
      <c r="AV59" s="96"/>
      <c r="AW59" s="97"/>
      <c r="AX59" s="97"/>
      <c r="AY59" s="97"/>
    </row>
    <row r="60" spans="1:53" s="92" customFormat="1" x14ac:dyDescent="0.3">
      <c r="A60" s="93"/>
      <c r="B60" s="93"/>
      <c r="D60" s="184"/>
      <c r="E60" s="185"/>
      <c r="F60" s="186"/>
      <c r="G60" s="93"/>
      <c r="H60" s="97"/>
      <c r="I60" s="96"/>
      <c r="J60" s="93"/>
      <c r="K60" s="93"/>
      <c r="L60" s="93"/>
      <c r="AQ60" s="95"/>
      <c r="AR60" s="95"/>
      <c r="AS60" s="96"/>
      <c r="AT60" s="96"/>
      <c r="AU60" s="95"/>
      <c r="AV60" s="96"/>
      <c r="AW60" s="97"/>
      <c r="AX60" s="97"/>
      <c r="AY60" s="97"/>
    </row>
    <row r="61" spans="1:53" ht="15" thickBot="1" x14ac:dyDescent="0.35"/>
    <row r="62" spans="1:53" s="92" customFormat="1" ht="15" thickBot="1" x14ac:dyDescent="0.35">
      <c r="A62" s="82" t="s">
        <v>784</v>
      </c>
      <c r="B62" s="83" t="s">
        <v>716</v>
      </c>
      <c r="C62" s="84" t="s">
        <v>143</v>
      </c>
      <c r="D62" s="85" t="s">
        <v>25</v>
      </c>
      <c r="E62" s="86">
        <v>1.0000000000000001E-5</v>
      </c>
      <c r="F62" s="83">
        <v>4</v>
      </c>
      <c r="G62" s="82">
        <v>0.1</v>
      </c>
      <c r="H62" s="87">
        <f t="shared" ref="H62:H67" si="71">E62*F62*G62</f>
        <v>4.0000000000000007E-6</v>
      </c>
      <c r="I62" s="88">
        <v>472</v>
      </c>
      <c r="J62" s="89">
        <f>I62</f>
        <v>472</v>
      </c>
      <c r="K62" s="90" t="s">
        <v>122</v>
      </c>
      <c r="L62" s="91">
        <v>2500</v>
      </c>
      <c r="M62" s="92" t="str">
        <f t="shared" ref="M62:M67" si="72">A62</f>
        <v>C51</v>
      </c>
      <c r="N62" s="92" t="str">
        <f t="shared" ref="N62:N67" si="73">B62</f>
        <v>РВС №5-6, нефть, пластовая вода</v>
      </c>
      <c r="O62" s="92" t="str">
        <f t="shared" ref="O62:O67" si="74">D62</f>
        <v>Полное-пожар</v>
      </c>
      <c r="P62" s="92">
        <v>39.799999999999997</v>
      </c>
      <c r="Q62" s="92">
        <v>54</v>
      </c>
      <c r="R62" s="92">
        <v>75.099999999999994</v>
      </c>
      <c r="S62" s="92">
        <v>134.30000000000001</v>
      </c>
      <c r="T62" s="92" t="s">
        <v>46</v>
      </c>
      <c r="U62" s="92" t="s">
        <v>46</v>
      </c>
      <c r="V62" s="92" t="s">
        <v>46</v>
      </c>
      <c r="W62" s="92" t="s">
        <v>46</v>
      </c>
      <c r="X62" s="92" t="s">
        <v>46</v>
      </c>
      <c r="Y62" s="92" t="s">
        <v>46</v>
      </c>
      <c r="Z62" s="92" t="s">
        <v>46</v>
      </c>
      <c r="AA62" s="92" t="s">
        <v>46</v>
      </c>
      <c r="AB62" s="92" t="s">
        <v>46</v>
      </c>
      <c r="AC62" s="92" t="s">
        <v>46</v>
      </c>
      <c r="AD62" s="92" t="s">
        <v>46</v>
      </c>
      <c r="AE62" s="92" t="s">
        <v>46</v>
      </c>
      <c r="AF62" s="92" t="s">
        <v>46</v>
      </c>
      <c r="AG62" s="92" t="s">
        <v>46</v>
      </c>
      <c r="AH62" s="92" t="s">
        <v>46</v>
      </c>
      <c r="AI62" s="92" t="s">
        <v>46</v>
      </c>
      <c r="AJ62" s="93">
        <v>1</v>
      </c>
      <c r="AK62" s="93">
        <v>2</v>
      </c>
      <c r="AL62" s="94">
        <v>0.75</v>
      </c>
      <c r="AM62" s="94">
        <v>2.7E-2</v>
      </c>
      <c r="AN62" s="94">
        <v>3</v>
      </c>
      <c r="AQ62" s="95">
        <f>AM62*I62+AL62</f>
        <v>13.494</v>
      </c>
      <c r="AR62" s="95">
        <f t="shared" ref="AR62:AR67" si="75">0.1*AQ62</f>
        <v>1.3494000000000002</v>
      </c>
      <c r="AS62" s="96">
        <f t="shared" ref="AS62:AS67" si="76">AJ62*3+0.25*AK62</f>
        <v>3.5</v>
      </c>
      <c r="AT62" s="96">
        <f t="shared" ref="AT62:AT67" si="77">SUM(AQ62:AS62)/4</f>
        <v>4.5858499999999998</v>
      </c>
      <c r="AU62" s="95">
        <f>10068.2*J62*POWER(10,-6)</f>
        <v>4.7521903999999999</v>
      </c>
      <c r="AV62" s="96">
        <f t="shared" ref="AV62:AV67" si="78">AU62+AT62+AS62+AR62+AQ62</f>
        <v>27.6814404</v>
      </c>
      <c r="AW62" s="97">
        <f t="shared" ref="AW62:AW67" si="79">AJ62*H62</f>
        <v>4.0000000000000007E-6</v>
      </c>
      <c r="AX62" s="97">
        <f t="shared" ref="AX62:AX67" si="80">H62*AK62</f>
        <v>8.0000000000000013E-6</v>
      </c>
      <c r="AY62" s="97">
        <f t="shared" ref="AY62:AY67" si="81">H62*AV62</f>
        <v>1.1072576160000002E-4</v>
      </c>
      <c r="AZ62" s="297">
        <f>AW62/DB!$B$23</f>
        <v>4.8192771084337357E-9</v>
      </c>
      <c r="BA62" s="297">
        <f>AX62/DB!$B$23</f>
        <v>9.6385542168674713E-9</v>
      </c>
    </row>
    <row r="63" spans="1:53" s="92" customFormat="1" ht="15" thickBot="1" x14ac:dyDescent="0.35">
      <c r="A63" s="82" t="s">
        <v>785</v>
      </c>
      <c r="B63" s="82" t="str">
        <f>B62</f>
        <v>РВС №5-6, нефть, пластовая вода</v>
      </c>
      <c r="C63" s="84" t="s">
        <v>144</v>
      </c>
      <c r="D63" s="85" t="s">
        <v>28</v>
      </c>
      <c r="E63" s="98">
        <f>E62</f>
        <v>1.0000000000000001E-5</v>
      </c>
      <c r="F63" s="99">
        <f>F62</f>
        <v>4</v>
      </c>
      <c r="G63" s="82">
        <v>0.18000000000000002</v>
      </c>
      <c r="H63" s="87">
        <f t="shared" si="71"/>
        <v>7.2000000000000014E-6</v>
      </c>
      <c r="I63" s="100">
        <f>I62</f>
        <v>472</v>
      </c>
      <c r="J63" s="190">
        <f>POWER(10,-6)*25*SQRT(100)*L1*L62/1000*0.1</f>
        <v>7.5000000000000011E-2</v>
      </c>
      <c r="K63" s="90" t="s">
        <v>123</v>
      </c>
      <c r="L63" s="91">
        <v>0</v>
      </c>
      <c r="M63" s="92" t="str">
        <f t="shared" si="72"/>
        <v>C52</v>
      </c>
      <c r="N63" s="92" t="str">
        <f t="shared" si="73"/>
        <v>РВС №5-6, нефть, пластовая вода</v>
      </c>
      <c r="O63" s="92" t="str">
        <f t="shared" si="74"/>
        <v>Полное-взрыв</v>
      </c>
      <c r="P63" s="92" t="s">
        <v>46</v>
      </c>
      <c r="Q63" s="92" t="s">
        <v>46</v>
      </c>
      <c r="R63" s="92" t="s">
        <v>46</v>
      </c>
      <c r="S63" s="92" t="s">
        <v>46</v>
      </c>
      <c r="T63" s="92">
        <v>0</v>
      </c>
      <c r="U63" s="92">
        <v>0</v>
      </c>
      <c r="V63" s="92">
        <v>32.1</v>
      </c>
      <c r="W63" s="92">
        <v>106.6</v>
      </c>
      <c r="X63" s="92">
        <v>155.6</v>
      </c>
      <c r="Y63" s="92" t="s">
        <v>46</v>
      </c>
      <c r="Z63" s="92" t="s">
        <v>46</v>
      </c>
      <c r="AA63" s="92" t="s">
        <v>46</v>
      </c>
      <c r="AB63" s="92" t="s">
        <v>46</v>
      </c>
      <c r="AC63" s="92" t="s">
        <v>46</v>
      </c>
      <c r="AD63" s="92" t="s">
        <v>46</v>
      </c>
      <c r="AE63" s="92" t="s">
        <v>46</v>
      </c>
      <c r="AF63" s="92" t="s">
        <v>46</v>
      </c>
      <c r="AG63" s="92" t="s">
        <v>46</v>
      </c>
      <c r="AH63" s="92" t="s">
        <v>46</v>
      </c>
      <c r="AI63" s="92" t="s">
        <v>46</v>
      </c>
      <c r="AJ63" s="93">
        <v>2</v>
      </c>
      <c r="AK63" s="93">
        <v>2</v>
      </c>
      <c r="AL63" s="92">
        <f>AL62</f>
        <v>0.75</v>
      </c>
      <c r="AM63" s="92">
        <f>AM62</f>
        <v>2.7E-2</v>
      </c>
      <c r="AN63" s="92">
        <f>AN62</f>
        <v>3</v>
      </c>
      <c r="AQ63" s="95">
        <f t="shared" ref="AQ63:AQ67" si="82">AM63*I63+AL63</f>
        <v>13.494</v>
      </c>
      <c r="AR63" s="95">
        <f t="shared" si="75"/>
        <v>1.3494000000000002</v>
      </c>
      <c r="AS63" s="96">
        <f t="shared" si="76"/>
        <v>6.5</v>
      </c>
      <c r="AT63" s="96">
        <f t="shared" si="77"/>
        <v>5.3358499999999998</v>
      </c>
      <c r="AU63" s="95">
        <v>4.7521903999999999</v>
      </c>
      <c r="AV63" s="96">
        <f t="shared" si="78"/>
        <v>31.4314404</v>
      </c>
      <c r="AW63" s="97">
        <f t="shared" si="79"/>
        <v>1.4400000000000003E-5</v>
      </c>
      <c r="AX63" s="97">
        <f t="shared" si="80"/>
        <v>1.4400000000000003E-5</v>
      </c>
      <c r="AY63" s="97">
        <f t="shared" si="81"/>
        <v>2.2630637088000004E-4</v>
      </c>
      <c r="AZ63" s="297">
        <f>AW63/DB!$B$23</f>
        <v>1.734939759036145E-8</v>
      </c>
      <c r="BA63" s="297">
        <f>AX63/DB!$B$23</f>
        <v>1.734939759036145E-8</v>
      </c>
    </row>
    <row r="64" spans="1:53" s="92" customFormat="1" x14ac:dyDescent="0.3">
      <c r="A64" s="82" t="s">
        <v>786</v>
      </c>
      <c r="B64" s="82" t="str">
        <f>B62</f>
        <v>РВС №5-6, нефть, пластовая вода</v>
      </c>
      <c r="C64" s="84" t="s">
        <v>145</v>
      </c>
      <c r="D64" s="85" t="s">
        <v>26</v>
      </c>
      <c r="E64" s="98">
        <f>E62</f>
        <v>1.0000000000000001E-5</v>
      </c>
      <c r="F64" s="99">
        <f>F62</f>
        <v>4</v>
      </c>
      <c r="G64" s="82">
        <v>0.72000000000000008</v>
      </c>
      <c r="H64" s="87">
        <f t="shared" si="71"/>
        <v>2.8800000000000005E-5</v>
      </c>
      <c r="I64" s="100">
        <f>I62</f>
        <v>472</v>
      </c>
      <c r="J64" s="102">
        <v>0</v>
      </c>
      <c r="K64" s="90" t="s">
        <v>124</v>
      </c>
      <c r="L64" s="91">
        <v>0</v>
      </c>
      <c r="M64" s="92" t="str">
        <f t="shared" si="72"/>
        <v>C53</v>
      </c>
      <c r="N64" s="92" t="str">
        <f t="shared" si="73"/>
        <v>РВС №5-6, нефть, пластовая вода</v>
      </c>
      <c r="O64" s="92" t="str">
        <f t="shared" si="74"/>
        <v>Полное-ликвидация</v>
      </c>
      <c r="P64" s="92" t="s">
        <v>46</v>
      </c>
      <c r="Q64" s="92" t="s">
        <v>46</v>
      </c>
      <c r="R64" s="92" t="s">
        <v>46</v>
      </c>
      <c r="S64" s="92" t="s">
        <v>46</v>
      </c>
      <c r="T64" s="92" t="s">
        <v>46</v>
      </c>
      <c r="U64" s="92" t="s">
        <v>46</v>
      </c>
      <c r="V64" s="92" t="s">
        <v>46</v>
      </c>
      <c r="W64" s="92" t="s">
        <v>46</v>
      </c>
      <c r="X64" s="92" t="s">
        <v>46</v>
      </c>
      <c r="Y64" s="92" t="s">
        <v>46</v>
      </c>
      <c r="Z64" s="92" t="s">
        <v>46</v>
      </c>
      <c r="AA64" s="92" t="s">
        <v>46</v>
      </c>
      <c r="AB64" s="92" t="s">
        <v>46</v>
      </c>
      <c r="AC64" s="92" t="s">
        <v>46</v>
      </c>
      <c r="AD64" s="92" t="s">
        <v>46</v>
      </c>
      <c r="AE64" s="92" t="s">
        <v>46</v>
      </c>
      <c r="AF64" s="92" t="s">
        <v>46</v>
      </c>
      <c r="AG64" s="92" t="s">
        <v>46</v>
      </c>
      <c r="AH64" s="92" t="s">
        <v>46</v>
      </c>
      <c r="AI64" s="92" t="s">
        <v>46</v>
      </c>
      <c r="AJ64" s="92">
        <v>0</v>
      </c>
      <c r="AK64" s="92">
        <v>0</v>
      </c>
      <c r="AL64" s="92">
        <f>AL62</f>
        <v>0.75</v>
      </c>
      <c r="AM64" s="92">
        <f>AM62</f>
        <v>2.7E-2</v>
      </c>
      <c r="AN64" s="92">
        <f>AN62</f>
        <v>3</v>
      </c>
      <c r="AQ64" s="95">
        <f t="shared" si="82"/>
        <v>13.494</v>
      </c>
      <c r="AR64" s="95">
        <f t="shared" si="75"/>
        <v>1.3494000000000002</v>
      </c>
      <c r="AS64" s="96">
        <f t="shared" si="76"/>
        <v>0</v>
      </c>
      <c r="AT64" s="96">
        <f t="shared" si="77"/>
        <v>3.7108499999999998</v>
      </c>
      <c r="AU64" s="95">
        <f>1333*J63*POWER(10,-6)</f>
        <v>9.9975000000000004E-5</v>
      </c>
      <c r="AV64" s="96">
        <f t="shared" si="78"/>
        <v>18.554349975000001</v>
      </c>
      <c r="AW64" s="97">
        <f t="shared" si="79"/>
        <v>0</v>
      </c>
      <c r="AX64" s="97">
        <f t="shared" si="80"/>
        <v>0</v>
      </c>
      <c r="AY64" s="97">
        <f t="shared" si="81"/>
        <v>5.3436527928000014E-4</v>
      </c>
      <c r="AZ64" s="297">
        <f>AW64/DB!$B$23</f>
        <v>0</v>
      </c>
      <c r="BA64" s="297">
        <f>AX64/DB!$B$23</f>
        <v>0</v>
      </c>
    </row>
    <row r="65" spans="1:53" s="92" customFormat="1" x14ac:dyDescent="0.3">
      <c r="A65" s="82" t="s">
        <v>787</v>
      </c>
      <c r="B65" s="82" t="str">
        <f>B62</f>
        <v>РВС №5-6, нефть, пластовая вода</v>
      </c>
      <c r="C65" s="84" t="s">
        <v>146</v>
      </c>
      <c r="D65" s="85" t="s">
        <v>47</v>
      </c>
      <c r="E65" s="86">
        <v>1E-4</v>
      </c>
      <c r="F65" s="99">
        <f>F62</f>
        <v>4</v>
      </c>
      <c r="G65" s="82">
        <v>0.1</v>
      </c>
      <c r="H65" s="87">
        <f t="shared" si="71"/>
        <v>4.0000000000000003E-5</v>
      </c>
      <c r="I65" s="100">
        <f>0.15*I62</f>
        <v>70.8</v>
      </c>
      <c r="J65" s="89">
        <f>I65</f>
        <v>70.8</v>
      </c>
      <c r="K65" s="103" t="s">
        <v>126</v>
      </c>
      <c r="L65" s="104">
        <v>45390</v>
      </c>
      <c r="M65" s="92" t="str">
        <f t="shared" si="72"/>
        <v>C54</v>
      </c>
      <c r="N65" s="92" t="str">
        <f t="shared" si="73"/>
        <v>РВС №5-6, нефть, пластовая вода</v>
      </c>
      <c r="O65" s="92" t="str">
        <f t="shared" si="74"/>
        <v>Частичное-пожар</v>
      </c>
      <c r="P65" s="92">
        <v>12.8</v>
      </c>
      <c r="Q65" s="92">
        <v>17.899999999999999</v>
      </c>
      <c r="R65" s="92">
        <v>26.1</v>
      </c>
      <c r="S65" s="92">
        <v>50</v>
      </c>
      <c r="T65" s="92" t="s">
        <v>46</v>
      </c>
      <c r="U65" s="92" t="s">
        <v>46</v>
      </c>
      <c r="V65" s="92" t="s">
        <v>46</v>
      </c>
      <c r="W65" s="92" t="s">
        <v>46</v>
      </c>
      <c r="X65" s="92" t="s">
        <v>46</v>
      </c>
      <c r="Y65" s="92" t="s">
        <v>46</v>
      </c>
      <c r="Z65" s="92" t="s">
        <v>46</v>
      </c>
      <c r="AA65" s="92" t="s">
        <v>46</v>
      </c>
      <c r="AB65" s="92" t="s">
        <v>46</v>
      </c>
      <c r="AC65" s="92" t="s">
        <v>46</v>
      </c>
      <c r="AD65" s="92" t="s">
        <v>46</v>
      </c>
      <c r="AE65" s="92" t="s">
        <v>46</v>
      </c>
      <c r="AF65" s="92" t="s">
        <v>46</v>
      </c>
      <c r="AG65" s="92" t="s">
        <v>46</v>
      </c>
      <c r="AH65" s="92" t="s">
        <v>46</v>
      </c>
      <c r="AI65" s="92" t="s">
        <v>46</v>
      </c>
      <c r="AJ65" s="92">
        <v>0</v>
      </c>
      <c r="AK65" s="92">
        <v>2</v>
      </c>
      <c r="AL65" s="92">
        <f>0.1*$AL$2</f>
        <v>7.5000000000000011E-2</v>
      </c>
      <c r="AM65" s="92">
        <f>AM62</f>
        <v>2.7E-2</v>
      </c>
      <c r="AN65" s="92">
        <f>ROUNDUP(AN62/3,0)</f>
        <v>1</v>
      </c>
      <c r="AQ65" s="95">
        <f t="shared" si="82"/>
        <v>1.9865999999999999</v>
      </c>
      <c r="AR65" s="95">
        <f t="shared" si="75"/>
        <v>0.19866</v>
      </c>
      <c r="AS65" s="96">
        <f t="shared" si="76"/>
        <v>0.5</v>
      </c>
      <c r="AT65" s="96">
        <f t="shared" si="77"/>
        <v>0.671315</v>
      </c>
      <c r="AU65" s="95">
        <f>10068.2*J65*POWER(10,-6)</f>
        <v>0.71282856000000006</v>
      </c>
      <c r="AV65" s="96">
        <f t="shared" si="78"/>
        <v>4.0694035599999996</v>
      </c>
      <c r="AW65" s="97">
        <f t="shared" si="79"/>
        <v>0</v>
      </c>
      <c r="AX65" s="97">
        <f t="shared" si="80"/>
        <v>8.0000000000000007E-5</v>
      </c>
      <c r="AY65" s="97">
        <f t="shared" si="81"/>
        <v>1.627761424E-4</v>
      </c>
      <c r="AZ65" s="297">
        <f>AW65/DB!$B$23</f>
        <v>0</v>
      </c>
      <c r="BA65" s="297">
        <f>AX65/DB!$B$23</f>
        <v>9.6385542168674707E-8</v>
      </c>
    </row>
    <row r="66" spans="1:53" s="92" customFormat="1" x14ac:dyDescent="0.3">
      <c r="A66" s="82" t="s">
        <v>788</v>
      </c>
      <c r="B66" s="82" t="str">
        <f>B62</f>
        <v>РВС №5-6, нефть, пластовая вода</v>
      </c>
      <c r="C66" s="84" t="s">
        <v>147</v>
      </c>
      <c r="D66" s="85" t="s">
        <v>112</v>
      </c>
      <c r="E66" s="98">
        <f>E65</f>
        <v>1E-4</v>
      </c>
      <c r="F66" s="99">
        <f>F62</f>
        <v>4</v>
      </c>
      <c r="G66" s="82">
        <v>4.5000000000000005E-2</v>
      </c>
      <c r="H66" s="87">
        <f t="shared" si="71"/>
        <v>1.8000000000000004E-5</v>
      </c>
      <c r="I66" s="100">
        <f>0.15*I62</f>
        <v>70.8</v>
      </c>
      <c r="J66" s="89">
        <f>0.15*J63</f>
        <v>1.1250000000000001E-2</v>
      </c>
      <c r="K66" s="103" t="s">
        <v>127</v>
      </c>
      <c r="L66" s="104">
        <v>3</v>
      </c>
      <c r="M66" s="92" t="str">
        <f t="shared" si="72"/>
        <v>C55</v>
      </c>
      <c r="N66" s="92" t="str">
        <f t="shared" si="73"/>
        <v>РВС №5-6, нефть, пластовая вода</v>
      </c>
      <c r="O66" s="92" t="str">
        <f t="shared" si="74"/>
        <v>Частичное-пожар-вспышка</v>
      </c>
      <c r="P66" s="92" t="s">
        <v>46</v>
      </c>
      <c r="Q66" s="92" t="s">
        <v>46</v>
      </c>
      <c r="R66" s="92" t="s">
        <v>46</v>
      </c>
      <c r="S66" s="92" t="s">
        <v>46</v>
      </c>
      <c r="T66" s="92" t="s">
        <v>46</v>
      </c>
      <c r="U66" s="92" t="s">
        <v>46</v>
      </c>
      <c r="V66" s="92" t="s">
        <v>46</v>
      </c>
      <c r="W66" s="92" t="s">
        <v>46</v>
      </c>
      <c r="X66" s="92" t="s">
        <v>46</v>
      </c>
      <c r="Y66" s="92" t="s">
        <v>46</v>
      </c>
      <c r="Z66" s="92" t="s">
        <v>46</v>
      </c>
      <c r="AA66" s="92">
        <v>7.62</v>
      </c>
      <c r="AB66" s="92">
        <v>9.14</v>
      </c>
      <c r="AC66" s="92" t="s">
        <v>46</v>
      </c>
      <c r="AD66" s="92" t="s">
        <v>46</v>
      </c>
      <c r="AE66" s="92" t="s">
        <v>46</v>
      </c>
      <c r="AF66" s="92" t="s">
        <v>46</v>
      </c>
      <c r="AG66" s="92" t="s">
        <v>46</v>
      </c>
      <c r="AH66" s="92" t="s">
        <v>46</v>
      </c>
      <c r="AI66" s="92" t="s">
        <v>46</v>
      </c>
      <c r="AJ66" s="92">
        <v>0</v>
      </c>
      <c r="AK66" s="92">
        <v>1</v>
      </c>
      <c r="AL66" s="92">
        <f>0.1*$AL$2</f>
        <v>7.5000000000000011E-2</v>
      </c>
      <c r="AM66" s="92">
        <f>AM62</f>
        <v>2.7E-2</v>
      </c>
      <c r="AN66" s="92">
        <f>ROUNDUP(AN62/3,0)</f>
        <v>1</v>
      </c>
      <c r="AQ66" s="95">
        <f t="shared" si="82"/>
        <v>1.9865999999999999</v>
      </c>
      <c r="AR66" s="95">
        <f t="shared" si="75"/>
        <v>0.19866</v>
      </c>
      <c r="AS66" s="96">
        <f t="shared" si="76"/>
        <v>0.25</v>
      </c>
      <c r="AT66" s="96">
        <f t="shared" si="77"/>
        <v>0.608815</v>
      </c>
      <c r="AU66" s="95">
        <f>10068.2*J66*POWER(10,-6)*10</f>
        <v>1.1326725000000001E-3</v>
      </c>
      <c r="AV66" s="96">
        <f t="shared" si="78"/>
        <v>3.0452076725000001</v>
      </c>
      <c r="AW66" s="97">
        <f t="shared" si="79"/>
        <v>0</v>
      </c>
      <c r="AX66" s="97">
        <f t="shared" si="80"/>
        <v>1.8000000000000004E-5</v>
      </c>
      <c r="AY66" s="97">
        <f t="shared" si="81"/>
        <v>5.4813738105000011E-5</v>
      </c>
      <c r="AZ66" s="297">
        <f>AW66/DB!$B$23</f>
        <v>0</v>
      </c>
      <c r="BA66" s="297">
        <f>AX66/DB!$B$23</f>
        <v>2.1686746987951813E-8</v>
      </c>
    </row>
    <row r="67" spans="1:53" s="92" customFormat="1" ht="15" thickBot="1" x14ac:dyDescent="0.35">
      <c r="A67" s="82" t="s">
        <v>789</v>
      </c>
      <c r="B67" s="82" t="str">
        <f>B62</f>
        <v>РВС №5-6, нефть, пластовая вода</v>
      </c>
      <c r="C67" s="84" t="s">
        <v>148</v>
      </c>
      <c r="D67" s="85" t="s">
        <v>27</v>
      </c>
      <c r="E67" s="98">
        <f>E65</f>
        <v>1E-4</v>
      </c>
      <c r="F67" s="99">
        <f>F62</f>
        <v>4</v>
      </c>
      <c r="G67" s="82">
        <v>0.85499999999999998</v>
      </c>
      <c r="H67" s="87">
        <f t="shared" si="71"/>
        <v>3.4200000000000002E-4</v>
      </c>
      <c r="I67" s="100">
        <f>0.15*I62</f>
        <v>70.8</v>
      </c>
      <c r="J67" s="102">
        <v>0</v>
      </c>
      <c r="K67" s="105" t="s">
        <v>138</v>
      </c>
      <c r="L67" s="105">
        <v>9</v>
      </c>
      <c r="M67" s="92" t="str">
        <f t="shared" si="72"/>
        <v>C56</v>
      </c>
      <c r="N67" s="92" t="str">
        <f t="shared" si="73"/>
        <v>РВС №5-6, нефть, пластовая вода</v>
      </c>
      <c r="O67" s="92" t="str">
        <f t="shared" si="74"/>
        <v>Частичное-ликвидация</v>
      </c>
      <c r="P67" s="92" t="s">
        <v>46</v>
      </c>
      <c r="Q67" s="92" t="s">
        <v>46</v>
      </c>
      <c r="R67" s="92" t="s">
        <v>46</v>
      </c>
      <c r="S67" s="92" t="s">
        <v>46</v>
      </c>
      <c r="T67" s="92" t="s">
        <v>46</v>
      </c>
      <c r="U67" s="92" t="s">
        <v>46</v>
      </c>
      <c r="V67" s="92" t="s">
        <v>46</v>
      </c>
      <c r="W67" s="92" t="s">
        <v>46</v>
      </c>
      <c r="X67" s="92" t="s">
        <v>46</v>
      </c>
      <c r="Y67" s="92" t="s">
        <v>46</v>
      </c>
      <c r="Z67" s="92" t="s">
        <v>46</v>
      </c>
      <c r="AA67" s="92" t="s">
        <v>46</v>
      </c>
      <c r="AB67" s="92" t="s">
        <v>46</v>
      </c>
      <c r="AC67" s="92" t="s">
        <v>46</v>
      </c>
      <c r="AD67" s="92" t="s">
        <v>46</v>
      </c>
      <c r="AE67" s="92" t="s">
        <v>46</v>
      </c>
      <c r="AF67" s="92" t="s">
        <v>46</v>
      </c>
      <c r="AG67" s="92" t="s">
        <v>46</v>
      </c>
      <c r="AH67" s="92" t="s">
        <v>46</v>
      </c>
      <c r="AI67" s="92" t="s">
        <v>46</v>
      </c>
      <c r="AJ67" s="92">
        <v>0</v>
      </c>
      <c r="AK67" s="92">
        <v>0</v>
      </c>
      <c r="AL67" s="92">
        <f>0.1*$AL$2</f>
        <v>7.5000000000000011E-2</v>
      </c>
      <c r="AM67" s="92">
        <f>AM62</f>
        <v>2.7E-2</v>
      </c>
      <c r="AN67" s="92">
        <f>ROUNDUP(AN62/3,0)</f>
        <v>1</v>
      </c>
      <c r="AQ67" s="95">
        <f t="shared" si="82"/>
        <v>1.9865999999999999</v>
      </c>
      <c r="AR67" s="95">
        <f t="shared" si="75"/>
        <v>0.19866</v>
      </c>
      <c r="AS67" s="96">
        <f t="shared" si="76"/>
        <v>0</v>
      </c>
      <c r="AT67" s="96">
        <f t="shared" si="77"/>
        <v>0.546315</v>
      </c>
      <c r="AU67" s="95">
        <f>1333*J66*POWER(10,-6)</f>
        <v>1.4996250000000001E-5</v>
      </c>
      <c r="AV67" s="96">
        <f t="shared" si="78"/>
        <v>2.7315899962499999</v>
      </c>
      <c r="AW67" s="97">
        <f t="shared" si="79"/>
        <v>0</v>
      </c>
      <c r="AX67" s="97">
        <f t="shared" si="80"/>
        <v>0</v>
      </c>
      <c r="AY67" s="97">
        <f t="shared" si="81"/>
        <v>9.3420377871749997E-4</v>
      </c>
      <c r="AZ67" s="297">
        <f>AW67/DB!$B$23</f>
        <v>0</v>
      </c>
      <c r="BA67" s="297">
        <f>AX67/DB!$B$23</f>
        <v>0</v>
      </c>
    </row>
    <row r="68" spans="1:53" s="92" customFormat="1" x14ac:dyDescent="0.3">
      <c r="A68" s="93"/>
      <c r="B68" s="93"/>
      <c r="D68" s="184"/>
      <c r="E68" s="185"/>
      <c r="F68" s="186"/>
      <c r="G68" s="93"/>
      <c r="H68" s="97"/>
      <c r="I68" s="96"/>
      <c r="J68" s="93"/>
      <c r="K68" s="296" t="s">
        <v>468</v>
      </c>
      <c r="L68" s="295" t="s">
        <v>709</v>
      </c>
      <c r="AQ68" s="95"/>
      <c r="AR68" s="95"/>
      <c r="AS68" s="96"/>
      <c r="AT68" s="96"/>
      <c r="AU68" s="95"/>
      <c r="AV68" s="96"/>
      <c r="AW68" s="97"/>
      <c r="AX68" s="97"/>
      <c r="AY68" s="97"/>
    </row>
    <row r="69" spans="1:53" s="92" customFormat="1" x14ac:dyDescent="0.3">
      <c r="A69" s="93"/>
      <c r="B69" s="93"/>
      <c r="D69" s="184"/>
      <c r="E69" s="185"/>
      <c r="F69" s="186"/>
      <c r="G69" s="93"/>
      <c r="H69" s="97"/>
      <c r="I69" s="96"/>
      <c r="J69" s="93"/>
      <c r="K69" s="93"/>
      <c r="L69" s="93"/>
      <c r="AQ69" s="95"/>
      <c r="AR69" s="95"/>
      <c r="AS69" s="96"/>
      <c r="AT69" s="96"/>
      <c r="AU69" s="95"/>
      <c r="AV69" s="96"/>
      <c r="AW69" s="97"/>
      <c r="AX69" s="97"/>
      <c r="AY69" s="97"/>
    </row>
    <row r="70" spans="1:53" s="92" customFormat="1" x14ac:dyDescent="0.3">
      <c r="A70" s="93"/>
      <c r="B70" s="93"/>
      <c r="D70" s="184"/>
      <c r="E70" s="185"/>
      <c r="F70" s="186"/>
      <c r="G70" s="93"/>
      <c r="H70" s="97"/>
      <c r="I70" s="96"/>
      <c r="J70" s="93"/>
      <c r="K70" s="93"/>
      <c r="L70" s="93"/>
      <c r="AQ70" s="95"/>
      <c r="AR70" s="95"/>
      <c r="AS70" s="96"/>
      <c r="AT70" s="96"/>
      <c r="AU70" s="95"/>
      <c r="AV70" s="96"/>
      <c r="AW70" s="97"/>
      <c r="AX70" s="97"/>
      <c r="AY70" s="97"/>
    </row>
    <row r="71" spans="1:53" ht="15" thickBot="1" x14ac:dyDescent="0.35"/>
    <row r="72" spans="1:53" s="92" customFormat="1" ht="15" thickBot="1" x14ac:dyDescent="0.35">
      <c r="A72" s="82" t="s">
        <v>479</v>
      </c>
      <c r="B72" s="83" t="s">
        <v>717</v>
      </c>
      <c r="C72" s="84" t="s">
        <v>174</v>
      </c>
      <c r="D72" s="85" t="s">
        <v>130</v>
      </c>
      <c r="E72" s="86">
        <v>1.0000000000000001E-5</v>
      </c>
      <c r="F72" s="83">
        <v>21</v>
      </c>
      <c r="G72" s="82">
        <v>1.4999999999999999E-2</v>
      </c>
      <c r="H72" s="87">
        <f t="shared" ref="H72:H77" si="83">E72*F72*G72</f>
        <v>3.1499999999999999E-6</v>
      </c>
      <c r="I72" s="88">
        <v>1.2</v>
      </c>
      <c r="J72" s="100">
        <f>I72</f>
        <v>1.2</v>
      </c>
      <c r="K72" s="90" t="s">
        <v>122</v>
      </c>
      <c r="L72" s="91">
        <f>J72*36</f>
        <v>43.199999999999996</v>
      </c>
      <c r="M72" s="92" t="str">
        <f t="shared" ref="M72:N77" si="84">A72</f>
        <v>C57</v>
      </c>
      <c r="N72" s="92" t="str">
        <f t="shared" si="84"/>
        <v>Насосное оборудование УПН, нефть</v>
      </c>
      <c r="O72" s="92" t="str">
        <f t="shared" ref="O72:O77" si="85">D72</f>
        <v>Полное-факел</v>
      </c>
      <c r="P72" s="92" t="s">
        <v>46</v>
      </c>
      <c r="Q72" s="92" t="s">
        <v>46</v>
      </c>
      <c r="R72" s="92" t="s">
        <v>46</v>
      </c>
      <c r="S72" s="92" t="s">
        <v>46</v>
      </c>
      <c r="T72" s="92" t="s">
        <v>46</v>
      </c>
      <c r="U72" s="92" t="s">
        <v>46</v>
      </c>
      <c r="V72" s="92" t="s">
        <v>46</v>
      </c>
      <c r="W72" s="92" t="s">
        <v>46</v>
      </c>
      <c r="X72" s="92" t="s">
        <v>46</v>
      </c>
      <c r="Y72" s="92">
        <v>15</v>
      </c>
      <c r="Z72" s="92">
        <v>3</v>
      </c>
      <c r="AA72" s="92" t="s">
        <v>46</v>
      </c>
      <c r="AB72" s="92" t="s">
        <v>46</v>
      </c>
      <c r="AC72" s="92" t="s">
        <v>46</v>
      </c>
      <c r="AD72" s="92" t="s">
        <v>46</v>
      </c>
      <c r="AE72" s="92" t="s">
        <v>46</v>
      </c>
      <c r="AF72" s="92" t="s">
        <v>46</v>
      </c>
      <c r="AG72" s="92" t="s">
        <v>46</v>
      </c>
      <c r="AH72" s="92" t="s">
        <v>46</v>
      </c>
      <c r="AI72" s="92" t="s">
        <v>46</v>
      </c>
      <c r="AJ72" s="93">
        <v>1</v>
      </c>
      <c r="AK72" s="93">
        <v>1</v>
      </c>
      <c r="AL72" s="94">
        <v>0.75</v>
      </c>
      <c r="AM72" s="94">
        <v>2.7E-2</v>
      </c>
      <c r="AN72" s="94">
        <v>3</v>
      </c>
      <c r="AQ72" s="95">
        <f>AM72*I72+AL72</f>
        <v>0.78239999999999998</v>
      </c>
      <c r="AR72" s="95">
        <f t="shared" ref="AR72:AR77" si="86">0.1*AQ72</f>
        <v>7.8240000000000004E-2</v>
      </c>
      <c r="AS72" s="96">
        <f t="shared" ref="AS72:AS77" si="87">AJ72*3+0.25*AK72</f>
        <v>3.25</v>
      </c>
      <c r="AT72" s="96">
        <f t="shared" ref="AT72:AT77" si="88">SUM(AQ72:AS72)/4</f>
        <v>1.02766</v>
      </c>
      <c r="AU72" s="95">
        <f>10068.2*J72*POWER(10,-6)</f>
        <v>1.208184E-2</v>
      </c>
      <c r="AV72" s="96">
        <f t="shared" ref="AV72:AV77" si="89">AU72+AT72+AS72+AR72+AQ72</f>
        <v>5.1503818399999997</v>
      </c>
      <c r="AW72" s="97">
        <f t="shared" ref="AW72:AW77" si="90">AJ72*H72</f>
        <v>3.1499999999999999E-6</v>
      </c>
      <c r="AX72" s="97">
        <f t="shared" ref="AX72:AX77" si="91">H72*AK72</f>
        <v>3.1499999999999999E-6</v>
      </c>
      <c r="AY72" s="97">
        <f t="shared" ref="AY72:AY77" si="92">H72*AV72</f>
        <v>1.6223702795999999E-5</v>
      </c>
      <c r="AZ72" s="297">
        <f>AW72/DB!$B$23</f>
        <v>3.7951807228915658E-9</v>
      </c>
      <c r="BA72" s="297">
        <f>AX72/DB!$B$23</f>
        <v>3.7951807228915658E-9</v>
      </c>
    </row>
    <row r="73" spans="1:53" s="92" customFormat="1" ht="15" thickBot="1" x14ac:dyDescent="0.35">
      <c r="A73" s="82" t="s">
        <v>480</v>
      </c>
      <c r="B73" s="82" t="str">
        <f>B72</f>
        <v>Насосное оборудование УПН, нефть</v>
      </c>
      <c r="C73" s="84" t="s">
        <v>175</v>
      </c>
      <c r="D73" s="85" t="s">
        <v>173</v>
      </c>
      <c r="E73" s="98">
        <f>E72</f>
        <v>1.0000000000000001E-5</v>
      </c>
      <c r="F73" s="99">
        <f>F72</f>
        <v>21</v>
      </c>
      <c r="G73" s="82">
        <v>1.4249999999999999E-2</v>
      </c>
      <c r="H73" s="87">
        <f t="shared" si="83"/>
        <v>2.9924999999999997E-6</v>
      </c>
      <c r="I73" s="100">
        <f>I72</f>
        <v>1.2</v>
      </c>
      <c r="J73" s="190">
        <f>POWER(10,-6)*35*SQRT(100)*3600*L72/1000*0.1</f>
        <v>5.4431999999999987E-3</v>
      </c>
      <c r="K73" s="90" t="s">
        <v>123</v>
      </c>
      <c r="L73" s="91">
        <v>0</v>
      </c>
      <c r="M73" s="92" t="str">
        <f t="shared" si="84"/>
        <v>C58</v>
      </c>
      <c r="N73" s="92" t="str">
        <f t="shared" si="84"/>
        <v>Насосное оборудование УПН, нефть</v>
      </c>
      <c r="O73" s="92" t="str">
        <f t="shared" si="85"/>
        <v>Полное-взрыв облака ТВС</v>
      </c>
      <c r="P73" s="92" t="s">
        <v>46</v>
      </c>
      <c r="Q73" s="92" t="s">
        <v>46</v>
      </c>
      <c r="R73" s="92" t="s">
        <v>46</v>
      </c>
      <c r="S73" s="92" t="s">
        <v>46</v>
      </c>
      <c r="T73" s="92">
        <v>0</v>
      </c>
      <c r="U73" s="92">
        <v>0</v>
      </c>
      <c r="V73" s="92">
        <v>13.1</v>
      </c>
      <c r="W73" s="92">
        <v>44.6</v>
      </c>
      <c r="X73" s="92">
        <v>65.099999999999994</v>
      </c>
      <c r="Y73" s="92" t="s">
        <v>46</v>
      </c>
      <c r="Z73" s="92" t="s">
        <v>46</v>
      </c>
      <c r="AA73" s="92" t="s">
        <v>46</v>
      </c>
      <c r="AB73" s="92" t="s">
        <v>46</v>
      </c>
      <c r="AC73" s="92" t="s">
        <v>46</v>
      </c>
      <c r="AD73" s="92" t="s">
        <v>46</v>
      </c>
      <c r="AE73" s="92" t="s">
        <v>46</v>
      </c>
      <c r="AF73" s="92" t="s">
        <v>46</v>
      </c>
      <c r="AG73" s="92" t="s">
        <v>46</v>
      </c>
      <c r="AH73" s="92" t="s">
        <v>46</v>
      </c>
      <c r="AI73" s="92" t="s">
        <v>46</v>
      </c>
      <c r="AJ73" s="93">
        <v>0</v>
      </c>
      <c r="AK73" s="93">
        <v>1</v>
      </c>
      <c r="AL73" s="92">
        <f>AL72</f>
        <v>0.75</v>
      </c>
      <c r="AM73" s="92">
        <f>AM72</f>
        <v>2.7E-2</v>
      </c>
      <c r="AN73" s="92">
        <f>AN72</f>
        <v>3</v>
      </c>
      <c r="AQ73" s="95">
        <f>AM73*I73+AL73</f>
        <v>0.78239999999999998</v>
      </c>
      <c r="AR73" s="95">
        <f t="shared" si="86"/>
        <v>7.8240000000000004E-2</v>
      </c>
      <c r="AS73" s="96">
        <f t="shared" si="87"/>
        <v>0.25</v>
      </c>
      <c r="AT73" s="96">
        <f t="shared" si="88"/>
        <v>0.27766000000000002</v>
      </c>
      <c r="AU73" s="95">
        <f>10068.2*J73*POWER(10,-6)*10</f>
        <v>5.480322623999999E-4</v>
      </c>
      <c r="AV73" s="96">
        <f t="shared" si="89"/>
        <v>1.3888480322624002</v>
      </c>
      <c r="AW73" s="97">
        <f t="shared" si="90"/>
        <v>0</v>
      </c>
      <c r="AX73" s="97">
        <f t="shared" si="91"/>
        <v>2.9924999999999997E-6</v>
      </c>
      <c r="AY73" s="97">
        <f t="shared" si="92"/>
        <v>4.1561277365452323E-6</v>
      </c>
      <c r="AZ73" s="297">
        <f>AW73/DB!$B$23</f>
        <v>0</v>
      </c>
      <c r="BA73" s="297">
        <f>AX73/DB!$B$23</f>
        <v>3.6054216867469878E-9</v>
      </c>
    </row>
    <row r="74" spans="1:53" s="92" customFormat="1" x14ac:dyDescent="0.3">
      <c r="A74" s="82" t="s">
        <v>481</v>
      </c>
      <c r="B74" s="82" t="str">
        <f>B72</f>
        <v>Насосное оборудование УПН, нефть</v>
      </c>
      <c r="C74" s="84" t="s">
        <v>176</v>
      </c>
      <c r="D74" s="85" t="s">
        <v>26</v>
      </c>
      <c r="E74" s="98">
        <f>E72</f>
        <v>1.0000000000000001E-5</v>
      </c>
      <c r="F74" s="99">
        <f>F72</f>
        <v>21</v>
      </c>
      <c r="G74" s="82">
        <v>0.27074999999999999</v>
      </c>
      <c r="H74" s="87">
        <f t="shared" si="83"/>
        <v>5.6857500000000002E-5</v>
      </c>
      <c r="I74" s="100">
        <f>I72</f>
        <v>1.2</v>
      </c>
      <c r="J74" s="82">
        <v>0</v>
      </c>
      <c r="K74" s="90" t="s">
        <v>124</v>
      </c>
      <c r="L74" s="91">
        <v>1</v>
      </c>
      <c r="M74" s="92" t="str">
        <f t="shared" si="84"/>
        <v>C59</v>
      </c>
      <c r="N74" s="92" t="str">
        <f t="shared" si="84"/>
        <v>Насосное оборудование УПН, нефть</v>
      </c>
      <c r="O74" s="92" t="str">
        <f t="shared" si="85"/>
        <v>Полное-ликвидация</v>
      </c>
      <c r="P74" s="92" t="s">
        <v>46</v>
      </c>
      <c r="Q74" s="92" t="s">
        <v>46</v>
      </c>
      <c r="R74" s="92" t="s">
        <v>46</v>
      </c>
      <c r="S74" s="92" t="s">
        <v>46</v>
      </c>
      <c r="T74" s="92" t="s">
        <v>46</v>
      </c>
      <c r="U74" s="92" t="s">
        <v>46</v>
      </c>
      <c r="V74" s="92" t="s">
        <v>46</v>
      </c>
      <c r="W74" s="92" t="s">
        <v>46</v>
      </c>
      <c r="X74" s="92" t="s">
        <v>46</v>
      </c>
      <c r="Y74" s="92" t="s">
        <v>46</v>
      </c>
      <c r="Z74" s="92" t="s">
        <v>46</v>
      </c>
      <c r="AA74" s="92" t="s">
        <v>46</v>
      </c>
      <c r="AB74" s="92" t="s">
        <v>46</v>
      </c>
      <c r="AC74" s="92" t="s">
        <v>46</v>
      </c>
      <c r="AD74" s="92" t="s">
        <v>46</v>
      </c>
      <c r="AE74" s="92" t="s">
        <v>46</v>
      </c>
      <c r="AF74" s="92" t="s">
        <v>46</v>
      </c>
      <c r="AG74" s="92" t="s">
        <v>46</v>
      </c>
      <c r="AH74" s="92" t="s">
        <v>46</v>
      </c>
      <c r="AI74" s="92" t="s">
        <v>46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Q74" s="95">
        <f>AM74*I74*0.1+AL74</f>
        <v>0.75324000000000002</v>
      </c>
      <c r="AR74" s="95">
        <f t="shared" si="86"/>
        <v>7.5324000000000002E-2</v>
      </c>
      <c r="AS74" s="96">
        <f t="shared" si="87"/>
        <v>0</v>
      </c>
      <c r="AT74" s="96">
        <f t="shared" si="88"/>
        <v>0.20714100000000002</v>
      </c>
      <c r="AU74" s="95">
        <f>1333*J73*POWER(10,-6)</f>
        <v>7.2557855999999978E-6</v>
      </c>
      <c r="AV74" s="96">
        <f t="shared" si="89"/>
        <v>1.0357122557856</v>
      </c>
      <c r="AW74" s="97">
        <f t="shared" si="90"/>
        <v>0</v>
      </c>
      <c r="AX74" s="97">
        <f t="shared" si="91"/>
        <v>0</v>
      </c>
      <c r="AY74" s="97">
        <f t="shared" si="92"/>
        <v>5.8888009583329751E-5</v>
      </c>
      <c r="AZ74" s="297">
        <f>AW74/DB!$B$23</f>
        <v>0</v>
      </c>
      <c r="BA74" s="297">
        <f>AX74/DB!$B$23</f>
        <v>0</v>
      </c>
    </row>
    <row r="75" spans="1:53" s="92" customFormat="1" x14ac:dyDescent="0.3">
      <c r="A75" s="82" t="s">
        <v>482</v>
      </c>
      <c r="B75" s="82" t="str">
        <f>B72</f>
        <v>Насосное оборудование УПН, нефть</v>
      </c>
      <c r="C75" s="84" t="s">
        <v>177</v>
      </c>
      <c r="D75" s="85" t="s">
        <v>47</v>
      </c>
      <c r="E75" s="98">
        <f>E73</f>
        <v>1.0000000000000001E-5</v>
      </c>
      <c r="F75" s="99">
        <f>F72</f>
        <v>21</v>
      </c>
      <c r="G75" s="82">
        <v>3.4999999999999996E-2</v>
      </c>
      <c r="H75" s="87">
        <f t="shared" si="83"/>
        <v>7.3499999999999999E-6</v>
      </c>
      <c r="I75" s="100">
        <f>0.15*I72</f>
        <v>0.18</v>
      </c>
      <c r="J75" s="100">
        <f>I75</f>
        <v>0.18</v>
      </c>
      <c r="K75" s="103" t="s">
        <v>126</v>
      </c>
      <c r="L75" s="104">
        <v>45390</v>
      </c>
      <c r="M75" s="92" t="str">
        <f t="shared" si="84"/>
        <v>C60</v>
      </c>
      <c r="N75" s="92" t="str">
        <f t="shared" si="84"/>
        <v>Насосное оборудование УПН, нефть</v>
      </c>
      <c r="O75" s="92" t="str">
        <f t="shared" si="85"/>
        <v>Частичное-пожар</v>
      </c>
      <c r="P75" s="92">
        <v>5.3</v>
      </c>
      <c r="Q75" s="92">
        <v>7.6</v>
      </c>
      <c r="R75" s="92">
        <v>11.5</v>
      </c>
      <c r="S75" s="92">
        <v>23.2</v>
      </c>
      <c r="T75" s="92" t="s">
        <v>46</v>
      </c>
      <c r="U75" s="92" t="s">
        <v>46</v>
      </c>
      <c r="V75" s="92" t="s">
        <v>46</v>
      </c>
      <c r="W75" s="92" t="s">
        <v>46</v>
      </c>
      <c r="X75" s="92" t="s">
        <v>46</v>
      </c>
      <c r="Y75" s="92" t="s">
        <v>46</v>
      </c>
      <c r="Z75" s="92" t="s">
        <v>46</v>
      </c>
      <c r="AA75" s="92" t="s">
        <v>46</v>
      </c>
      <c r="AB75" s="92" t="s">
        <v>46</v>
      </c>
      <c r="AC75" s="92" t="s">
        <v>46</v>
      </c>
      <c r="AD75" s="92" t="s">
        <v>46</v>
      </c>
      <c r="AE75" s="92" t="s">
        <v>46</v>
      </c>
      <c r="AF75" s="92" t="s">
        <v>46</v>
      </c>
      <c r="AG75" s="92" t="s">
        <v>46</v>
      </c>
      <c r="AH75" s="92" t="s">
        <v>46</v>
      </c>
      <c r="AI75" s="92" t="s">
        <v>46</v>
      </c>
      <c r="AJ75" s="92">
        <v>0</v>
      </c>
      <c r="AK75" s="92">
        <v>1</v>
      </c>
      <c r="AL75" s="92">
        <f>0.1*$AL$2</f>
        <v>7.5000000000000011E-2</v>
      </c>
      <c r="AM75" s="92">
        <f>AM72</f>
        <v>2.7E-2</v>
      </c>
      <c r="AN75" s="92">
        <f>ROUNDUP(AN72/3,0)</f>
        <v>1</v>
      </c>
      <c r="AQ75" s="95">
        <f>AM75*I75+AL75</f>
        <v>7.9860000000000014E-2</v>
      </c>
      <c r="AR75" s="95">
        <f t="shared" si="86"/>
        <v>7.9860000000000018E-3</v>
      </c>
      <c r="AS75" s="96">
        <f t="shared" si="87"/>
        <v>0.25</v>
      </c>
      <c r="AT75" s="96">
        <f t="shared" si="88"/>
        <v>8.4461500000000009E-2</v>
      </c>
      <c r="AU75" s="95">
        <f>10068.2*J75*POWER(10,-6)</f>
        <v>1.812276E-3</v>
      </c>
      <c r="AV75" s="96">
        <f t="shared" si="89"/>
        <v>0.42411977600000006</v>
      </c>
      <c r="AW75" s="97">
        <f t="shared" si="90"/>
        <v>0</v>
      </c>
      <c r="AX75" s="97">
        <f t="shared" si="91"/>
        <v>7.3499999999999999E-6</v>
      </c>
      <c r="AY75" s="97">
        <f t="shared" si="92"/>
        <v>3.1172803536000004E-6</v>
      </c>
      <c r="AZ75" s="297">
        <f>AW75/DB!$B$23</f>
        <v>0</v>
      </c>
      <c r="BA75" s="297">
        <f>AX75/DB!$B$23</f>
        <v>8.8554216867469876E-9</v>
      </c>
    </row>
    <row r="76" spans="1:53" s="92" customFormat="1" x14ac:dyDescent="0.3">
      <c r="A76" s="82" t="s">
        <v>483</v>
      </c>
      <c r="B76" s="82" t="str">
        <f>B72</f>
        <v>Насосное оборудование УПН, нефть</v>
      </c>
      <c r="C76" s="84" t="s">
        <v>423</v>
      </c>
      <c r="D76" s="85" t="s">
        <v>422</v>
      </c>
      <c r="E76" s="98">
        <f>E74</f>
        <v>1.0000000000000001E-5</v>
      </c>
      <c r="F76" s="99">
        <f>F72</f>
        <v>21</v>
      </c>
      <c r="G76" s="82">
        <v>3.3249999999999995E-2</v>
      </c>
      <c r="H76" s="87">
        <f t="shared" si="83"/>
        <v>6.9824999999999988E-6</v>
      </c>
      <c r="I76" s="100">
        <f>0.15*I72</f>
        <v>0.18</v>
      </c>
      <c r="J76" s="100">
        <v>0.01</v>
      </c>
      <c r="K76" s="103" t="s">
        <v>127</v>
      </c>
      <c r="L76" s="104">
        <v>3</v>
      </c>
      <c r="M76" s="92" t="str">
        <f t="shared" si="84"/>
        <v>C61</v>
      </c>
      <c r="N76" s="92" t="str">
        <f t="shared" si="84"/>
        <v>Насосное оборудование УПН, нефть</v>
      </c>
      <c r="O76" s="92" t="str">
        <f t="shared" si="85"/>
        <v>Частичное-вспышка</v>
      </c>
      <c r="P76" s="92" t="s">
        <v>46</v>
      </c>
      <c r="Q76" s="92" t="s">
        <v>46</v>
      </c>
      <c r="R76" s="92" t="s">
        <v>46</v>
      </c>
      <c r="S76" s="92" t="s">
        <v>46</v>
      </c>
      <c r="T76" s="92" t="s">
        <v>46</v>
      </c>
      <c r="U76" s="92" t="s">
        <v>46</v>
      </c>
      <c r="V76" s="92" t="s">
        <v>46</v>
      </c>
      <c r="W76" s="92" t="s">
        <v>46</v>
      </c>
      <c r="X76" s="92" t="s">
        <v>46</v>
      </c>
      <c r="Y76" s="92" t="s">
        <v>46</v>
      </c>
      <c r="Z76" s="92" t="s">
        <v>46</v>
      </c>
      <c r="AA76" s="92">
        <v>7.33</v>
      </c>
      <c r="AB76" s="92">
        <v>8.8000000000000007</v>
      </c>
      <c r="AC76" s="92" t="s">
        <v>46</v>
      </c>
      <c r="AD76" s="92" t="s">
        <v>46</v>
      </c>
      <c r="AE76" s="92" t="s">
        <v>46</v>
      </c>
      <c r="AF76" s="92" t="s">
        <v>46</v>
      </c>
      <c r="AG76" s="92" t="s">
        <v>46</v>
      </c>
      <c r="AH76" s="92" t="s">
        <v>46</v>
      </c>
      <c r="AI76" s="92" t="s">
        <v>46</v>
      </c>
      <c r="AJ76" s="92">
        <v>0</v>
      </c>
      <c r="AK76" s="92">
        <v>1</v>
      </c>
      <c r="AL76" s="92">
        <f>0.1*$AL$2</f>
        <v>7.5000000000000011E-2</v>
      </c>
      <c r="AM76" s="92">
        <f>AM72</f>
        <v>2.7E-2</v>
      </c>
      <c r="AN76" s="92">
        <f>ROUNDUP(AN72/3,0)</f>
        <v>1</v>
      </c>
      <c r="AQ76" s="95">
        <f>AM76*I76+AL76</f>
        <v>7.9860000000000014E-2</v>
      </c>
      <c r="AR76" s="95">
        <f t="shared" si="86"/>
        <v>7.9860000000000018E-3</v>
      </c>
      <c r="AS76" s="96">
        <f t="shared" si="87"/>
        <v>0.25</v>
      </c>
      <c r="AT76" s="96">
        <f t="shared" si="88"/>
        <v>8.4461500000000009E-2</v>
      </c>
      <c r="AU76" s="95">
        <f>10068.2*J76*POWER(10,-6)*10</f>
        <v>1.0068200000000001E-3</v>
      </c>
      <c r="AV76" s="96">
        <f t="shared" si="89"/>
        <v>0.42331432000000002</v>
      </c>
      <c r="AW76" s="97">
        <f t="shared" si="90"/>
        <v>0</v>
      </c>
      <c r="AX76" s="97">
        <f t="shared" si="91"/>
        <v>6.9824999999999988E-6</v>
      </c>
      <c r="AY76" s="97">
        <f t="shared" si="92"/>
        <v>2.9557922393999995E-6</v>
      </c>
      <c r="AZ76" s="297">
        <f>AW76/DB!$B$23</f>
        <v>0</v>
      </c>
      <c r="BA76" s="297">
        <f>AX76/DB!$B$23</f>
        <v>8.4126506024096368E-9</v>
      </c>
    </row>
    <row r="77" spans="1:53" s="92" customFormat="1" ht="15" thickBot="1" x14ac:dyDescent="0.35">
      <c r="A77" s="82" t="s">
        <v>484</v>
      </c>
      <c r="B77" s="82" t="str">
        <f>B72</f>
        <v>Насосное оборудование УПН, нефть</v>
      </c>
      <c r="C77" s="84" t="s">
        <v>178</v>
      </c>
      <c r="D77" s="85" t="s">
        <v>27</v>
      </c>
      <c r="E77" s="98">
        <f>E75</f>
        <v>1.0000000000000001E-5</v>
      </c>
      <c r="F77" s="99">
        <f>F72</f>
        <v>21</v>
      </c>
      <c r="G77" s="82">
        <v>0.63174999999999992</v>
      </c>
      <c r="H77" s="87">
        <f t="shared" si="83"/>
        <v>1.3266749999999998E-4</v>
      </c>
      <c r="I77" s="100">
        <f>0.15*I72</f>
        <v>0.18</v>
      </c>
      <c r="J77" s="82">
        <v>0</v>
      </c>
      <c r="K77" s="105" t="s">
        <v>138</v>
      </c>
      <c r="L77" s="105">
        <v>16</v>
      </c>
      <c r="M77" s="92" t="str">
        <f t="shared" si="84"/>
        <v>C62</v>
      </c>
      <c r="N77" s="92" t="str">
        <f t="shared" si="84"/>
        <v>Насосное оборудование УПН, нефть</v>
      </c>
      <c r="O77" s="92" t="str">
        <f t="shared" si="85"/>
        <v>Частичное-ликвидация</v>
      </c>
      <c r="P77" s="92" t="s">
        <v>46</v>
      </c>
      <c r="Q77" s="92" t="s">
        <v>46</v>
      </c>
      <c r="R77" s="92" t="s">
        <v>46</v>
      </c>
      <c r="S77" s="92" t="s">
        <v>46</v>
      </c>
      <c r="T77" s="92" t="s">
        <v>46</v>
      </c>
      <c r="U77" s="92" t="s">
        <v>46</v>
      </c>
      <c r="V77" s="92" t="s">
        <v>46</v>
      </c>
      <c r="W77" s="92" t="s">
        <v>46</v>
      </c>
      <c r="X77" s="92" t="s">
        <v>46</v>
      </c>
      <c r="Y77" s="92" t="s">
        <v>46</v>
      </c>
      <c r="Z77" s="92" t="s">
        <v>46</v>
      </c>
      <c r="AA77" s="92" t="s">
        <v>46</v>
      </c>
      <c r="AB77" s="92" t="s">
        <v>46</v>
      </c>
      <c r="AC77" s="92" t="s">
        <v>46</v>
      </c>
      <c r="AD77" s="92" t="s">
        <v>46</v>
      </c>
      <c r="AE77" s="92" t="s">
        <v>46</v>
      </c>
      <c r="AF77" s="92" t="s">
        <v>46</v>
      </c>
      <c r="AG77" s="92" t="s">
        <v>46</v>
      </c>
      <c r="AH77" s="92" t="s">
        <v>46</v>
      </c>
      <c r="AI77" s="92" t="s">
        <v>46</v>
      </c>
      <c r="AJ77" s="92">
        <v>0</v>
      </c>
      <c r="AK77" s="92">
        <v>0</v>
      </c>
      <c r="AL77" s="92">
        <f>0.1*$AL$2</f>
        <v>7.5000000000000011E-2</v>
      </c>
      <c r="AM77" s="92">
        <f>AM72</f>
        <v>2.7E-2</v>
      </c>
      <c r="AN77" s="92">
        <f>ROUNDUP(AN72/3,0)</f>
        <v>1</v>
      </c>
      <c r="AQ77" s="95">
        <f>AM77*I77*0.1+AL77</f>
        <v>7.5486000000000011E-2</v>
      </c>
      <c r="AR77" s="95">
        <f t="shared" si="86"/>
        <v>7.5486000000000017E-3</v>
      </c>
      <c r="AS77" s="96">
        <f t="shared" si="87"/>
        <v>0</v>
      </c>
      <c r="AT77" s="96">
        <f t="shared" si="88"/>
        <v>2.0758650000000003E-2</v>
      </c>
      <c r="AU77" s="95">
        <f>1333*J76*POWER(10,-6)</f>
        <v>1.3329999999999999E-5</v>
      </c>
      <c r="AV77" s="96">
        <f t="shared" si="89"/>
        <v>0.10380658000000001</v>
      </c>
      <c r="AW77" s="97">
        <f t="shared" si="90"/>
        <v>0</v>
      </c>
      <c r="AX77" s="97">
        <f t="shared" si="91"/>
        <v>0</v>
      </c>
      <c r="AY77" s="97">
        <f t="shared" si="92"/>
        <v>1.3771759452149999E-5</v>
      </c>
      <c r="AZ77" s="297">
        <f>AW77/DB!$B$23</f>
        <v>0</v>
      </c>
      <c r="BA77" s="297">
        <f>AX77/DB!$B$23</f>
        <v>0</v>
      </c>
    </row>
    <row r="78" spans="1:53" s="92" customFormat="1" x14ac:dyDescent="0.3">
      <c r="A78" s="93"/>
      <c r="B78" s="93"/>
      <c r="D78" s="184"/>
      <c r="E78" s="185"/>
      <c r="F78" s="186"/>
      <c r="G78" s="93"/>
      <c r="H78" s="97"/>
      <c r="I78" s="96"/>
      <c r="J78" s="93"/>
      <c r="K78" s="296" t="s">
        <v>468</v>
      </c>
      <c r="L78" s="295" t="s">
        <v>709</v>
      </c>
      <c r="AQ78" s="95"/>
      <c r="AR78" s="95"/>
      <c r="AS78" s="96"/>
      <c r="AT78" s="96"/>
      <c r="AU78" s="95"/>
      <c r="AV78" s="96"/>
      <c r="AW78" s="97"/>
      <c r="AX78" s="97"/>
      <c r="AY78" s="97"/>
    </row>
    <row r="79" spans="1:53" s="92" customFormat="1" x14ac:dyDescent="0.3">
      <c r="A79" s="93"/>
      <c r="B79" s="93"/>
      <c r="D79" s="184"/>
      <c r="E79" s="185"/>
      <c r="F79" s="186"/>
      <c r="G79" s="93"/>
      <c r="H79" s="97"/>
      <c r="I79" s="96"/>
      <c r="J79" s="93"/>
      <c r="K79" s="93"/>
      <c r="L79" s="93"/>
      <c r="AQ79" s="95"/>
      <c r="AR79" s="95"/>
      <c r="AS79" s="96"/>
      <c r="AT79" s="96"/>
      <c r="AU79" s="95"/>
      <c r="AV79" s="96"/>
      <c r="AW79" s="97"/>
      <c r="AX79" s="97"/>
      <c r="AY79" s="97"/>
    </row>
    <row r="80" spans="1:53" s="92" customFormat="1" x14ac:dyDescent="0.3">
      <c r="A80" s="93"/>
      <c r="B80" s="93"/>
      <c r="D80" s="184"/>
      <c r="E80" s="185"/>
      <c r="F80" s="186"/>
      <c r="G80" s="93"/>
      <c r="H80" s="97"/>
      <c r="I80" s="96"/>
      <c r="J80" s="93"/>
      <c r="K80" s="93"/>
      <c r="L80" s="93"/>
      <c r="AQ80" s="95"/>
      <c r="AR80" s="95"/>
      <c r="AS80" s="96"/>
      <c r="AT80" s="96"/>
      <c r="AU80" s="95"/>
      <c r="AV80" s="96"/>
      <c r="AW80" s="97"/>
      <c r="AX80" s="97"/>
      <c r="AY80" s="97"/>
    </row>
    <row r="81" spans="1:53" ht="15" thickBot="1" x14ac:dyDescent="0.35"/>
    <row r="82" spans="1:53" s="92" customFormat="1" ht="15" thickBot="1" x14ac:dyDescent="0.35">
      <c r="A82" s="82" t="s">
        <v>790</v>
      </c>
      <c r="B82" s="83" t="s">
        <v>718</v>
      </c>
      <c r="C82" s="84" t="s">
        <v>174</v>
      </c>
      <c r="D82" s="85" t="s">
        <v>130</v>
      </c>
      <c r="E82" s="86">
        <v>1.0000000000000001E-5</v>
      </c>
      <c r="F82" s="83">
        <v>4</v>
      </c>
      <c r="G82" s="82">
        <v>1.4999999999999999E-2</v>
      </c>
      <c r="H82" s="87">
        <f t="shared" ref="H82:H87" si="93">E82*F82*G82</f>
        <v>6.0000000000000008E-7</v>
      </c>
      <c r="I82" s="88">
        <v>0.9</v>
      </c>
      <c r="J82" s="100">
        <f>I82</f>
        <v>0.9</v>
      </c>
      <c r="K82" s="90" t="s">
        <v>122</v>
      </c>
      <c r="L82" s="91">
        <v>30</v>
      </c>
      <c r="M82" s="92" t="str">
        <f t="shared" ref="M82:M87" si="94">A82</f>
        <v>C63</v>
      </c>
      <c r="N82" s="92" t="str">
        <f t="shared" ref="N82:N87" si="95">B82</f>
        <v>Насосное оборудование УПН,хим.реагент</v>
      </c>
      <c r="O82" s="92" t="str">
        <f t="shared" ref="O82:O87" si="96">D82</f>
        <v>Полное-факел</v>
      </c>
      <c r="P82" s="92" t="s">
        <v>46</v>
      </c>
      <c r="Q82" s="92" t="s">
        <v>46</v>
      </c>
      <c r="R82" s="92" t="s">
        <v>46</v>
      </c>
      <c r="S82" s="92" t="s">
        <v>46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>
        <v>15</v>
      </c>
      <c r="Z82" s="92">
        <v>3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1</v>
      </c>
      <c r="AL82" s="94">
        <v>0.75</v>
      </c>
      <c r="AM82" s="94">
        <v>2.7E-2</v>
      </c>
      <c r="AN82" s="94">
        <v>3</v>
      </c>
      <c r="AQ82" s="95">
        <f>AM82*I82+AL82</f>
        <v>0.77429999999999999</v>
      </c>
      <c r="AR82" s="95">
        <f t="shared" ref="AR82:AR87" si="97">0.1*AQ82</f>
        <v>7.7429999999999999E-2</v>
      </c>
      <c r="AS82" s="96">
        <f t="shared" ref="AS82:AS87" si="98">AJ82*3+0.25*AK82</f>
        <v>3.25</v>
      </c>
      <c r="AT82" s="96">
        <f t="shared" ref="AT82:AT87" si="99">SUM(AQ82:AS82)/4</f>
        <v>1.0254325</v>
      </c>
      <c r="AU82" s="95">
        <f>10068.2*J82*POWER(10,-6)</f>
        <v>9.0613800000000008E-3</v>
      </c>
      <c r="AV82" s="96">
        <f t="shared" ref="AV82:AV87" si="100">AU82+AT82+AS82+AR82+AQ82</f>
        <v>5.1362238799999993</v>
      </c>
      <c r="AW82" s="97">
        <f t="shared" ref="AW82:AW87" si="101">AJ82*H82</f>
        <v>6.0000000000000008E-7</v>
      </c>
      <c r="AX82" s="97">
        <f t="shared" ref="AX82:AX87" si="102">H82*AK82</f>
        <v>6.0000000000000008E-7</v>
      </c>
      <c r="AY82" s="97">
        <f t="shared" ref="AY82:AY87" si="103">H82*AV82</f>
        <v>3.0817343280000001E-6</v>
      </c>
      <c r="AZ82" s="297">
        <f>AW82/DB!$B$23</f>
        <v>7.2289156626506037E-10</v>
      </c>
      <c r="BA82" s="297">
        <f>AX82/DB!$B$23</f>
        <v>7.2289156626506037E-10</v>
      </c>
    </row>
    <row r="83" spans="1:53" s="92" customFormat="1" ht="15" thickBot="1" x14ac:dyDescent="0.35">
      <c r="A83" s="82" t="s">
        <v>791</v>
      </c>
      <c r="B83" s="82" t="str">
        <f>B82</f>
        <v>Насосное оборудование УПН,хим.реагент</v>
      </c>
      <c r="C83" s="84" t="s">
        <v>175</v>
      </c>
      <c r="D83" s="85" t="s">
        <v>173</v>
      </c>
      <c r="E83" s="98">
        <f>E82</f>
        <v>1.0000000000000001E-5</v>
      </c>
      <c r="F83" s="99">
        <f>F82</f>
        <v>4</v>
      </c>
      <c r="G83" s="82">
        <v>1.4249999999999999E-2</v>
      </c>
      <c r="H83" s="87">
        <f t="shared" si="93"/>
        <v>5.7000000000000005E-7</v>
      </c>
      <c r="I83" s="100">
        <f>I82</f>
        <v>0.9</v>
      </c>
      <c r="J83" s="190">
        <f>POWER(10,-6)*35*SQRT(100)*3600*L82/1000*0.1</f>
        <v>3.7800000000000004E-3</v>
      </c>
      <c r="K83" s="90" t="s">
        <v>123</v>
      </c>
      <c r="L83" s="91">
        <v>0</v>
      </c>
      <c r="M83" s="92" t="str">
        <f t="shared" si="94"/>
        <v>C64</v>
      </c>
      <c r="N83" s="92" t="str">
        <f t="shared" si="95"/>
        <v>Насосное оборудование УПН,хим.реагент</v>
      </c>
      <c r="O83" s="92" t="str">
        <f t="shared" si="96"/>
        <v>Полное-взрыв облака ТВС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11.6</v>
      </c>
      <c r="W83" s="92">
        <v>39.6</v>
      </c>
      <c r="X83" s="92">
        <v>57.6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0</v>
      </c>
      <c r="AK83" s="93">
        <v>1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0.77429999999999999</v>
      </c>
      <c r="AR83" s="95">
        <f t="shared" si="97"/>
        <v>7.7429999999999999E-2</v>
      </c>
      <c r="AS83" s="96">
        <f t="shared" si="98"/>
        <v>0.25</v>
      </c>
      <c r="AT83" s="96">
        <f t="shared" si="99"/>
        <v>0.27543249999999997</v>
      </c>
      <c r="AU83" s="95">
        <f>10068.2*J83*POWER(10,-6)*10</f>
        <v>3.8057796000000001E-4</v>
      </c>
      <c r="AV83" s="96">
        <f t="shared" si="100"/>
        <v>1.37754307796</v>
      </c>
      <c r="AW83" s="97">
        <f t="shared" si="101"/>
        <v>0</v>
      </c>
      <c r="AX83" s="97">
        <f t="shared" si="102"/>
        <v>5.7000000000000005E-7</v>
      </c>
      <c r="AY83" s="97">
        <f t="shared" si="103"/>
        <v>7.8519955443720007E-7</v>
      </c>
      <c r="AZ83" s="297">
        <f>AW83/DB!$B$23</f>
        <v>0</v>
      </c>
      <c r="BA83" s="297">
        <f>AX83/DB!$B$23</f>
        <v>6.8674698795180729E-10</v>
      </c>
    </row>
    <row r="84" spans="1:53" s="92" customFormat="1" x14ac:dyDescent="0.3">
      <c r="A84" s="82" t="s">
        <v>792</v>
      </c>
      <c r="B84" s="82" t="str">
        <f>B82</f>
        <v>Насосное оборудование УПН,хим.реагент</v>
      </c>
      <c r="C84" s="84" t="s">
        <v>176</v>
      </c>
      <c r="D84" s="85" t="s">
        <v>26</v>
      </c>
      <c r="E84" s="98">
        <f>E82</f>
        <v>1.0000000000000001E-5</v>
      </c>
      <c r="F84" s="99">
        <f>F82</f>
        <v>4</v>
      </c>
      <c r="G84" s="82">
        <v>0.27074999999999999</v>
      </c>
      <c r="H84" s="87">
        <f t="shared" si="93"/>
        <v>1.0830000000000001E-5</v>
      </c>
      <c r="I84" s="100">
        <f>I82</f>
        <v>0.9</v>
      </c>
      <c r="J84" s="82">
        <v>0</v>
      </c>
      <c r="K84" s="90" t="s">
        <v>124</v>
      </c>
      <c r="L84" s="91">
        <v>1</v>
      </c>
      <c r="M84" s="92" t="str">
        <f t="shared" si="94"/>
        <v>C65</v>
      </c>
      <c r="N84" s="92" t="str">
        <f t="shared" si="95"/>
        <v>Насосное оборудование УПН,хим.реагент</v>
      </c>
      <c r="O84" s="92" t="str">
        <f t="shared" si="9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0.75243000000000004</v>
      </c>
      <c r="AR84" s="95">
        <f t="shared" si="97"/>
        <v>7.5243000000000004E-2</v>
      </c>
      <c r="AS84" s="96">
        <f t="shared" si="98"/>
        <v>0</v>
      </c>
      <c r="AT84" s="96">
        <f t="shared" si="99"/>
        <v>0.20691825000000003</v>
      </c>
      <c r="AU84" s="95">
        <f>1333*J83*POWER(10,-6)</f>
        <v>5.0387400000000008E-6</v>
      </c>
      <c r="AV84" s="96">
        <f t="shared" si="100"/>
        <v>1.03459628874</v>
      </c>
      <c r="AW84" s="97">
        <f t="shared" si="101"/>
        <v>0</v>
      </c>
      <c r="AX84" s="97">
        <f t="shared" si="102"/>
        <v>0</v>
      </c>
      <c r="AY84" s="97">
        <f t="shared" si="103"/>
        <v>1.1204677807054202E-5</v>
      </c>
      <c r="AZ84" s="297">
        <f>AW84/DB!$B$23</f>
        <v>0</v>
      </c>
      <c r="BA84" s="297">
        <f>AX84/DB!$B$23</f>
        <v>0</v>
      </c>
    </row>
    <row r="85" spans="1:53" s="92" customFormat="1" x14ac:dyDescent="0.3">
      <c r="A85" s="82" t="s">
        <v>793</v>
      </c>
      <c r="B85" s="82" t="str">
        <f>B82</f>
        <v>Насосное оборудование УПН,хим.реагент</v>
      </c>
      <c r="C85" s="84" t="s">
        <v>177</v>
      </c>
      <c r="D85" s="85" t="s">
        <v>47</v>
      </c>
      <c r="E85" s="98">
        <f>E83</f>
        <v>1.0000000000000001E-5</v>
      </c>
      <c r="F85" s="99">
        <f>F82</f>
        <v>4</v>
      </c>
      <c r="G85" s="82">
        <v>3.4999999999999996E-2</v>
      </c>
      <c r="H85" s="87">
        <f t="shared" si="93"/>
        <v>1.3999999999999999E-6</v>
      </c>
      <c r="I85" s="100">
        <f>0.15*I82</f>
        <v>0.13500000000000001</v>
      </c>
      <c r="J85" s="100">
        <f>I85</f>
        <v>0.13500000000000001</v>
      </c>
      <c r="K85" s="103" t="s">
        <v>126</v>
      </c>
      <c r="L85" s="104">
        <v>45390</v>
      </c>
      <c r="M85" s="92" t="str">
        <f t="shared" si="94"/>
        <v>C66</v>
      </c>
      <c r="N85" s="92" t="str">
        <f t="shared" si="95"/>
        <v>Насосное оборудование УПН,хим.реагент</v>
      </c>
      <c r="O85" s="92" t="str">
        <f t="shared" si="96"/>
        <v>Частичное-пожар</v>
      </c>
      <c r="P85" s="92">
        <v>5.2</v>
      </c>
      <c r="Q85" s="92">
        <v>7.5</v>
      </c>
      <c r="R85" s="92">
        <v>11.1</v>
      </c>
      <c r="S85" s="92">
        <v>21.3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1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7.8645000000000007E-2</v>
      </c>
      <c r="AR85" s="95">
        <f t="shared" si="97"/>
        <v>7.8645000000000017E-3</v>
      </c>
      <c r="AS85" s="96">
        <f t="shared" si="98"/>
        <v>0.25</v>
      </c>
      <c r="AT85" s="96">
        <f t="shared" si="99"/>
        <v>8.4127375000000004E-2</v>
      </c>
      <c r="AU85" s="95">
        <f>10068.2*J85*POWER(10,-6)</f>
        <v>1.3592070000000001E-3</v>
      </c>
      <c r="AV85" s="96">
        <f t="shared" si="100"/>
        <v>0.42199608200000005</v>
      </c>
      <c r="AW85" s="97">
        <f t="shared" si="101"/>
        <v>0</v>
      </c>
      <c r="AX85" s="97">
        <f t="shared" si="102"/>
        <v>1.3999999999999999E-6</v>
      </c>
      <c r="AY85" s="97">
        <f t="shared" si="103"/>
        <v>5.9079451480000009E-7</v>
      </c>
      <c r="AZ85" s="297">
        <f>AW85/DB!$B$23</f>
        <v>0</v>
      </c>
      <c r="BA85" s="297">
        <f>AX85/DB!$B$23</f>
        <v>1.6867469879518071E-9</v>
      </c>
    </row>
    <row r="86" spans="1:53" s="92" customFormat="1" x14ac:dyDescent="0.3">
      <c r="A86" s="82" t="s">
        <v>794</v>
      </c>
      <c r="B86" s="82" t="str">
        <f>B82</f>
        <v>Насосное оборудование УПН,хим.реагент</v>
      </c>
      <c r="C86" s="84" t="s">
        <v>423</v>
      </c>
      <c r="D86" s="85" t="s">
        <v>422</v>
      </c>
      <c r="E86" s="98">
        <f>E84</f>
        <v>1.0000000000000001E-5</v>
      </c>
      <c r="F86" s="99">
        <f>F82</f>
        <v>4</v>
      </c>
      <c r="G86" s="82">
        <v>3.3249999999999995E-2</v>
      </c>
      <c r="H86" s="87">
        <f t="shared" si="93"/>
        <v>1.33E-6</v>
      </c>
      <c r="I86" s="100">
        <f>0.15*I82</f>
        <v>0.13500000000000001</v>
      </c>
      <c r="J86" s="100">
        <v>0.01</v>
      </c>
      <c r="K86" s="103" t="s">
        <v>127</v>
      </c>
      <c r="L86" s="104">
        <v>3</v>
      </c>
      <c r="M86" s="92" t="str">
        <f t="shared" si="94"/>
        <v>C67</v>
      </c>
      <c r="N86" s="92" t="str">
        <f t="shared" si="95"/>
        <v>Насосное оборудование УПН,хим.реагент</v>
      </c>
      <c r="O86" s="92" t="str">
        <f t="shared" si="96"/>
        <v>Частичное-вспышка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7.33</v>
      </c>
      <c r="AB86" s="92">
        <v>8.8000000000000007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7.8645000000000007E-2</v>
      </c>
      <c r="AR86" s="95">
        <f t="shared" si="97"/>
        <v>7.8645000000000017E-3</v>
      </c>
      <c r="AS86" s="96">
        <f t="shared" si="98"/>
        <v>0.25</v>
      </c>
      <c r="AT86" s="96">
        <f t="shared" si="99"/>
        <v>8.4127375000000004E-2</v>
      </c>
      <c r="AU86" s="95">
        <f>10068.2*J86*POWER(10,-6)*10</f>
        <v>1.0068200000000001E-3</v>
      </c>
      <c r="AV86" s="96">
        <f t="shared" si="100"/>
        <v>0.42164369500000004</v>
      </c>
      <c r="AW86" s="97">
        <f t="shared" si="101"/>
        <v>0</v>
      </c>
      <c r="AX86" s="97">
        <f t="shared" si="102"/>
        <v>1.33E-6</v>
      </c>
      <c r="AY86" s="97">
        <f t="shared" si="103"/>
        <v>5.6078611435000007E-7</v>
      </c>
      <c r="AZ86" s="297">
        <f>AW86/DB!$B$23</f>
        <v>0</v>
      </c>
      <c r="BA86" s="297">
        <f>AX86/DB!$B$23</f>
        <v>1.6024096385542168E-9</v>
      </c>
    </row>
    <row r="87" spans="1:53" s="92" customFormat="1" ht="15" thickBot="1" x14ac:dyDescent="0.35">
      <c r="A87" s="82" t="s">
        <v>795</v>
      </c>
      <c r="B87" s="82" t="str">
        <f>B82</f>
        <v>Насосное оборудование УПН,хим.реагент</v>
      </c>
      <c r="C87" s="84" t="s">
        <v>178</v>
      </c>
      <c r="D87" s="85" t="s">
        <v>27</v>
      </c>
      <c r="E87" s="98">
        <f>E85</f>
        <v>1.0000000000000001E-5</v>
      </c>
      <c r="F87" s="99">
        <f>F82</f>
        <v>4</v>
      </c>
      <c r="G87" s="82">
        <v>0.63174999999999992</v>
      </c>
      <c r="H87" s="87">
        <f t="shared" si="93"/>
        <v>2.527E-5</v>
      </c>
      <c r="I87" s="100">
        <f>0.15*I82</f>
        <v>0.13500000000000001</v>
      </c>
      <c r="J87" s="82">
        <v>0</v>
      </c>
      <c r="K87" s="105" t="s">
        <v>138</v>
      </c>
      <c r="L87" s="105">
        <v>16</v>
      </c>
      <c r="M87" s="92" t="str">
        <f t="shared" si="94"/>
        <v>C68</v>
      </c>
      <c r="N87" s="92" t="str">
        <f t="shared" si="95"/>
        <v>Насосное оборудование УПН,хим.реагент</v>
      </c>
      <c r="O87" s="92" t="str">
        <f t="shared" si="9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7.5364500000000015E-2</v>
      </c>
      <c r="AR87" s="95">
        <f t="shared" si="97"/>
        <v>7.5364500000000018E-3</v>
      </c>
      <c r="AS87" s="96">
        <f t="shared" si="98"/>
        <v>0</v>
      </c>
      <c r="AT87" s="96">
        <f t="shared" si="99"/>
        <v>2.0725237500000004E-2</v>
      </c>
      <c r="AU87" s="95">
        <f>1333*J86*POWER(10,-6)</f>
        <v>1.3329999999999999E-5</v>
      </c>
      <c r="AV87" s="96">
        <f t="shared" si="100"/>
        <v>0.10363951750000003</v>
      </c>
      <c r="AW87" s="97">
        <f t="shared" si="101"/>
        <v>0</v>
      </c>
      <c r="AX87" s="97">
        <f t="shared" si="102"/>
        <v>0</v>
      </c>
      <c r="AY87" s="97">
        <f t="shared" si="103"/>
        <v>2.6189706072250008E-6</v>
      </c>
      <c r="AZ87" s="297">
        <f>AW87/DB!$B$23</f>
        <v>0</v>
      </c>
      <c r="BA87" s="297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296" t="s">
        <v>468</v>
      </c>
      <c r="L88" s="295" t="s">
        <v>709</v>
      </c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/>
    <row r="92" spans="1:53" s="92" customFormat="1" ht="15" thickBot="1" x14ac:dyDescent="0.35">
      <c r="A92" s="82" t="s">
        <v>796</v>
      </c>
      <c r="B92" s="83" t="s">
        <v>719</v>
      </c>
      <c r="C92" s="84" t="s">
        <v>174</v>
      </c>
      <c r="D92" s="85" t="s">
        <v>130</v>
      </c>
      <c r="E92" s="86">
        <v>1.0000000000000001E-5</v>
      </c>
      <c r="F92" s="83">
        <v>4</v>
      </c>
      <c r="G92" s="82">
        <v>1.4999999999999999E-2</v>
      </c>
      <c r="H92" s="87">
        <f t="shared" ref="H92:H97" si="104">E92*F92*G92</f>
        <v>6.0000000000000008E-7</v>
      </c>
      <c r="I92" s="88">
        <v>0.9</v>
      </c>
      <c r="J92" s="100">
        <f>I92</f>
        <v>0.9</v>
      </c>
      <c r="K92" s="90" t="s">
        <v>122</v>
      </c>
      <c r="L92" s="91">
        <v>30</v>
      </c>
      <c r="M92" s="92" t="str">
        <f t="shared" ref="M92:M97" si="105">A92</f>
        <v>C69</v>
      </c>
      <c r="N92" s="92" t="str">
        <f t="shared" ref="N92:N97" si="106">B92</f>
        <v>Насосное оборудование УПН,пенообразователь</v>
      </c>
      <c r="O92" s="92" t="str">
        <f t="shared" ref="O92:O97" si="107">D92</f>
        <v>Полное-факел</v>
      </c>
      <c r="P92" s="92" t="s">
        <v>46</v>
      </c>
      <c r="Q92" s="92" t="s">
        <v>46</v>
      </c>
      <c r="R92" s="92" t="s">
        <v>46</v>
      </c>
      <c r="S92" s="92" t="s">
        <v>46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>
        <v>15</v>
      </c>
      <c r="Z92" s="92">
        <v>3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1</v>
      </c>
      <c r="AL92" s="94">
        <v>0.75</v>
      </c>
      <c r="AM92" s="94">
        <v>2.7E-2</v>
      </c>
      <c r="AN92" s="94">
        <v>3</v>
      </c>
      <c r="AQ92" s="95">
        <f>AM92*I92+AL92</f>
        <v>0.77429999999999999</v>
      </c>
      <c r="AR92" s="95">
        <f t="shared" ref="AR92:AR97" si="108">0.1*AQ92</f>
        <v>7.7429999999999999E-2</v>
      </c>
      <c r="AS92" s="96">
        <f t="shared" ref="AS92:AS97" si="109">AJ92*3+0.25*AK92</f>
        <v>3.25</v>
      </c>
      <c r="AT92" s="96">
        <f t="shared" ref="AT92:AT97" si="110">SUM(AQ92:AS92)/4</f>
        <v>1.0254325</v>
      </c>
      <c r="AU92" s="95">
        <f>10068.2*J92*POWER(10,-6)</f>
        <v>9.0613800000000008E-3</v>
      </c>
      <c r="AV92" s="96">
        <f t="shared" ref="AV92:AV97" si="111">AU92+AT92+AS92+AR92+AQ92</f>
        <v>5.1362238799999993</v>
      </c>
      <c r="AW92" s="97">
        <f t="shared" ref="AW92:AW97" si="112">AJ92*H92</f>
        <v>6.0000000000000008E-7</v>
      </c>
      <c r="AX92" s="97">
        <f t="shared" ref="AX92:AX97" si="113">H92*AK92</f>
        <v>6.0000000000000008E-7</v>
      </c>
      <c r="AY92" s="97">
        <f t="shared" ref="AY92:AY97" si="114">H92*AV92</f>
        <v>3.0817343280000001E-6</v>
      </c>
      <c r="AZ92" s="297">
        <f>AW92/DB!$B$23</f>
        <v>7.2289156626506037E-10</v>
      </c>
      <c r="BA92" s="297">
        <f>AX92/DB!$B$23</f>
        <v>7.2289156626506037E-10</v>
      </c>
    </row>
    <row r="93" spans="1:53" s="92" customFormat="1" ht="15" thickBot="1" x14ac:dyDescent="0.35">
      <c r="A93" s="82" t="s">
        <v>797</v>
      </c>
      <c r="B93" s="82" t="str">
        <f>B92</f>
        <v>Насосное оборудование УПН,пенообразователь</v>
      </c>
      <c r="C93" s="84" t="s">
        <v>175</v>
      </c>
      <c r="D93" s="85" t="s">
        <v>173</v>
      </c>
      <c r="E93" s="98">
        <f>E92</f>
        <v>1.0000000000000001E-5</v>
      </c>
      <c r="F93" s="99">
        <f>F92</f>
        <v>4</v>
      </c>
      <c r="G93" s="82">
        <v>1.4249999999999999E-2</v>
      </c>
      <c r="H93" s="87">
        <f t="shared" si="104"/>
        <v>5.7000000000000005E-7</v>
      </c>
      <c r="I93" s="100">
        <f>I92</f>
        <v>0.9</v>
      </c>
      <c r="J93" s="190">
        <f>POWER(10,-6)*35*SQRT(100)*3600*L92/1000*0.1</f>
        <v>3.7800000000000004E-3</v>
      </c>
      <c r="K93" s="90" t="s">
        <v>123</v>
      </c>
      <c r="L93" s="91">
        <v>0</v>
      </c>
      <c r="M93" s="92" t="str">
        <f t="shared" si="105"/>
        <v>C70</v>
      </c>
      <c r="N93" s="92" t="str">
        <f t="shared" si="106"/>
        <v>Насосное оборудование УПН,пенообразователь</v>
      </c>
      <c r="O93" s="92" t="str">
        <f t="shared" si="107"/>
        <v>Полное-взрыв облака ТВС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11.6</v>
      </c>
      <c r="W93" s="92">
        <v>39.6</v>
      </c>
      <c r="X93" s="92">
        <v>57.6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0</v>
      </c>
      <c r="AK93" s="93">
        <v>1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0.77429999999999999</v>
      </c>
      <c r="AR93" s="95">
        <f t="shared" si="108"/>
        <v>7.7429999999999999E-2</v>
      </c>
      <c r="AS93" s="96">
        <f t="shared" si="109"/>
        <v>0.25</v>
      </c>
      <c r="AT93" s="96">
        <f t="shared" si="110"/>
        <v>0.27543249999999997</v>
      </c>
      <c r="AU93" s="95">
        <f>10068.2*J93*POWER(10,-6)*10</f>
        <v>3.8057796000000001E-4</v>
      </c>
      <c r="AV93" s="96">
        <f t="shared" si="111"/>
        <v>1.37754307796</v>
      </c>
      <c r="AW93" s="97">
        <f t="shared" si="112"/>
        <v>0</v>
      </c>
      <c r="AX93" s="97">
        <f t="shared" si="113"/>
        <v>5.7000000000000005E-7</v>
      </c>
      <c r="AY93" s="97">
        <f t="shared" si="114"/>
        <v>7.8519955443720007E-7</v>
      </c>
      <c r="AZ93" s="297">
        <f>AW93/DB!$B$23</f>
        <v>0</v>
      </c>
      <c r="BA93" s="297">
        <f>AX93/DB!$B$23</f>
        <v>6.8674698795180729E-10</v>
      </c>
    </row>
    <row r="94" spans="1:53" s="92" customFormat="1" x14ac:dyDescent="0.3">
      <c r="A94" s="82" t="s">
        <v>798</v>
      </c>
      <c r="B94" s="82" t="str">
        <f>B92</f>
        <v>Насосное оборудование УПН,пенообразователь</v>
      </c>
      <c r="C94" s="84" t="s">
        <v>176</v>
      </c>
      <c r="D94" s="85" t="s">
        <v>26</v>
      </c>
      <c r="E94" s="98">
        <f>E92</f>
        <v>1.0000000000000001E-5</v>
      </c>
      <c r="F94" s="99">
        <f>F92</f>
        <v>4</v>
      </c>
      <c r="G94" s="82">
        <v>0.27074999999999999</v>
      </c>
      <c r="H94" s="87">
        <f t="shared" si="104"/>
        <v>1.0830000000000001E-5</v>
      </c>
      <c r="I94" s="100">
        <f>I92</f>
        <v>0.9</v>
      </c>
      <c r="J94" s="82">
        <v>0</v>
      </c>
      <c r="K94" s="90" t="s">
        <v>124</v>
      </c>
      <c r="L94" s="91">
        <v>1</v>
      </c>
      <c r="M94" s="92" t="str">
        <f t="shared" si="105"/>
        <v>C71</v>
      </c>
      <c r="N94" s="92" t="str">
        <f t="shared" si="106"/>
        <v>Насосное оборудование УПН,пенообразователь</v>
      </c>
      <c r="O94" s="92" t="str">
        <f t="shared" si="107"/>
        <v>Полное-ликвидация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 t="s">
        <v>46</v>
      </c>
      <c r="AD94" s="92" t="s">
        <v>46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0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0.75243000000000004</v>
      </c>
      <c r="AR94" s="95">
        <f t="shared" si="108"/>
        <v>7.5243000000000004E-2</v>
      </c>
      <c r="AS94" s="96">
        <f t="shared" si="109"/>
        <v>0</v>
      </c>
      <c r="AT94" s="96">
        <f t="shared" si="110"/>
        <v>0.20691825000000003</v>
      </c>
      <c r="AU94" s="95">
        <f>1333*J93*POWER(10,-6)</f>
        <v>5.0387400000000008E-6</v>
      </c>
      <c r="AV94" s="96">
        <f t="shared" si="111"/>
        <v>1.03459628874</v>
      </c>
      <c r="AW94" s="97">
        <f t="shared" si="112"/>
        <v>0</v>
      </c>
      <c r="AX94" s="97">
        <f t="shared" si="113"/>
        <v>0</v>
      </c>
      <c r="AY94" s="97">
        <f t="shared" si="114"/>
        <v>1.1204677807054202E-5</v>
      </c>
      <c r="AZ94" s="297">
        <f>AW94/DB!$B$23</f>
        <v>0</v>
      </c>
      <c r="BA94" s="297">
        <f>AX94/DB!$B$23</f>
        <v>0</v>
      </c>
    </row>
    <row r="95" spans="1:53" s="92" customFormat="1" x14ac:dyDescent="0.3">
      <c r="A95" s="82" t="s">
        <v>799</v>
      </c>
      <c r="B95" s="82" t="str">
        <f>B92</f>
        <v>Насосное оборудование УПН,пенообразователь</v>
      </c>
      <c r="C95" s="84" t="s">
        <v>177</v>
      </c>
      <c r="D95" s="85" t="s">
        <v>47</v>
      </c>
      <c r="E95" s="98">
        <f>E93</f>
        <v>1.0000000000000001E-5</v>
      </c>
      <c r="F95" s="99">
        <f>F92</f>
        <v>4</v>
      </c>
      <c r="G95" s="82">
        <v>3.4999999999999996E-2</v>
      </c>
      <c r="H95" s="87">
        <f t="shared" si="104"/>
        <v>1.3999999999999999E-6</v>
      </c>
      <c r="I95" s="100">
        <f>0.15*I92</f>
        <v>0.13500000000000001</v>
      </c>
      <c r="J95" s="100">
        <f>I95</f>
        <v>0.13500000000000001</v>
      </c>
      <c r="K95" s="103" t="s">
        <v>126</v>
      </c>
      <c r="L95" s="104">
        <v>45390</v>
      </c>
      <c r="M95" s="92" t="str">
        <f t="shared" si="105"/>
        <v>C72</v>
      </c>
      <c r="N95" s="92" t="str">
        <f t="shared" si="106"/>
        <v>Насосное оборудование УПН,пенообразователь</v>
      </c>
      <c r="O95" s="92" t="str">
        <f t="shared" si="107"/>
        <v>Частичное-пожар</v>
      </c>
      <c r="P95" s="92">
        <v>5.2</v>
      </c>
      <c r="Q95" s="92">
        <v>7.5</v>
      </c>
      <c r="R95" s="92">
        <v>11.1</v>
      </c>
      <c r="S95" s="92">
        <v>21.3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1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7.8645000000000007E-2</v>
      </c>
      <c r="AR95" s="95">
        <f t="shared" si="108"/>
        <v>7.8645000000000017E-3</v>
      </c>
      <c r="AS95" s="96">
        <f t="shared" si="109"/>
        <v>0.25</v>
      </c>
      <c r="AT95" s="96">
        <f t="shared" si="110"/>
        <v>8.4127375000000004E-2</v>
      </c>
      <c r="AU95" s="95">
        <f>10068.2*J95*POWER(10,-6)</f>
        <v>1.3592070000000001E-3</v>
      </c>
      <c r="AV95" s="96">
        <f t="shared" si="111"/>
        <v>0.42199608200000005</v>
      </c>
      <c r="AW95" s="97">
        <f t="shared" si="112"/>
        <v>0</v>
      </c>
      <c r="AX95" s="97">
        <f t="shared" si="113"/>
        <v>1.3999999999999999E-6</v>
      </c>
      <c r="AY95" s="97">
        <f t="shared" si="114"/>
        <v>5.9079451480000009E-7</v>
      </c>
      <c r="AZ95" s="297">
        <f>AW95/DB!$B$23</f>
        <v>0</v>
      </c>
      <c r="BA95" s="297">
        <f>AX95/DB!$B$23</f>
        <v>1.6867469879518071E-9</v>
      </c>
    </row>
    <row r="96" spans="1:53" s="92" customFormat="1" x14ac:dyDescent="0.3">
      <c r="A96" s="82" t="s">
        <v>800</v>
      </c>
      <c r="B96" s="82" t="str">
        <f>B92</f>
        <v>Насосное оборудование УПН,пенообразователь</v>
      </c>
      <c r="C96" s="84" t="s">
        <v>423</v>
      </c>
      <c r="D96" s="85" t="s">
        <v>422</v>
      </c>
      <c r="E96" s="98">
        <f>E94</f>
        <v>1.0000000000000001E-5</v>
      </c>
      <c r="F96" s="99">
        <f>F92</f>
        <v>4</v>
      </c>
      <c r="G96" s="82">
        <v>3.3249999999999995E-2</v>
      </c>
      <c r="H96" s="87">
        <f t="shared" si="104"/>
        <v>1.33E-6</v>
      </c>
      <c r="I96" s="100">
        <f>0.15*I92</f>
        <v>0.13500000000000001</v>
      </c>
      <c r="J96" s="100">
        <v>0.01</v>
      </c>
      <c r="K96" s="103" t="s">
        <v>127</v>
      </c>
      <c r="L96" s="104">
        <v>3</v>
      </c>
      <c r="M96" s="92" t="str">
        <f t="shared" si="105"/>
        <v>C73</v>
      </c>
      <c r="N96" s="92" t="str">
        <f t="shared" si="106"/>
        <v>Насосное оборудование УПН,пенообразователь</v>
      </c>
      <c r="O96" s="92" t="str">
        <f t="shared" si="107"/>
        <v>Частичное-вспышка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7.33</v>
      </c>
      <c r="AB96" s="92">
        <v>8.8000000000000007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7.8645000000000007E-2</v>
      </c>
      <c r="AR96" s="95">
        <f t="shared" si="108"/>
        <v>7.8645000000000017E-3</v>
      </c>
      <c r="AS96" s="96">
        <f t="shared" si="109"/>
        <v>0.25</v>
      </c>
      <c r="AT96" s="96">
        <f t="shared" si="110"/>
        <v>8.4127375000000004E-2</v>
      </c>
      <c r="AU96" s="95">
        <f>10068.2*J96*POWER(10,-6)*10</f>
        <v>1.0068200000000001E-3</v>
      </c>
      <c r="AV96" s="96">
        <f t="shared" si="111"/>
        <v>0.42164369500000004</v>
      </c>
      <c r="AW96" s="97">
        <f t="shared" si="112"/>
        <v>0</v>
      </c>
      <c r="AX96" s="97">
        <f t="shared" si="113"/>
        <v>1.33E-6</v>
      </c>
      <c r="AY96" s="97">
        <f t="shared" si="114"/>
        <v>5.6078611435000007E-7</v>
      </c>
      <c r="AZ96" s="297">
        <f>AW96/DB!$B$23</f>
        <v>0</v>
      </c>
      <c r="BA96" s="297">
        <f>AX96/DB!$B$23</f>
        <v>1.6024096385542168E-9</v>
      </c>
    </row>
    <row r="97" spans="1:53" s="92" customFormat="1" ht="15" thickBot="1" x14ac:dyDescent="0.35">
      <c r="A97" s="82" t="s">
        <v>801</v>
      </c>
      <c r="B97" s="82" t="str">
        <f>B92</f>
        <v>Насосное оборудование УПН,пенообразователь</v>
      </c>
      <c r="C97" s="84" t="s">
        <v>178</v>
      </c>
      <c r="D97" s="85" t="s">
        <v>27</v>
      </c>
      <c r="E97" s="98">
        <f>E95</f>
        <v>1.0000000000000001E-5</v>
      </c>
      <c r="F97" s="99">
        <f>F92</f>
        <v>4</v>
      </c>
      <c r="G97" s="82">
        <v>0.63174999999999992</v>
      </c>
      <c r="H97" s="87">
        <f t="shared" si="104"/>
        <v>2.527E-5</v>
      </c>
      <c r="I97" s="100">
        <f>0.15*I92</f>
        <v>0.13500000000000001</v>
      </c>
      <c r="J97" s="82">
        <v>0</v>
      </c>
      <c r="K97" s="105" t="s">
        <v>138</v>
      </c>
      <c r="L97" s="105">
        <v>16</v>
      </c>
      <c r="M97" s="92" t="str">
        <f t="shared" si="105"/>
        <v>C74</v>
      </c>
      <c r="N97" s="92" t="str">
        <f t="shared" si="106"/>
        <v>Насосное оборудование УПН,пенообразователь</v>
      </c>
      <c r="O97" s="92" t="str">
        <f t="shared" si="107"/>
        <v>Частичное-ликвидация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 t="s">
        <v>46</v>
      </c>
      <c r="AD97" s="92" t="s">
        <v>46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0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7.5364500000000015E-2</v>
      </c>
      <c r="AR97" s="95">
        <f t="shared" si="108"/>
        <v>7.5364500000000018E-3</v>
      </c>
      <c r="AS97" s="96">
        <f t="shared" si="109"/>
        <v>0</v>
      </c>
      <c r="AT97" s="96">
        <f t="shared" si="110"/>
        <v>2.0725237500000004E-2</v>
      </c>
      <c r="AU97" s="95">
        <f>1333*J96*POWER(10,-6)</f>
        <v>1.3329999999999999E-5</v>
      </c>
      <c r="AV97" s="96">
        <f t="shared" si="111"/>
        <v>0.10363951750000003</v>
      </c>
      <c r="AW97" s="97">
        <f t="shared" si="112"/>
        <v>0</v>
      </c>
      <c r="AX97" s="97">
        <f t="shared" si="113"/>
        <v>0</v>
      </c>
      <c r="AY97" s="97">
        <f t="shared" si="114"/>
        <v>2.6189706072250008E-6</v>
      </c>
      <c r="AZ97" s="297">
        <f>AW97/DB!$B$23</f>
        <v>0</v>
      </c>
      <c r="BA97" s="297">
        <f>AX97/DB!$B$23</f>
        <v>0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296" t="s">
        <v>468</v>
      </c>
      <c r="L98" s="295" t="s">
        <v>709</v>
      </c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802</v>
      </c>
      <c r="B102" s="83" t="s">
        <v>719</v>
      </c>
      <c r="C102" s="84" t="s">
        <v>174</v>
      </c>
      <c r="D102" s="85" t="s">
        <v>130</v>
      </c>
      <c r="E102" s="86">
        <v>1.0000000000000001E-5</v>
      </c>
      <c r="F102" s="83">
        <v>3</v>
      </c>
      <c r="G102" s="82">
        <v>1.4999999999999999E-2</v>
      </c>
      <c r="H102" s="87">
        <f t="shared" ref="H102:H107" si="115">E102*F102*G102</f>
        <v>4.5000000000000003E-7</v>
      </c>
      <c r="I102" s="88">
        <v>0.9</v>
      </c>
      <c r="J102" s="100">
        <f>I102</f>
        <v>0.9</v>
      </c>
      <c r="K102" s="90" t="s">
        <v>122</v>
      </c>
      <c r="L102" s="91">
        <v>30</v>
      </c>
      <c r="M102" s="92" t="str">
        <f t="shared" ref="M102:M107" si="116">A102</f>
        <v>C75</v>
      </c>
      <c r="N102" s="92" t="str">
        <f t="shared" ref="N102:N107" si="117">B102</f>
        <v>Насосное оборудование УПН,пенообразователь</v>
      </c>
      <c r="O102" s="92" t="str">
        <f t="shared" ref="O102:O107" si="118">D102</f>
        <v>Полное-факел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>
        <v>15</v>
      </c>
      <c r="Z102" s="92">
        <v>3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1</v>
      </c>
      <c r="AL102" s="94">
        <v>0.75</v>
      </c>
      <c r="AM102" s="94">
        <v>2.7E-2</v>
      </c>
      <c r="AN102" s="94">
        <v>3</v>
      </c>
      <c r="AQ102" s="95">
        <f>AM102*I102+AL102</f>
        <v>0.77429999999999999</v>
      </c>
      <c r="AR102" s="95">
        <f t="shared" ref="AR102:AR107" si="119">0.1*AQ102</f>
        <v>7.7429999999999999E-2</v>
      </c>
      <c r="AS102" s="96">
        <f t="shared" ref="AS102:AS107" si="120">AJ102*3+0.25*AK102</f>
        <v>3.25</v>
      </c>
      <c r="AT102" s="96">
        <f t="shared" ref="AT102:AT107" si="121">SUM(AQ102:AS102)/4</f>
        <v>1.0254325</v>
      </c>
      <c r="AU102" s="95">
        <f>10068.2*J102*POWER(10,-6)</f>
        <v>9.0613800000000008E-3</v>
      </c>
      <c r="AV102" s="96">
        <f t="shared" ref="AV102:AV107" si="122">AU102+AT102+AS102+AR102+AQ102</f>
        <v>5.1362238799999993</v>
      </c>
      <c r="AW102" s="97">
        <f t="shared" ref="AW102:AW107" si="123">AJ102*H102</f>
        <v>4.5000000000000003E-7</v>
      </c>
      <c r="AX102" s="97">
        <f t="shared" ref="AX102:AX107" si="124">H102*AK102</f>
        <v>4.5000000000000003E-7</v>
      </c>
      <c r="AY102" s="97">
        <f t="shared" ref="AY102:AY107" si="125">H102*AV102</f>
        <v>2.3113007459999997E-6</v>
      </c>
      <c r="AZ102" s="297">
        <f>AW102/DB!$B$23</f>
        <v>5.421686746987952E-10</v>
      </c>
      <c r="BA102" s="297">
        <f>AX102/DB!$B$23</f>
        <v>5.421686746987952E-10</v>
      </c>
    </row>
    <row r="103" spans="1:53" s="92" customFormat="1" ht="15" thickBot="1" x14ac:dyDescent="0.35">
      <c r="A103" s="82" t="s">
        <v>803</v>
      </c>
      <c r="B103" s="82" t="str">
        <f>B102</f>
        <v>Насосное оборудование УПН,пенообразователь</v>
      </c>
      <c r="C103" s="84" t="s">
        <v>175</v>
      </c>
      <c r="D103" s="85" t="s">
        <v>173</v>
      </c>
      <c r="E103" s="98">
        <f>E102</f>
        <v>1.0000000000000001E-5</v>
      </c>
      <c r="F103" s="99">
        <f>F102</f>
        <v>3</v>
      </c>
      <c r="G103" s="82">
        <v>1.4249999999999999E-2</v>
      </c>
      <c r="H103" s="87">
        <f t="shared" si="115"/>
        <v>4.2750000000000004E-7</v>
      </c>
      <c r="I103" s="100">
        <f>I102</f>
        <v>0.9</v>
      </c>
      <c r="J103" s="190">
        <f>POWER(10,-6)*35*SQRT(100)*3600*L102/1000*0.1</f>
        <v>3.7800000000000004E-3</v>
      </c>
      <c r="K103" s="90" t="s">
        <v>123</v>
      </c>
      <c r="L103" s="91">
        <v>0</v>
      </c>
      <c r="M103" s="92" t="str">
        <f t="shared" si="116"/>
        <v>C76</v>
      </c>
      <c r="N103" s="92" t="str">
        <f t="shared" si="117"/>
        <v>Насосное оборудование УПН,пенообразователь</v>
      </c>
      <c r="O103" s="92" t="str">
        <f t="shared" si="118"/>
        <v>Полное-взрыв облака ТВС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>
        <v>0</v>
      </c>
      <c r="U103" s="92">
        <v>0</v>
      </c>
      <c r="V103" s="92">
        <v>11.6</v>
      </c>
      <c r="W103" s="92">
        <v>39.6</v>
      </c>
      <c r="X103" s="92">
        <v>57.6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0</v>
      </c>
      <c r="AK103" s="93">
        <v>1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0.77429999999999999</v>
      </c>
      <c r="AR103" s="95">
        <f t="shared" si="119"/>
        <v>7.7429999999999999E-2</v>
      </c>
      <c r="AS103" s="96">
        <f t="shared" si="120"/>
        <v>0.25</v>
      </c>
      <c r="AT103" s="96">
        <f t="shared" si="121"/>
        <v>0.27543249999999997</v>
      </c>
      <c r="AU103" s="95">
        <f>10068.2*J103*POWER(10,-6)*10</f>
        <v>3.8057796000000001E-4</v>
      </c>
      <c r="AV103" s="96">
        <f t="shared" si="122"/>
        <v>1.37754307796</v>
      </c>
      <c r="AW103" s="97">
        <f t="shared" si="123"/>
        <v>0</v>
      </c>
      <c r="AX103" s="97">
        <f t="shared" si="124"/>
        <v>4.2750000000000004E-7</v>
      </c>
      <c r="AY103" s="97">
        <f t="shared" si="125"/>
        <v>5.888996658279E-7</v>
      </c>
      <c r="AZ103" s="297">
        <f>AW103/DB!$B$23</f>
        <v>0</v>
      </c>
      <c r="BA103" s="297">
        <f>AX103/DB!$B$23</f>
        <v>5.1506024096385547E-10</v>
      </c>
    </row>
    <row r="104" spans="1:53" s="92" customFormat="1" x14ac:dyDescent="0.3">
      <c r="A104" s="82" t="s">
        <v>804</v>
      </c>
      <c r="B104" s="82" t="str">
        <f>B102</f>
        <v>Насосное оборудование УПН,пенообразователь</v>
      </c>
      <c r="C104" s="84" t="s">
        <v>176</v>
      </c>
      <c r="D104" s="85" t="s">
        <v>26</v>
      </c>
      <c r="E104" s="98">
        <f>E102</f>
        <v>1.0000000000000001E-5</v>
      </c>
      <c r="F104" s="99">
        <f>F102</f>
        <v>3</v>
      </c>
      <c r="G104" s="82">
        <v>0.27074999999999999</v>
      </c>
      <c r="H104" s="87">
        <f t="shared" si="115"/>
        <v>8.1225000000000006E-6</v>
      </c>
      <c r="I104" s="100">
        <f>I102</f>
        <v>0.9</v>
      </c>
      <c r="J104" s="82">
        <v>0</v>
      </c>
      <c r="K104" s="90" t="s">
        <v>124</v>
      </c>
      <c r="L104" s="91">
        <v>1</v>
      </c>
      <c r="M104" s="92" t="str">
        <f t="shared" si="116"/>
        <v>C77</v>
      </c>
      <c r="N104" s="92" t="str">
        <f t="shared" si="117"/>
        <v>Насосное оборудование УПН,пенообразователь</v>
      </c>
      <c r="O104" s="92" t="str">
        <f t="shared" si="118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0.75243000000000004</v>
      </c>
      <c r="AR104" s="95">
        <f t="shared" si="119"/>
        <v>7.5243000000000004E-2</v>
      </c>
      <c r="AS104" s="96">
        <f t="shared" si="120"/>
        <v>0</v>
      </c>
      <c r="AT104" s="96">
        <f t="shared" si="121"/>
        <v>0.20691825000000003</v>
      </c>
      <c r="AU104" s="95">
        <f>1333*J103*POWER(10,-6)</f>
        <v>5.0387400000000008E-6</v>
      </c>
      <c r="AV104" s="96">
        <f t="shared" si="122"/>
        <v>1.03459628874</v>
      </c>
      <c r="AW104" s="97">
        <f t="shared" si="123"/>
        <v>0</v>
      </c>
      <c r="AX104" s="97">
        <f t="shared" si="124"/>
        <v>0</v>
      </c>
      <c r="AY104" s="97">
        <f t="shared" si="125"/>
        <v>8.4035083552906501E-6</v>
      </c>
      <c r="AZ104" s="297">
        <f>AW104/DB!$B$23</f>
        <v>0</v>
      </c>
      <c r="BA104" s="297">
        <f>AX104/DB!$B$23</f>
        <v>0</v>
      </c>
    </row>
    <row r="105" spans="1:53" s="92" customFormat="1" x14ac:dyDescent="0.3">
      <c r="A105" s="82" t="s">
        <v>805</v>
      </c>
      <c r="B105" s="82" t="str">
        <f>B102</f>
        <v>Насосное оборудование УПН,пенообразователь</v>
      </c>
      <c r="C105" s="84" t="s">
        <v>177</v>
      </c>
      <c r="D105" s="85" t="s">
        <v>47</v>
      </c>
      <c r="E105" s="98">
        <f>E103</f>
        <v>1.0000000000000001E-5</v>
      </c>
      <c r="F105" s="99">
        <f>F102</f>
        <v>3</v>
      </c>
      <c r="G105" s="82">
        <v>3.4999999999999996E-2</v>
      </c>
      <c r="H105" s="87">
        <f t="shared" si="115"/>
        <v>1.0500000000000001E-6</v>
      </c>
      <c r="I105" s="100">
        <f>0.15*I102</f>
        <v>0.13500000000000001</v>
      </c>
      <c r="J105" s="100">
        <f>I105</f>
        <v>0.13500000000000001</v>
      </c>
      <c r="K105" s="103" t="s">
        <v>126</v>
      </c>
      <c r="L105" s="104">
        <v>45390</v>
      </c>
      <c r="M105" s="92" t="str">
        <f t="shared" si="116"/>
        <v>C78</v>
      </c>
      <c r="N105" s="92" t="str">
        <f t="shared" si="117"/>
        <v>Насосное оборудование УПН,пенообразователь</v>
      </c>
      <c r="O105" s="92" t="str">
        <f t="shared" si="118"/>
        <v>Частичное-пожар</v>
      </c>
      <c r="P105" s="92">
        <v>5.2</v>
      </c>
      <c r="Q105" s="92">
        <v>7.5</v>
      </c>
      <c r="R105" s="92">
        <v>11.1</v>
      </c>
      <c r="S105" s="92">
        <v>21.3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1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7.8645000000000007E-2</v>
      </c>
      <c r="AR105" s="95">
        <f t="shared" si="119"/>
        <v>7.8645000000000017E-3</v>
      </c>
      <c r="AS105" s="96">
        <f t="shared" si="120"/>
        <v>0.25</v>
      </c>
      <c r="AT105" s="96">
        <f t="shared" si="121"/>
        <v>8.4127375000000004E-2</v>
      </c>
      <c r="AU105" s="95">
        <f>10068.2*J105*POWER(10,-6)</f>
        <v>1.3592070000000001E-3</v>
      </c>
      <c r="AV105" s="96">
        <f t="shared" si="122"/>
        <v>0.42199608200000005</v>
      </c>
      <c r="AW105" s="97">
        <f t="shared" si="123"/>
        <v>0</v>
      </c>
      <c r="AX105" s="97">
        <f t="shared" si="124"/>
        <v>1.0500000000000001E-6</v>
      </c>
      <c r="AY105" s="97">
        <f t="shared" si="125"/>
        <v>4.4309588610000012E-7</v>
      </c>
      <c r="AZ105" s="297">
        <f>AW105/DB!$B$23</f>
        <v>0</v>
      </c>
      <c r="BA105" s="297">
        <f>AX105/DB!$B$23</f>
        <v>1.2650602409638555E-9</v>
      </c>
    </row>
    <row r="106" spans="1:53" s="92" customFormat="1" x14ac:dyDescent="0.3">
      <c r="A106" s="82" t="s">
        <v>806</v>
      </c>
      <c r="B106" s="82" t="str">
        <f>B102</f>
        <v>Насосное оборудование УПН,пенообразователь</v>
      </c>
      <c r="C106" s="84" t="s">
        <v>423</v>
      </c>
      <c r="D106" s="85" t="s">
        <v>422</v>
      </c>
      <c r="E106" s="98">
        <f>E104</f>
        <v>1.0000000000000001E-5</v>
      </c>
      <c r="F106" s="99">
        <f>F102</f>
        <v>3</v>
      </c>
      <c r="G106" s="82">
        <v>3.3249999999999995E-2</v>
      </c>
      <c r="H106" s="87">
        <f t="shared" si="115"/>
        <v>9.9749999999999998E-7</v>
      </c>
      <c r="I106" s="100">
        <f>0.15*I102</f>
        <v>0.13500000000000001</v>
      </c>
      <c r="J106" s="100">
        <v>0.01</v>
      </c>
      <c r="K106" s="103" t="s">
        <v>127</v>
      </c>
      <c r="L106" s="104">
        <v>3</v>
      </c>
      <c r="M106" s="92" t="str">
        <f t="shared" si="116"/>
        <v>C79</v>
      </c>
      <c r="N106" s="92" t="str">
        <f t="shared" si="117"/>
        <v>Насосное оборудование УПН,пенообразователь</v>
      </c>
      <c r="O106" s="92" t="str">
        <f t="shared" si="118"/>
        <v>Частичное-вспышка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>
        <v>7.33</v>
      </c>
      <c r="AB106" s="92">
        <v>8.8000000000000007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7.8645000000000007E-2</v>
      </c>
      <c r="AR106" s="95">
        <f t="shared" si="119"/>
        <v>7.8645000000000017E-3</v>
      </c>
      <c r="AS106" s="96">
        <f t="shared" si="120"/>
        <v>0.25</v>
      </c>
      <c r="AT106" s="96">
        <f t="shared" si="121"/>
        <v>8.4127375000000004E-2</v>
      </c>
      <c r="AU106" s="95">
        <f>10068.2*J106*POWER(10,-6)*10</f>
        <v>1.0068200000000001E-3</v>
      </c>
      <c r="AV106" s="96">
        <f t="shared" si="122"/>
        <v>0.42164369500000004</v>
      </c>
      <c r="AW106" s="97">
        <f t="shared" si="123"/>
        <v>0</v>
      </c>
      <c r="AX106" s="97">
        <f t="shared" si="124"/>
        <v>9.9749999999999998E-7</v>
      </c>
      <c r="AY106" s="97">
        <f t="shared" si="125"/>
        <v>4.2058958576250002E-7</v>
      </c>
      <c r="AZ106" s="297">
        <f>AW106/DB!$B$23</f>
        <v>0</v>
      </c>
      <c r="BA106" s="297">
        <f>AX106/DB!$B$23</f>
        <v>1.2018072289156627E-9</v>
      </c>
    </row>
    <row r="107" spans="1:53" s="92" customFormat="1" ht="15" thickBot="1" x14ac:dyDescent="0.35">
      <c r="A107" s="82" t="s">
        <v>807</v>
      </c>
      <c r="B107" s="82" t="str">
        <f>B102</f>
        <v>Насосное оборудование УПН,пенообразователь</v>
      </c>
      <c r="C107" s="84" t="s">
        <v>178</v>
      </c>
      <c r="D107" s="85" t="s">
        <v>27</v>
      </c>
      <c r="E107" s="98">
        <f>E105</f>
        <v>1.0000000000000001E-5</v>
      </c>
      <c r="F107" s="99">
        <f>F102</f>
        <v>3</v>
      </c>
      <c r="G107" s="82">
        <v>0.63174999999999992</v>
      </c>
      <c r="H107" s="87">
        <f t="shared" si="115"/>
        <v>1.8952500000000002E-5</v>
      </c>
      <c r="I107" s="100">
        <f>0.15*I102</f>
        <v>0.13500000000000001</v>
      </c>
      <c r="J107" s="82">
        <v>0</v>
      </c>
      <c r="K107" s="105" t="s">
        <v>138</v>
      </c>
      <c r="L107" s="105">
        <v>16</v>
      </c>
      <c r="M107" s="92" t="str">
        <f t="shared" si="116"/>
        <v>C80</v>
      </c>
      <c r="N107" s="92" t="str">
        <f t="shared" si="117"/>
        <v>Насосное оборудование УПН,пенообразователь</v>
      </c>
      <c r="O107" s="92" t="str">
        <f t="shared" si="118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7.5364500000000015E-2</v>
      </c>
      <c r="AR107" s="95">
        <f t="shared" si="119"/>
        <v>7.5364500000000018E-3</v>
      </c>
      <c r="AS107" s="96">
        <f t="shared" si="120"/>
        <v>0</v>
      </c>
      <c r="AT107" s="96">
        <f t="shared" si="121"/>
        <v>2.0725237500000004E-2</v>
      </c>
      <c r="AU107" s="95">
        <f>1333*J106*POWER(10,-6)</f>
        <v>1.3329999999999999E-5</v>
      </c>
      <c r="AV107" s="96">
        <f t="shared" si="122"/>
        <v>0.10363951750000003</v>
      </c>
      <c r="AW107" s="97">
        <f t="shared" si="123"/>
        <v>0</v>
      </c>
      <c r="AX107" s="97">
        <f t="shared" si="124"/>
        <v>0</v>
      </c>
      <c r="AY107" s="97">
        <f t="shared" si="125"/>
        <v>1.9642279554187507E-6</v>
      </c>
      <c r="AZ107" s="297">
        <f>AW107/DB!$B$23</f>
        <v>0</v>
      </c>
      <c r="BA107" s="297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296" t="s">
        <v>468</v>
      </c>
      <c r="L108" s="295" t="s">
        <v>709</v>
      </c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92" customFormat="1" ht="15" thickBot="1" x14ac:dyDescent="0.35">
      <c r="A112" s="82" t="s">
        <v>808</v>
      </c>
      <c r="B112" s="83" t="s">
        <v>720</v>
      </c>
      <c r="C112" s="84" t="s">
        <v>174</v>
      </c>
      <c r="D112" s="85" t="s">
        <v>130</v>
      </c>
      <c r="E112" s="86">
        <v>1.0000000000000001E-5</v>
      </c>
      <c r="F112" s="83">
        <v>1</v>
      </c>
      <c r="G112" s="82">
        <v>1.4999999999999999E-2</v>
      </c>
      <c r="H112" s="87">
        <f t="shared" ref="H112:H117" si="126">E112*F112*G112</f>
        <v>1.5000000000000002E-7</v>
      </c>
      <c r="I112" s="88">
        <v>3.6</v>
      </c>
      <c r="J112" s="100">
        <f>I112</f>
        <v>3.6</v>
      </c>
      <c r="K112" s="90" t="s">
        <v>122</v>
      </c>
      <c r="L112" s="91">
        <f>J112*36</f>
        <v>129.6</v>
      </c>
      <c r="M112" s="92" t="str">
        <f t="shared" ref="M112:M117" si="127">A112</f>
        <v>C81</v>
      </c>
      <c r="N112" s="92" t="str">
        <f t="shared" ref="N112:N117" si="128">B112</f>
        <v>СИКН, нефть</v>
      </c>
      <c r="O112" s="92" t="str">
        <f t="shared" ref="O112:O117" si="129">D112</f>
        <v>Полное-факел</v>
      </c>
      <c r="P112" s="92" t="s">
        <v>46</v>
      </c>
      <c r="Q112" s="92" t="s">
        <v>46</v>
      </c>
      <c r="R112" s="92" t="s">
        <v>46</v>
      </c>
      <c r="S112" s="92" t="s">
        <v>46</v>
      </c>
      <c r="T112" s="92" t="s">
        <v>46</v>
      </c>
      <c r="U112" s="92" t="s">
        <v>46</v>
      </c>
      <c r="V112" s="92" t="s">
        <v>46</v>
      </c>
      <c r="W112" s="92" t="s">
        <v>46</v>
      </c>
      <c r="X112" s="92" t="s">
        <v>46</v>
      </c>
      <c r="Y112" s="92">
        <v>15</v>
      </c>
      <c r="Z112" s="92">
        <v>3</v>
      </c>
      <c r="AA112" s="92" t="s">
        <v>46</v>
      </c>
      <c r="AB112" s="92" t="s">
        <v>46</v>
      </c>
      <c r="AC112" s="92" t="s">
        <v>46</v>
      </c>
      <c r="AD112" s="92" t="s">
        <v>46</v>
      </c>
      <c r="AE112" s="92" t="s">
        <v>46</v>
      </c>
      <c r="AF112" s="92" t="s">
        <v>46</v>
      </c>
      <c r="AG112" s="92" t="s">
        <v>46</v>
      </c>
      <c r="AH112" s="92" t="s">
        <v>46</v>
      </c>
      <c r="AI112" s="92" t="s">
        <v>46</v>
      </c>
      <c r="AJ112" s="93">
        <v>1</v>
      </c>
      <c r="AK112" s="93">
        <v>1</v>
      </c>
      <c r="AL112" s="94">
        <v>0.75</v>
      </c>
      <c r="AM112" s="94">
        <v>2.7E-2</v>
      </c>
      <c r="AN112" s="94">
        <v>3</v>
      </c>
      <c r="AQ112" s="95">
        <f>AM112*I112+AL112</f>
        <v>0.84719999999999995</v>
      </c>
      <c r="AR112" s="95">
        <f t="shared" ref="AR112:AR117" si="130">0.1*AQ112</f>
        <v>8.4720000000000004E-2</v>
      </c>
      <c r="AS112" s="96">
        <f t="shared" ref="AS112:AS117" si="131">AJ112*3+0.25*AK112</f>
        <v>3.25</v>
      </c>
      <c r="AT112" s="96">
        <f t="shared" ref="AT112:AT117" si="132">SUM(AQ112:AS112)/4</f>
        <v>1.04548</v>
      </c>
      <c r="AU112" s="95">
        <f>10068.2*J112*POWER(10,-6)</f>
        <v>3.6245520000000003E-2</v>
      </c>
      <c r="AV112" s="96">
        <f t="shared" ref="AV112:AV117" si="133">AU112+AT112+AS112+AR112+AQ112</f>
        <v>5.2636455199999999</v>
      </c>
      <c r="AW112" s="97">
        <f t="shared" ref="AW112:AW117" si="134">AJ112*H112</f>
        <v>1.5000000000000002E-7</v>
      </c>
      <c r="AX112" s="97">
        <f t="shared" ref="AX112:AX117" si="135">H112*AK112</f>
        <v>1.5000000000000002E-7</v>
      </c>
      <c r="AY112" s="97">
        <f t="shared" ref="AY112:AY117" si="136">H112*AV112</f>
        <v>7.8954682800000006E-7</v>
      </c>
      <c r="AZ112" s="297">
        <f>AW112/DB!$B$23</f>
        <v>1.8072289156626509E-10</v>
      </c>
      <c r="BA112" s="297">
        <f>AX112/DB!$B$23</f>
        <v>1.8072289156626509E-10</v>
      </c>
    </row>
    <row r="113" spans="1:53" s="92" customFormat="1" ht="15" thickBot="1" x14ac:dyDescent="0.35">
      <c r="A113" s="82" t="s">
        <v>809</v>
      </c>
      <c r="B113" s="82" t="str">
        <f>B112</f>
        <v>СИКН, нефть</v>
      </c>
      <c r="C113" s="84" t="s">
        <v>175</v>
      </c>
      <c r="D113" s="85" t="s">
        <v>173</v>
      </c>
      <c r="E113" s="98">
        <f>E112</f>
        <v>1.0000000000000001E-5</v>
      </c>
      <c r="F113" s="99">
        <f>F112</f>
        <v>1</v>
      </c>
      <c r="G113" s="82">
        <v>1.4249999999999999E-2</v>
      </c>
      <c r="H113" s="87">
        <f t="shared" si="126"/>
        <v>1.4250000000000001E-7</v>
      </c>
      <c r="I113" s="100">
        <f>I112</f>
        <v>3.6</v>
      </c>
      <c r="J113" s="190">
        <f>POWER(10,-6)*35*SQRT(100)*3600*L112/1000*0.1</f>
        <v>1.6329599999999996E-2</v>
      </c>
      <c r="K113" s="90" t="s">
        <v>123</v>
      </c>
      <c r="L113" s="91">
        <v>0</v>
      </c>
      <c r="M113" s="92" t="str">
        <f t="shared" si="127"/>
        <v>C82</v>
      </c>
      <c r="N113" s="92" t="str">
        <f t="shared" si="128"/>
        <v>СИКН, нефть</v>
      </c>
      <c r="O113" s="92" t="str">
        <f t="shared" si="129"/>
        <v>Полное-взрыв облака ТВС</v>
      </c>
      <c r="P113" s="92" t="s">
        <v>46</v>
      </c>
      <c r="Q113" s="92" t="s">
        <v>46</v>
      </c>
      <c r="R113" s="92" t="s">
        <v>46</v>
      </c>
      <c r="S113" s="92" t="s">
        <v>46</v>
      </c>
      <c r="T113" s="92">
        <v>0</v>
      </c>
      <c r="U113" s="92">
        <v>0</v>
      </c>
      <c r="V113" s="92">
        <v>19.100000000000001</v>
      </c>
      <c r="W113" s="92">
        <v>64.099999999999994</v>
      </c>
      <c r="X113" s="92">
        <v>93.6</v>
      </c>
      <c r="Y113" s="92" t="s">
        <v>46</v>
      </c>
      <c r="Z113" s="92" t="s">
        <v>46</v>
      </c>
      <c r="AA113" s="92" t="s">
        <v>46</v>
      </c>
      <c r="AB113" s="92" t="s">
        <v>46</v>
      </c>
      <c r="AC113" s="92" t="s">
        <v>46</v>
      </c>
      <c r="AD113" s="92" t="s">
        <v>46</v>
      </c>
      <c r="AE113" s="92" t="s">
        <v>46</v>
      </c>
      <c r="AF113" s="92" t="s">
        <v>46</v>
      </c>
      <c r="AG113" s="92" t="s">
        <v>46</v>
      </c>
      <c r="AH113" s="92" t="s">
        <v>46</v>
      </c>
      <c r="AI113" s="92" t="s">
        <v>46</v>
      </c>
      <c r="AJ113" s="93">
        <v>1</v>
      </c>
      <c r="AK113" s="93">
        <v>1</v>
      </c>
      <c r="AL113" s="92">
        <f>AL112</f>
        <v>0.75</v>
      </c>
      <c r="AM113" s="92">
        <f>AM112</f>
        <v>2.7E-2</v>
      </c>
      <c r="AN113" s="92">
        <f>AN112</f>
        <v>3</v>
      </c>
      <c r="AQ113" s="95">
        <f>AM113*I113+AL113</f>
        <v>0.84719999999999995</v>
      </c>
      <c r="AR113" s="95">
        <f t="shared" si="130"/>
        <v>8.4720000000000004E-2</v>
      </c>
      <c r="AS113" s="96">
        <f t="shared" si="131"/>
        <v>3.25</v>
      </c>
      <c r="AT113" s="96">
        <f t="shared" si="132"/>
        <v>1.04548</v>
      </c>
      <c r="AU113" s="95">
        <f>10068.2*J113*POWER(10,-6)*10</f>
        <v>1.6440967871999995E-3</v>
      </c>
      <c r="AV113" s="96">
        <f t="shared" si="133"/>
        <v>5.2290440967871996</v>
      </c>
      <c r="AW113" s="97">
        <f t="shared" si="134"/>
        <v>1.4250000000000001E-7</v>
      </c>
      <c r="AX113" s="97">
        <f t="shared" si="135"/>
        <v>1.4250000000000001E-7</v>
      </c>
      <c r="AY113" s="97">
        <f t="shared" si="136"/>
        <v>7.4513878379217596E-7</v>
      </c>
      <c r="AZ113" s="297">
        <f>AW113/DB!$B$23</f>
        <v>1.7168674698795182E-10</v>
      </c>
      <c r="BA113" s="297">
        <f>AX113/DB!$B$23</f>
        <v>1.7168674698795182E-10</v>
      </c>
    </row>
    <row r="114" spans="1:53" s="92" customFormat="1" x14ac:dyDescent="0.3">
      <c r="A114" s="82" t="s">
        <v>810</v>
      </c>
      <c r="B114" s="82" t="str">
        <f>B112</f>
        <v>СИКН, нефть</v>
      </c>
      <c r="C114" s="84" t="s">
        <v>176</v>
      </c>
      <c r="D114" s="85" t="s">
        <v>26</v>
      </c>
      <c r="E114" s="98">
        <f>E112</f>
        <v>1.0000000000000001E-5</v>
      </c>
      <c r="F114" s="99">
        <f>F112</f>
        <v>1</v>
      </c>
      <c r="G114" s="82">
        <v>0.27074999999999999</v>
      </c>
      <c r="H114" s="87">
        <f t="shared" si="126"/>
        <v>2.7075000000000003E-6</v>
      </c>
      <c r="I114" s="100">
        <f>I112</f>
        <v>3.6</v>
      </c>
      <c r="J114" s="82">
        <v>0</v>
      </c>
      <c r="K114" s="90" t="s">
        <v>124</v>
      </c>
      <c r="L114" s="91">
        <v>1</v>
      </c>
      <c r="M114" s="92" t="str">
        <f t="shared" si="127"/>
        <v>C83</v>
      </c>
      <c r="N114" s="92" t="str">
        <f t="shared" si="128"/>
        <v>СИКН, нефть</v>
      </c>
      <c r="O114" s="92" t="str">
        <f t="shared" si="129"/>
        <v>Полное-ликвидация</v>
      </c>
      <c r="P114" s="92" t="s">
        <v>46</v>
      </c>
      <c r="Q114" s="92" t="s">
        <v>46</v>
      </c>
      <c r="R114" s="92" t="s">
        <v>46</v>
      </c>
      <c r="S114" s="92" t="s">
        <v>46</v>
      </c>
      <c r="T114" s="92" t="s">
        <v>46</v>
      </c>
      <c r="U114" s="92" t="s">
        <v>46</v>
      </c>
      <c r="V114" s="92" t="s">
        <v>46</v>
      </c>
      <c r="W114" s="92" t="s">
        <v>46</v>
      </c>
      <c r="X114" s="92" t="s">
        <v>46</v>
      </c>
      <c r="Y114" s="92" t="s">
        <v>46</v>
      </c>
      <c r="Z114" s="92" t="s">
        <v>46</v>
      </c>
      <c r="AA114" s="92" t="s">
        <v>46</v>
      </c>
      <c r="AB114" s="92" t="s">
        <v>46</v>
      </c>
      <c r="AC114" s="92" t="s">
        <v>46</v>
      </c>
      <c r="AD114" s="92" t="s">
        <v>46</v>
      </c>
      <c r="AE114" s="92" t="s">
        <v>46</v>
      </c>
      <c r="AF114" s="92" t="s">
        <v>46</v>
      </c>
      <c r="AG114" s="92" t="s">
        <v>46</v>
      </c>
      <c r="AH114" s="92" t="s">
        <v>46</v>
      </c>
      <c r="AI114" s="92" t="s">
        <v>46</v>
      </c>
      <c r="AJ114" s="92">
        <v>0</v>
      </c>
      <c r="AK114" s="92">
        <v>0</v>
      </c>
      <c r="AL114" s="92">
        <f>AL112</f>
        <v>0.75</v>
      </c>
      <c r="AM114" s="92">
        <f>AM112</f>
        <v>2.7E-2</v>
      </c>
      <c r="AN114" s="92">
        <f>AN112</f>
        <v>3</v>
      </c>
      <c r="AQ114" s="95">
        <f>AM114*I114*0.1+AL114</f>
        <v>0.75971999999999995</v>
      </c>
      <c r="AR114" s="95">
        <f t="shared" si="130"/>
        <v>7.5971999999999998E-2</v>
      </c>
      <c r="AS114" s="96">
        <f t="shared" si="131"/>
        <v>0</v>
      </c>
      <c r="AT114" s="96">
        <f t="shared" si="132"/>
        <v>0.208923</v>
      </c>
      <c r="AU114" s="95">
        <f>1333*J113*POWER(10,-6)</f>
        <v>2.1767356799999993E-5</v>
      </c>
      <c r="AV114" s="96">
        <f t="shared" si="133"/>
        <v>1.0446367673568</v>
      </c>
      <c r="AW114" s="97">
        <f t="shared" si="134"/>
        <v>0</v>
      </c>
      <c r="AX114" s="97">
        <f t="shared" si="135"/>
        <v>0</v>
      </c>
      <c r="AY114" s="97">
        <f t="shared" si="136"/>
        <v>2.8283540476185362E-6</v>
      </c>
      <c r="AZ114" s="297">
        <f>AW114/DB!$B$23</f>
        <v>0</v>
      </c>
      <c r="BA114" s="297">
        <f>AX114/DB!$B$23</f>
        <v>0</v>
      </c>
    </row>
    <row r="115" spans="1:53" s="92" customFormat="1" x14ac:dyDescent="0.3">
      <c r="A115" s="82" t="s">
        <v>811</v>
      </c>
      <c r="B115" s="82" t="str">
        <f>B112</f>
        <v>СИКН, нефть</v>
      </c>
      <c r="C115" s="84" t="s">
        <v>177</v>
      </c>
      <c r="D115" s="85" t="s">
        <v>47</v>
      </c>
      <c r="E115" s="98">
        <f>E113</f>
        <v>1.0000000000000001E-5</v>
      </c>
      <c r="F115" s="99">
        <f>F112</f>
        <v>1</v>
      </c>
      <c r="G115" s="82">
        <v>3.4999999999999996E-2</v>
      </c>
      <c r="H115" s="87">
        <f t="shared" si="126"/>
        <v>3.4999999999999998E-7</v>
      </c>
      <c r="I115" s="100">
        <f>0.15*I112</f>
        <v>0.54</v>
      </c>
      <c r="J115" s="100">
        <f>I115</f>
        <v>0.54</v>
      </c>
      <c r="K115" s="103" t="s">
        <v>126</v>
      </c>
      <c r="L115" s="104">
        <v>45390</v>
      </c>
      <c r="M115" s="92" t="str">
        <f t="shared" si="127"/>
        <v>C84</v>
      </c>
      <c r="N115" s="92" t="str">
        <f t="shared" si="128"/>
        <v>СИКН, нефть</v>
      </c>
      <c r="O115" s="92" t="str">
        <f t="shared" si="129"/>
        <v>Частичное-пожар</v>
      </c>
      <c r="P115" s="92">
        <v>9.1999999999999993</v>
      </c>
      <c r="Q115" s="92">
        <v>13</v>
      </c>
      <c r="R115" s="92">
        <v>19.3</v>
      </c>
      <c r="S115" s="92">
        <v>37.6</v>
      </c>
      <c r="T115" s="92" t="s">
        <v>46</v>
      </c>
      <c r="U115" s="92" t="s">
        <v>46</v>
      </c>
      <c r="V115" s="92" t="s">
        <v>46</v>
      </c>
      <c r="W115" s="92" t="s">
        <v>46</v>
      </c>
      <c r="X115" s="92" t="s">
        <v>46</v>
      </c>
      <c r="Y115" s="92" t="s">
        <v>46</v>
      </c>
      <c r="Z115" s="92" t="s">
        <v>46</v>
      </c>
      <c r="AA115" s="92" t="s">
        <v>46</v>
      </c>
      <c r="AB115" s="92" t="s">
        <v>46</v>
      </c>
      <c r="AC115" s="92" t="s">
        <v>46</v>
      </c>
      <c r="AD115" s="92" t="s">
        <v>46</v>
      </c>
      <c r="AE115" s="92" t="s">
        <v>46</v>
      </c>
      <c r="AF115" s="92" t="s">
        <v>46</v>
      </c>
      <c r="AG115" s="92" t="s">
        <v>46</v>
      </c>
      <c r="AH115" s="92" t="s">
        <v>46</v>
      </c>
      <c r="AI115" s="92" t="s">
        <v>46</v>
      </c>
      <c r="AJ115" s="92">
        <v>0</v>
      </c>
      <c r="AK115" s="92">
        <v>1</v>
      </c>
      <c r="AL115" s="92">
        <f>0.1*$AL$2</f>
        <v>7.5000000000000011E-2</v>
      </c>
      <c r="AM115" s="92">
        <f>AM112</f>
        <v>2.7E-2</v>
      </c>
      <c r="AN115" s="92">
        <f>ROUNDUP(AN112/3,0)</f>
        <v>1</v>
      </c>
      <c r="AQ115" s="95">
        <f>AM115*I115+AL115</f>
        <v>8.9580000000000007E-2</v>
      </c>
      <c r="AR115" s="95">
        <f t="shared" si="130"/>
        <v>8.9580000000000007E-3</v>
      </c>
      <c r="AS115" s="96">
        <f t="shared" si="131"/>
        <v>0.25</v>
      </c>
      <c r="AT115" s="96">
        <f t="shared" si="132"/>
        <v>8.7134500000000004E-2</v>
      </c>
      <c r="AU115" s="95">
        <f>10068.2*J115*POWER(10,-6)</f>
        <v>5.4368280000000003E-3</v>
      </c>
      <c r="AV115" s="96">
        <f t="shared" si="133"/>
        <v>0.44110932800000002</v>
      </c>
      <c r="AW115" s="97">
        <f t="shared" si="134"/>
        <v>0</v>
      </c>
      <c r="AX115" s="97">
        <f t="shared" si="135"/>
        <v>3.4999999999999998E-7</v>
      </c>
      <c r="AY115" s="97">
        <f t="shared" si="136"/>
        <v>1.5438826480000001E-7</v>
      </c>
      <c r="AZ115" s="297">
        <f>AW115/DB!$B$23</f>
        <v>0</v>
      </c>
      <c r="BA115" s="297">
        <f>AX115/DB!$B$23</f>
        <v>4.2168674698795179E-10</v>
      </c>
    </row>
    <row r="116" spans="1:53" s="92" customFormat="1" x14ac:dyDescent="0.3">
      <c r="A116" s="82" t="s">
        <v>812</v>
      </c>
      <c r="B116" s="82" t="str">
        <f>B112</f>
        <v>СИКН, нефть</v>
      </c>
      <c r="C116" s="84" t="s">
        <v>423</v>
      </c>
      <c r="D116" s="85" t="s">
        <v>422</v>
      </c>
      <c r="E116" s="98">
        <f>E114</f>
        <v>1.0000000000000001E-5</v>
      </c>
      <c r="F116" s="99">
        <f>F112</f>
        <v>1</v>
      </c>
      <c r="G116" s="82">
        <v>3.3249999999999995E-2</v>
      </c>
      <c r="H116" s="87">
        <f t="shared" si="126"/>
        <v>3.3249999999999999E-7</v>
      </c>
      <c r="I116" s="100">
        <f>0.15*I112</f>
        <v>0.54</v>
      </c>
      <c r="J116" s="100">
        <v>0.01</v>
      </c>
      <c r="K116" s="103" t="s">
        <v>127</v>
      </c>
      <c r="L116" s="104">
        <v>3</v>
      </c>
      <c r="M116" s="92" t="str">
        <f t="shared" si="127"/>
        <v>C85</v>
      </c>
      <c r="N116" s="92" t="str">
        <f t="shared" si="128"/>
        <v>СИКН, нефть</v>
      </c>
      <c r="O116" s="92" t="str">
        <f t="shared" si="129"/>
        <v>Частичное-вспышка</v>
      </c>
      <c r="P116" s="92" t="s">
        <v>46</v>
      </c>
      <c r="Q116" s="92" t="s">
        <v>46</v>
      </c>
      <c r="R116" s="92" t="s">
        <v>46</v>
      </c>
      <c r="S116" s="92" t="s">
        <v>46</v>
      </c>
      <c r="T116" s="92" t="s">
        <v>46</v>
      </c>
      <c r="U116" s="92" t="s">
        <v>46</v>
      </c>
      <c r="V116" s="92" t="s">
        <v>46</v>
      </c>
      <c r="W116" s="92" t="s">
        <v>46</v>
      </c>
      <c r="X116" s="92" t="s">
        <v>46</v>
      </c>
      <c r="Y116" s="92" t="s">
        <v>46</v>
      </c>
      <c r="Z116" s="92" t="s">
        <v>46</v>
      </c>
      <c r="AA116" s="92">
        <v>7.33</v>
      </c>
      <c r="AB116" s="92">
        <v>8.8000000000000007</v>
      </c>
      <c r="AC116" s="92" t="s">
        <v>46</v>
      </c>
      <c r="AD116" s="92" t="s">
        <v>46</v>
      </c>
      <c r="AE116" s="92" t="s">
        <v>46</v>
      </c>
      <c r="AF116" s="92" t="s">
        <v>46</v>
      </c>
      <c r="AG116" s="92" t="s">
        <v>46</v>
      </c>
      <c r="AH116" s="92" t="s">
        <v>46</v>
      </c>
      <c r="AI116" s="92" t="s">
        <v>46</v>
      </c>
      <c r="AJ116" s="92">
        <v>0</v>
      </c>
      <c r="AK116" s="92">
        <v>1</v>
      </c>
      <c r="AL116" s="92">
        <f>0.1*$AL$2</f>
        <v>7.5000000000000011E-2</v>
      </c>
      <c r="AM116" s="92">
        <f>AM112</f>
        <v>2.7E-2</v>
      </c>
      <c r="AN116" s="92">
        <f>ROUNDUP(AN112/3,0)</f>
        <v>1</v>
      </c>
      <c r="AQ116" s="95">
        <f>AM116*I116+AL116</f>
        <v>8.9580000000000007E-2</v>
      </c>
      <c r="AR116" s="95">
        <f t="shared" si="130"/>
        <v>8.9580000000000007E-3</v>
      </c>
      <c r="AS116" s="96">
        <f t="shared" si="131"/>
        <v>0.25</v>
      </c>
      <c r="AT116" s="96">
        <f t="shared" si="132"/>
        <v>8.7134500000000004E-2</v>
      </c>
      <c r="AU116" s="95">
        <f>10068.2*J116*POWER(10,-6)*10</f>
        <v>1.0068200000000001E-3</v>
      </c>
      <c r="AV116" s="96">
        <f t="shared" si="133"/>
        <v>0.43667932000000004</v>
      </c>
      <c r="AW116" s="97">
        <f t="shared" si="134"/>
        <v>0</v>
      </c>
      <c r="AX116" s="97">
        <f t="shared" si="135"/>
        <v>3.3249999999999999E-7</v>
      </c>
      <c r="AY116" s="97">
        <f t="shared" si="136"/>
        <v>1.451958739E-7</v>
      </c>
      <c r="AZ116" s="297">
        <f>AW116/DB!$B$23</f>
        <v>0</v>
      </c>
      <c r="BA116" s="297">
        <f>AX116/DB!$B$23</f>
        <v>4.006024096385542E-10</v>
      </c>
    </row>
    <row r="117" spans="1:53" s="92" customFormat="1" ht="15" thickBot="1" x14ac:dyDescent="0.35">
      <c r="A117" s="82" t="s">
        <v>813</v>
      </c>
      <c r="B117" s="82" t="str">
        <f>B112</f>
        <v>СИКН, нефть</v>
      </c>
      <c r="C117" s="84" t="s">
        <v>178</v>
      </c>
      <c r="D117" s="85" t="s">
        <v>27</v>
      </c>
      <c r="E117" s="98">
        <f>E115</f>
        <v>1.0000000000000001E-5</v>
      </c>
      <c r="F117" s="99">
        <f>F112</f>
        <v>1</v>
      </c>
      <c r="G117" s="82">
        <v>0.63174999999999992</v>
      </c>
      <c r="H117" s="87">
        <f t="shared" si="126"/>
        <v>6.3175000000000001E-6</v>
      </c>
      <c r="I117" s="100">
        <f>0.15*I112</f>
        <v>0.54</v>
      </c>
      <c r="J117" s="82">
        <v>0</v>
      </c>
      <c r="K117" s="105" t="s">
        <v>138</v>
      </c>
      <c r="L117" s="105">
        <v>16</v>
      </c>
      <c r="M117" s="92" t="str">
        <f t="shared" si="127"/>
        <v>C86</v>
      </c>
      <c r="N117" s="92" t="str">
        <f t="shared" si="128"/>
        <v>СИКН, нефть</v>
      </c>
      <c r="O117" s="92" t="str">
        <f t="shared" si="129"/>
        <v>Частичное-ликвидация</v>
      </c>
      <c r="P117" s="92" t="s">
        <v>46</v>
      </c>
      <c r="Q117" s="92" t="s">
        <v>46</v>
      </c>
      <c r="R117" s="92" t="s">
        <v>46</v>
      </c>
      <c r="S117" s="92" t="s">
        <v>46</v>
      </c>
      <c r="T117" s="92" t="s">
        <v>46</v>
      </c>
      <c r="U117" s="92" t="s">
        <v>46</v>
      </c>
      <c r="V117" s="92" t="s">
        <v>46</v>
      </c>
      <c r="W117" s="92" t="s">
        <v>46</v>
      </c>
      <c r="X117" s="92" t="s">
        <v>46</v>
      </c>
      <c r="Y117" s="92" t="s">
        <v>46</v>
      </c>
      <c r="Z117" s="92" t="s">
        <v>46</v>
      </c>
      <c r="AA117" s="92" t="s">
        <v>46</v>
      </c>
      <c r="AB117" s="92" t="s">
        <v>46</v>
      </c>
      <c r="AC117" s="92" t="s">
        <v>46</v>
      </c>
      <c r="AD117" s="92" t="s">
        <v>46</v>
      </c>
      <c r="AE117" s="92" t="s">
        <v>46</v>
      </c>
      <c r="AF117" s="92" t="s">
        <v>46</v>
      </c>
      <c r="AG117" s="92" t="s">
        <v>46</v>
      </c>
      <c r="AH117" s="92" t="s">
        <v>46</v>
      </c>
      <c r="AI117" s="92" t="s">
        <v>46</v>
      </c>
      <c r="AJ117" s="92">
        <v>0</v>
      </c>
      <c r="AK117" s="92">
        <v>0</v>
      </c>
      <c r="AL117" s="92">
        <f>0.1*$AL$2</f>
        <v>7.5000000000000011E-2</v>
      </c>
      <c r="AM117" s="92">
        <f>AM112</f>
        <v>2.7E-2</v>
      </c>
      <c r="AN117" s="92">
        <f>ROUNDUP(AN112/3,0)</f>
        <v>1</v>
      </c>
      <c r="AQ117" s="95">
        <f>AM117*I117*0.1+AL117</f>
        <v>7.6458000000000012E-2</v>
      </c>
      <c r="AR117" s="95">
        <f t="shared" si="130"/>
        <v>7.6458000000000012E-3</v>
      </c>
      <c r="AS117" s="96">
        <f t="shared" si="131"/>
        <v>0</v>
      </c>
      <c r="AT117" s="96">
        <f t="shared" si="132"/>
        <v>2.1025950000000002E-2</v>
      </c>
      <c r="AU117" s="95">
        <f>1333*J116*POWER(10,-6)</f>
        <v>1.3329999999999999E-5</v>
      </c>
      <c r="AV117" s="96">
        <f t="shared" si="133"/>
        <v>0.10514308000000001</v>
      </c>
      <c r="AW117" s="97">
        <f t="shared" si="134"/>
        <v>0</v>
      </c>
      <c r="AX117" s="97">
        <f t="shared" si="135"/>
        <v>0</v>
      </c>
      <c r="AY117" s="97">
        <f t="shared" si="136"/>
        <v>6.6424140790000013E-7</v>
      </c>
      <c r="AZ117" s="297">
        <f>AW117/DB!$B$23</f>
        <v>0</v>
      </c>
      <c r="BA117" s="297">
        <f>AX117/DB!$B$23</f>
        <v>0</v>
      </c>
    </row>
    <row r="118" spans="1:53" s="92" customFormat="1" x14ac:dyDescent="0.3">
      <c r="A118" s="93"/>
      <c r="B118" s="93"/>
      <c r="D118" s="184"/>
      <c r="E118" s="185"/>
      <c r="F118" s="186"/>
      <c r="G118" s="93"/>
      <c r="H118" s="97"/>
      <c r="I118" s="96"/>
      <c r="J118" s="93"/>
      <c r="K118" s="296" t="s">
        <v>468</v>
      </c>
      <c r="L118" s="295" t="s">
        <v>709</v>
      </c>
      <c r="AQ118" s="95"/>
      <c r="AR118" s="95"/>
      <c r="AS118" s="96"/>
      <c r="AT118" s="96"/>
      <c r="AU118" s="95"/>
      <c r="AV118" s="96"/>
      <c r="AW118" s="97"/>
      <c r="AX118" s="97"/>
      <c r="AY118" s="97"/>
    </row>
    <row r="119" spans="1:53" s="92" customFormat="1" x14ac:dyDescent="0.3">
      <c r="A119" s="93"/>
      <c r="B119" s="93"/>
      <c r="D119" s="184"/>
      <c r="E119" s="185"/>
      <c r="F119" s="186"/>
      <c r="G119" s="93"/>
      <c r="H119" s="97"/>
      <c r="I119" s="96"/>
      <c r="J119" s="93"/>
      <c r="K119" s="93"/>
      <c r="L119" s="93"/>
      <c r="AQ119" s="95"/>
      <c r="AR119" s="95"/>
      <c r="AS119" s="96"/>
      <c r="AT119" s="96"/>
      <c r="AU119" s="95"/>
      <c r="AV119" s="96"/>
      <c r="AW119" s="97"/>
      <c r="AX119" s="97"/>
      <c r="AY119" s="97"/>
    </row>
    <row r="120" spans="1:53" s="92" customFormat="1" x14ac:dyDescent="0.3">
      <c r="A120" s="93"/>
      <c r="B120" s="93"/>
      <c r="D120" s="184"/>
      <c r="E120" s="185"/>
      <c r="F120" s="186"/>
      <c r="G120" s="93"/>
      <c r="H120" s="97"/>
      <c r="I120" s="96"/>
      <c r="J120" s="93"/>
      <c r="K120" s="93"/>
      <c r="L120" s="93"/>
      <c r="AQ120" s="95"/>
      <c r="AR120" s="95"/>
      <c r="AS120" s="96"/>
      <c r="AT120" s="96"/>
      <c r="AU120" s="95"/>
      <c r="AV120" s="96"/>
      <c r="AW120" s="97"/>
      <c r="AX120" s="97"/>
      <c r="AY120" s="97"/>
    </row>
    <row r="121" spans="1:53" ht="15" thickBot="1" x14ac:dyDescent="0.35"/>
    <row r="122" spans="1:53" ht="18" customHeight="1" x14ac:dyDescent="0.3">
      <c r="A122" s="8" t="s">
        <v>814</v>
      </c>
      <c r="B122" s="63" t="s">
        <v>721</v>
      </c>
      <c r="C122" s="79" t="s">
        <v>129</v>
      </c>
      <c r="D122" s="9" t="s">
        <v>130</v>
      </c>
      <c r="E122" s="66">
        <v>1.0000000000000001E-5</v>
      </c>
      <c r="F122" s="63">
        <v>20</v>
      </c>
      <c r="G122" s="8">
        <v>0.2</v>
      </c>
      <c r="H122" s="10">
        <f>E122*F122*G122</f>
        <v>4.0000000000000003E-5</v>
      </c>
      <c r="I122" s="64">
        <v>1.2</v>
      </c>
      <c r="J122" s="69">
        <f>I122</f>
        <v>1.2</v>
      </c>
      <c r="K122" s="72" t="s">
        <v>122</v>
      </c>
      <c r="L122" s="77">
        <v>0</v>
      </c>
      <c r="M122" s="31" t="str">
        <f t="shared" ref="M122:N129" si="137">A122</f>
        <v>C87</v>
      </c>
      <c r="N122" s="31" t="str">
        <f t="shared" si="137"/>
        <v>Система факельная, попутный нефтяной газ</v>
      </c>
      <c r="O122" s="31" t="str">
        <f t="shared" ref="O122:O129" si="138">D122</f>
        <v>Полное-факел</v>
      </c>
      <c r="P122" s="31" t="s">
        <v>46</v>
      </c>
      <c r="Q122" s="31" t="s">
        <v>46</v>
      </c>
      <c r="R122" s="31" t="s">
        <v>46</v>
      </c>
      <c r="S122" s="31" t="s">
        <v>46</v>
      </c>
      <c r="T122" s="31" t="s">
        <v>46</v>
      </c>
      <c r="U122" s="31" t="s">
        <v>46</v>
      </c>
      <c r="V122" s="31" t="s">
        <v>46</v>
      </c>
      <c r="W122" s="31" t="s">
        <v>46</v>
      </c>
      <c r="X122" s="31" t="s">
        <v>46</v>
      </c>
      <c r="Y122" s="31">
        <v>17</v>
      </c>
      <c r="Z122" s="31">
        <v>3</v>
      </c>
      <c r="AA122" s="31" t="s">
        <v>46</v>
      </c>
      <c r="AB122" s="31" t="s">
        <v>46</v>
      </c>
      <c r="AC122" s="31" t="s">
        <v>46</v>
      </c>
      <c r="AD122" s="31" t="s">
        <v>46</v>
      </c>
      <c r="AE122" s="31" t="s">
        <v>46</v>
      </c>
      <c r="AF122" s="31" t="s">
        <v>46</v>
      </c>
      <c r="AG122" s="31" t="s">
        <v>46</v>
      </c>
      <c r="AH122" s="31" t="s">
        <v>46</v>
      </c>
      <c r="AI122" s="31" t="s">
        <v>46</v>
      </c>
      <c r="AJ122" s="12">
        <v>1</v>
      </c>
      <c r="AK122" s="12">
        <v>2</v>
      </c>
      <c r="AL122" s="65">
        <v>0.75</v>
      </c>
      <c r="AM122" s="65">
        <v>2.7E-2</v>
      </c>
      <c r="AN122" s="65">
        <v>3</v>
      </c>
      <c r="AO122" s="31"/>
      <c r="AP122" s="31"/>
      <c r="AQ122" s="32">
        <f>AM122*I122+AL122</f>
        <v>0.78239999999999998</v>
      </c>
      <c r="AR122" s="32">
        <f>0.1*AQ122</f>
        <v>7.8240000000000004E-2</v>
      </c>
      <c r="AS122" s="33">
        <f>AJ122*3+0.25*AK122</f>
        <v>3.5</v>
      </c>
      <c r="AT122" s="33">
        <f>SUM(AQ122:AS122)/4</f>
        <v>1.09016</v>
      </c>
      <c r="AU122" s="32">
        <f>10068.2*J122*POWER(10,-6)</f>
        <v>1.208184E-2</v>
      </c>
      <c r="AV122" s="33">
        <f t="shared" ref="AV122:AV129" si="139">AU122+AT122+AS122+AR122+AQ122</f>
        <v>5.4628818399999997</v>
      </c>
      <c r="AW122" s="34">
        <f>AJ122*H122</f>
        <v>4.0000000000000003E-5</v>
      </c>
      <c r="AX122" s="34">
        <f>H122*AK122</f>
        <v>8.0000000000000007E-5</v>
      </c>
      <c r="AY122" s="34">
        <f>H122*AV122</f>
        <v>2.1851527360000001E-4</v>
      </c>
      <c r="AZ122" s="297">
        <f>AW122/DB!$B$23</f>
        <v>4.8192771084337353E-8</v>
      </c>
      <c r="BA122" s="297">
        <f>AX122/DB!$B$23</f>
        <v>9.6385542168674707E-8</v>
      </c>
    </row>
    <row r="123" spans="1:53" x14ac:dyDescent="0.3">
      <c r="A123" s="8" t="s">
        <v>815</v>
      </c>
      <c r="B123" s="8" t="str">
        <f>B122</f>
        <v>Система факельная, попутный нефтяной газ</v>
      </c>
      <c r="C123" s="79" t="s">
        <v>107</v>
      </c>
      <c r="D123" s="9" t="s">
        <v>28</v>
      </c>
      <c r="E123" s="67">
        <f>E122</f>
        <v>1.0000000000000001E-5</v>
      </c>
      <c r="F123" s="68">
        <f>F122</f>
        <v>20</v>
      </c>
      <c r="G123" s="8">
        <v>0.1152</v>
      </c>
      <c r="H123" s="10">
        <f t="shared" ref="H123:H129" si="140">E123*F123*G123</f>
        <v>2.304E-5</v>
      </c>
      <c r="I123" s="62">
        <f>I122</f>
        <v>1.2</v>
      </c>
      <c r="J123" s="80">
        <f>0.1*I122</f>
        <v>0.12</v>
      </c>
      <c r="K123" s="74" t="s">
        <v>123</v>
      </c>
      <c r="L123" s="78">
        <v>2</v>
      </c>
      <c r="M123" s="31" t="str">
        <f t="shared" si="137"/>
        <v>C88</v>
      </c>
      <c r="N123" s="31" t="str">
        <f t="shared" si="137"/>
        <v>Система факельная, попутный нефтяной газ</v>
      </c>
      <c r="O123" s="31" t="str">
        <f t="shared" si="138"/>
        <v>Полное-взрыв</v>
      </c>
      <c r="P123" s="31" t="s">
        <v>46</v>
      </c>
      <c r="Q123" s="31" t="s">
        <v>46</v>
      </c>
      <c r="R123" s="31" t="s">
        <v>46</v>
      </c>
      <c r="S123" s="31" t="s">
        <v>46</v>
      </c>
      <c r="T123" s="31">
        <v>0</v>
      </c>
      <c r="U123" s="31">
        <v>0</v>
      </c>
      <c r="V123" s="31">
        <v>37.6</v>
      </c>
      <c r="W123" s="31">
        <v>124.6</v>
      </c>
      <c r="X123" s="31">
        <v>182.1</v>
      </c>
      <c r="Y123" s="31" t="s">
        <v>46</v>
      </c>
      <c r="Z123" s="31" t="s">
        <v>46</v>
      </c>
      <c r="AA123" s="31" t="s">
        <v>46</v>
      </c>
      <c r="AB123" s="31" t="s">
        <v>46</v>
      </c>
      <c r="AC123" s="31" t="s">
        <v>46</v>
      </c>
      <c r="AD123" s="31" t="s">
        <v>46</v>
      </c>
      <c r="AE123" s="31" t="s">
        <v>46</v>
      </c>
      <c r="AF123" s="31" t="s">
        <v>46</v>
      </c>
      <c r="AG123" s="31" t="s">
        <v>46</v>
      </c>
      <c r="AH123" s="31" t="s">
        <v>46</v>
      </c>
      <c r="AI123" s="31" t="s">
        <v>46</v>
      </c>
      <c r="AJ123" s="12">
        <v>1</v>
      </c>
      <c r="AK123" s="12">
        <v>2</v>
      </c>
      <c r="AL123" s="31">
        <f>AL122</f>
        <v>0.75</v>
      </c>
      <c r="AM123" s="31">
        <f>AM122</f>
        <v>2.7E-2</v>
      </c>
      <c r="AN123" s="31">
        <f>AN122</f>
        <v>3</v>
      </c>
      <c r="AO123" s="31"/>
      <c r="AP123" s="31"/>
      <c r="AQ123" s="32">
        <f>AM123*I123+AL123</f>
        <v>0.78239999999999998</v>
      </c>
      <c r="AR123" s="32">
        <f t="shared" ref="AR123:AR129" si="141">0.1*AQ123</f>
        <v>7.8240000000000004E-2</v>
      </c>
      <c r="AS123" s="33">
        <f t="shared" ref="AS123:AS129" si="142">AJ123*3+0.25*AK123</f>
        <v>3.5</v>
      </c>
      <c r="AT123" s="33">
        <f t="shared" ref="AT123:AT129" si="143">SUM(AQ123:AS123)/4</f>
        <v>1.09016</v>
      </c>
      <c r="AU123" s="32">
        <f>10068.2*J123*POWER(10,-6)*10</f>
        <v>1.208184E-2</v>
      </c>
      <c r="AV123" s="33">
        <f t="shared" si="139"/>
        <v>5.4628818399999997</v>
      </c>
      <c r="AW123" s="34">
        <f t="shared" ref="AW123:AW129" si="144">AJ123*H123</f>
        <v>2.304E-5</v>
      </c>
      <c r="AX123" s="34">
        <f t="shared" ref="AX123:AX129" si="145">H123*AK123</f>
        <v>4.6079999999999999E-5</v>
      </c>
      <c r="AY123" s="34">
        <f t="shared" ref="AY123:AY129" si="146">H123*AV123</f>
        <v>1.258647975936E-4</v>
      </c>
      <c r="AZ123" s="297">
        <f>AW123/DB!$B$23</f>
        <v>2.7759036144578312E-8</v>
      </c>
      <c r="BA123" s="297">
        <f>AX123/DB!$B$23</f>
        <v>5.5518072289156624E-8</v>
      </c>
    </row>
    <row r="124" spans="1:53" x14ac:dyDescent="0.3">
      <c r="A124" s="8" t="s">
        <v>816</v>
      </c>
      <c r="B124" s="8" t="str">
        <f>B122</f>
        <v>Система факельная, попутный нефтяной газ</v>
      </c>
      <c r="C124" s="79" t="s">
        <v>131</v>
      </c>
      <c r="D124" s="9" t="s">
        <v>132</v>
      </c>
      <c r="E124" s="67">
        <f>E122</f>
        <v>1.0000000000000001E-5</v>
      </c>
      <c r="F124" s="68">
        <f t="shared" ref="F124:F129" si="147">F123</f>
        <v>20</v>
      </c>
      <c r="G124" s="8">
        <v>7.6799999999999993E-2</v>
      </c>
      <c r="H124" s="10">
        <f>E124*F124*G124</f>
        <v>1.5359999999999999E-5</v>
      </c>
      <c r="I124" s="62">
        <f>I122</f>
        <v>1.2</v>
      </c>
      <c r="J124" s="69">
        <f>I122</f>
        <v>1.2</v>
      </c>
      <c r="K124" s="74" t="s">
        <v>124</v>
      </c>
      <c r="L124" s="78">
        <v>0</v>
      </c>
      <c r="M124" s="31" t="str">
        <f>A124</f>
        <v>C89</v>
      </c>
      <c r="N124" s="31" t="str">
        <f>B124</f>
        <v>Система факельная, попутный нефтяной газ</v>
      </c>
      <c r="O124" s="31" t="str">
        <f>D124</f>
        <v>Полное-вспышка</v>
      </c>
      <c r="P124" s="31" t="s">
        <v>46</v>
      </c>
      <c r="Q124" s="31" t="s">
        <v>46</v>
      </c>
      <c r="R124" s="31" t="s">
        <v>46</v>
      </c>
      <c r="S124" s="31" t="s">
        <v>46</v>
      </c>
      <c r="T124" s="31" t="s">
        <v>46</v>
      </c>
      <c r="U124" s="31" t="s">
        <v>46</v>
      </c>
      <c r="V124" s="31" t="s">
        <v>46</v>
      </c>
      <c r="W124" s="31" t="s">
        <v>46</v>
      </c>
      <c r="X124" s="31" t="s">
        <v>46</v>
      </c>
      <c r="Y124" s="31" t="s">
        <v>46</v>
      </c>
      <c r="Z124" s="31" t="s">
        <v>46</v>
      </c>
      <c r="AA124" s="31">
        <v>35.6</v>
      </c>
      <c r="AB124" s="31">
        <v>42.72</v>
      </c>
      <c r="AC124" s="31" t="s">
        <v>46</v>
      </c>
      <c r="AD124" s="31" t="s">
        <v>46</v>
      </c>
      <c r="AE124" s="31" t="s">
        <v>46</v>
      </c>
      <c r="AF124" s="31" t="s">
        <v>46</v>
      </c>
      <c r="AG124" s="31" t="s">
        <v>46</v>
      </c>
      <c r="AH124" s="31" t="s">
        <v>46</v>
      </c>
      <c r="AI124" s="31" t="s">
        <v>46</v>
      </c>
      <c r="AJ124" s="31">
        <v>0</v>
      </c>
      <c r="AK124" s="31">
        <v>0</v>
      </c>
      <c r="AL124" s="31">
        <f>AL122</f>
        <v>0.75</v>
      </c>
      <c r="AM124" s="31">
        <f>AM122</f>
        <v>2.7E-2</v>
      </c>
      <c r="AN124" s="31">
        <f>AN122</f>
        <v>3</v>
      </c>
      <c r="AO124" s="31"/>
      <c r="AP124" s="31"/>
      <c r="AQ124" s="32">
        <f>AM124*I124*0.1+AL124</f>
        <v>0.75324000000000002</v>
      </c>
      <c r="AR124" s="32">
        <f>0.1*AQ124</f>
        <v>7.5324000000000002E-2</v>
      </c>
      <c r="AS124" s="33">
        <f>AJ124*3+0.25*AK124</f>
        <v>0</v>
      </c>
      <c r="AT124" s="33">
        <f>SUM(AQ124:AS124)/4</f>
        <v>0.20714100000000002</v>
      </c>
      <c r="AU124" s="32">
        <f>1333*J122*POWER(10,-6)</f>
        <v>1.5995999999999999E-3</v>
      </c>
      <c r="AV124" s="33">
        <f>AU124+AT124+AS124+AR124+AQ124</f>
        <v>1.0373046000000001</v>
      </c>
      <c r="AW124" s="34">
        <f t="shared" si="144"/>
        <v>0</v>
      </c>
      <c r="AX124" s="34">
        <f t="shared" si="145"/>
        <v>0</v>
      </c>
      <c r="AY124" s="34">
        <f t="shared" si="146"/>
        <v>1.5932998656E-5</v>
      </c>
      <c r="AZ124" s="297">
        <f>AW124/DB!$B$23</f>
        <v>0</v>
      </c>
      <c r="BA124" s="297">
        <f>AX124/DB!$B$23</f>
        <v>0</v>
      </c>
    </row>
    <row r="125" spans="1:53" x14ac:dyDescent="0.3">
      <c r="A125" s="8" t="s">
        <v>817</v>
      </c>
      <c r="B125" s="8" t="str">
        <f>B122</f>
        <v>Система факельная, попутный нефтяной газ</v>
      </c>
      <c r="C125" s="79" t="s">
        <v>108</v>
      </c>
      <c r="D125" s="9" t="s">
        <v>26</v>
      </c>
      <c r="E125" s="67">
        <f>E122</f>
        <v>1.0000000000000001E-5</v>
      </c>
      <c r="F125" s="68">
        <f t="shared" si="147"/>
        <v>20</v>
      </c>
      <c r="G125" s="8">
        <v>0.60799999999999998</v>
      </c>
      <c r="H125" s="10">
        <f t="shared" si="140"/>
        <v>1.216E-4</v>
      </c>
      <c r="I125" s="62">
        <f>I122</f>
        <v>1.2</v>
      </c>
      <c r="J125" s="71">
        <v>0</v>
      </c>
      <c r="K125" s="74" t="s">
        <v>126</v>
      </c>
      <c r="L125" s="78">
        <v>45390</v>
      </c>
      <c r="M125" s="31" t="str">
        <f t="shared" si="137"/>
        <v>C90</v>
      </c>
      <c r="N125" s="31" t="str">
        <f t="shared" si="137"/>
        <v>Система факельная, попутный нефтяной газ</v>
      </c>
      <c r="O125" s="31" t="str">
        <f t="shared" si="138"/>
        <v>Полное-ликвидация</v>
      </c>
      <c r="P125" s="31" t="s">
        <v>46</v>
      </c>
      <c r="Q125" s="31" t="s">
        <v>46</v>
      </c>
      <c r="R125" s="31" t="s">
        <v>46</v>
      </c>
      <c r="S125" s="31" t="s">
        <v>46</v>
      </c>
      <c r="T125" s="31" t="s">
        <v>46</v>
      </c>
      <c r="U125" s="31" t="s">
        <v>46</v>
      </c>
      <c r="V125" s="31" t="s">
        <v>46</v>
      </c>
      <c r="W125" s="31" t="s">
        <v>46</v>
      </c>
      <c r="X125" s="31" t="s">
        <v>46</v>
      </c>
      <c r="Y125" s="31" t="s">
        <v>46</v>
      </c>
      <c r="Z125" s="31" t="s">
        <v>46</v>
      </c>
      <c r="AA125" s="31" t="s">
        <v>46</v>
      </c>
      <c r="AB125" s="31" t="s">
        <v>46</v>
      </c>
      <c r="AC125" s="31" t="s">
        <v>46</v>
      </c>
      <c r="AD125" s="31" t="s">
        <v>46</v>
      </c>
      <c r="AE125" s="31" t="s">
        <v>46</v>
      </c>
      <c r="AF125" s="31" t="s">
        <v>46</v>
      </c>
      <c r="AG125" s="31" t="s">
        <v>46</v>
      </c>
      <c r="AH125" s="31" t="s">
        <v>46</v>
      </c>
      <c r="AI125" s="31" t="s">
        <v>46</v>
      </c>
      <c r="AJ125" s="31">
        <v>0</v>
      </c>
      <c r="AK125" s="31">
        <v>0</v>
      </c>
      <c r="AL125" s="31">
        <f>AL122</f>
        <v>0.75</v>
      </c>
      <c r="AM125" s="31">
        <f>AM122</f>
        <v>2.7E-2</v>
      </c>
      <c r="AN125" s="31">
        <f>AN122</f>
        <v>3</v>
      </c>
      <c r="AO125" s="31"/>
      <c r="AP125" s="31"/>
      <c r="AQ125" s="32">
        <f>AM125*I125*0.1+AL125</f>
        <v>0.75324000000000002</v>
      </c>
      <c r="AR125" s="32">
        <f t="shared" si="141"/>
        <v>7.5324000000000002E-2</v>
      </c>
      <c r="AS125" s="33">
        <f t="shared" si="142"/>
        <v>0</v>
      </c>
      <c r="AT125" s="33">
        <f t="shared" si="143"/>
        <v>0.20714100000000002</v>
      </c>
      <c r="AU125" s="32">
        <f>1333*J123*POWER(10,-6)</f>
        <v>1.5996000000000001E-4</v>
      </c>
      <c r="AV125" s="33">
        <f t="shared" si="139"/>
        <v>1.0358649600000001</v>
      </c>
      <c r="AW125" s="34">
        <f t="shared" si="144"/>
        <v>0</v>
      </c>
      <c r="AX125" s="34">
        <f t="shared" si="145"/>
        <v>0</v>
      </c>
      <c r="AY125" s="34">
        <f t="shared" si="146"/>
        <v>1.2596117913600002E-4</v>
      </c>
      <c r="AZ125" s="297">
        <f>AW125/DB!$B$23</f>
        <v>0</v>
      </c>
      <c r="BA125" s="297">
        <f>AX125/DB!$B$23</f>
        <v>0</v>
      </c>
    </row>
    <row r="126" spans="1:53" x14ac:dyDescent="0.3">
      <c r="A126" s="8" t="s">
        <v>818</v>
      </c>
      <c r="B126" s="8" t="str">
        <f>B122</f>
        <v>Система факельная, попутный нефтяной газ</v>
      </c>
      <c r="C126" s="79" t="s">
        <v>133</v>
      </c>
      <c r="D126" s="9" t="s">
        <v>134</v>
      </c>
      <c r="E126" s="66">
        <v>1E-4</v>
      </c>
      <c r="F126" s="68">
        <f t="shared" si="147"/>
        <v>20</v>
      </c>
      <c r="G126" s="8">
        <v>3.5000000000000003E-2</v>
      </c>
      <c r="H126" s="10">
        <f t="shared" si="140"/>
        <v>7.0000000000000007E-5</v>
      </c>
      <c r="I126" s="62">
        <f>0.15*I122</f>
        <v>0.18</v>
      </c>
      <c r="J126" s="69">
        <f>I126</f>
        <v>0.18</v>
      </c>
      <c r="K126" s="74" t="s">
        <v>127</v>
      </c>
      <c r="L126" s="78">
        <v>3</v>
      </c>
      <c r="M126" s="31" t="str">
        <f t="shared" si="137"/>
        <v>C91</v>
      </c>
      <c r="N126" s="31" t="str">
        <f t="shared" si="137"/>
        <v>Система факельная, попутный нефтяной газ</v>
      </c>
      <c r="O126" s="31" t="str">
        <f t="shared" si="138"/>
        <v>Частичное-факел</v>
      </c>
      <c r="P126" s="31" t="s">
        <v>46</v>
      </c>
      <c r="Q126" s="31" t="s">
        <v>46</v>
      </c>
      <c r="R126" s="31" t="s">
        <v>46</v>
      </c>
      <c r="S126" s="31" t="s">
        <v>46</v>
      </c>
      <c r="T126" s="31" t="s">
        <v>46</v>
      </c>
      <c r="U126" s="31" t="s">
        <v>46</v>
      </c>
      <c r="V126" s="31" t="s">
        <v>46</v>
      </c>
      <c r="W126" s="31" t="s">
        <v>46</v>
      </c>
      <c r="X126" s="31" t="s">
        <v>46</v>
      </c>
      <c r="Y126" s="31">
        <v>11</v>
      </c>
      <c r="Z126" s="31">
        <v>2</v>
      </c>
      <c r="AA126" s="31" t="s">
        <v>46</v>
      </c>
      <c r="AB126" s="31" t="s">
        <v>46</v>
      </c>
      <c r="AC126" s="31" t="s">
        <v>46</v>
      </c>
      <c r="AD126" s="31" t="s">
        <v>46</v>
      </c>
      <c r="AE126" s="31" t="s">
        <v>46</v>
      </c>
      <c r="AF126" s="31" t="s">
        <v>46</v>
      </c>
      <c r="AG126" s="31" t="s">
        <v>46</v>
      </c>
      <c r="AH126" s="31" t="s">
        <v>46</v>
      </c>
      <c r="AI126" s="31" t="s">
        <v>46</v>
      </c>
      <c r="AJ126" s="31">
        <v>0</v>
      </c>
      <c r="AK126" s="31">
        <v>2</v>
      </c>
      <c r="AL126" s="31">
        <f>0.1*$AL$2</f>
        <v>7.5000000000000011E-2</v>
      </c>
      <c r="AM126" s="31">
        <f>AM122</f>
        <v>2.7E-2</v>
      </c>
      <c r="AN126" s="31">
        <f>ROUNDUP(AN122/3,0)</f>
        <v>1</v>
      </c>
      <c r="AO126" s="31"/>
      <c r="AP126" s="31"/>
      <c r="AQ126" s="32">
        <f>AM126*I126+AL126</f>
        <v>7.9860000000000014E-2</v>
      </c>
      <c r="AR126" s="32">
        <f t="shared" si="141"/>
        <v>7.9860000000000018E-3</v>
      </c>
      <c r="AS126" s="33">
        <f t="shared" si="142"/>
        <v>0.5</v>
      </c>
      <c r="AT126" s="33">
        <f t="shared" si="143"/>
        <v>0.14696149999999999</v>
      </c>
      <c r="AU126" s="32">
        <f>10068.2*J126*POWER(10,-6)</f>
        <v>1.812276E-3</v>
      </c>
      <c r="AV126" s="33">
        <f t="shared" si="139"/>
        <v>0.73661977600000006</v>
      </c>
      <c r="AW126" s="34">
        <f t="shared" si="144"/>
        <v>0</v>
      </c>
      <c r="AX126" s="34">
        <f t="shared" si="145"/>
        <v>1.4000000000000001E-4</v>
      </c>
      <c r="AY126" s="34">
        <f t="shared" si="146"/>
        <v>5.1563384320000013E-5</v>
      </c>
      <c r="AZ126" s="297">
        <f>AW126/DB!$B$23</f>
        <v>0</v>
      </c>
      <c r="BA126" s="297">
        <f>AX126/DB!$B$23</f>
        <v>1.6867469879518075E-7</v>
      </c>
    </row>
    <row r="127" spans="1:53" x14ac:dyDescent="0.3">
      <c r="A127" s="8" t="s">
        <v>819</v>
      </c>
      <c r="B127" s="8" t="str">
        <f>B122</f>
        <v>Система факельная, попутный нефтяной газ</v>
      </c>
      <c r="C127" s="79" t="s">
        <v>135</v>
      </c>
      <c r="D127" s="9" t="s">
        <v>136</v>
      </c>
      <c r="E127" s="67">
        <f>E126</f>
        <v>1E-4</v>
      </c>
      <c r="F127" s="68">
        <f t="shared" si="147"/>
        <v>20</v>
      </c>
      <c r="G127" s="8">
        <v>8.3000000000000001E-3</v>
      </c>
      <c r="H127" s="10">
        <f>E127*F127*G127</f>
        <v>1.66E-5</v>
      </c>
      <c r="I127" s="62">
        <f>I126</f>
        <v>0.18</v>
      </c>
      <c r="J127" s="69">
        <f>J123*0.15</f>
        <v>1.7999999999999999E-2</v>
      </c>
      <c r="K127" s="73" t="s">
        <v>138</v>
      </c>
      <c r="L127" s="130">
        <v>4</v>
      </c>
      <c r="M127" s="31" t="str">
        <f>A127</f>
        <v>C92</v>
      </c>
      <c r="N127" s="31" t="str">
        <f>B127</f>
        <v>Система факельная, попутный нефтяной газ</v>
      </c>
      <c r="O127" s="31" t="str">
        <f>D127</f>
        <v>Частичное-взрыв</v>
      </c>
      <c r="P127" s="31" t="s">
        <v>46</v>
      </c>
      <c r="Q127" s="31" t="s">
        <v>46</v>
      </c>
      <c r="R127" s="31" t="s">
        <v>46</v>
      </c>
      <c r="S127" s="31" t="s">
        <v>46</v>
      </c>
      <c r="T127" s="31">
        <v>0</v>
      </c>
      <c r="U127" s="31">
        <v>0</v>
      </c>
      <c r="V127" s="31">
        <v>20.100000000000001</v>
      </c>
      <c r="W127" s="31">
        <v>66.099999999999994</v>
      </c>
      <c r="X127" s="31">
        <v>96.6</v>
      </c>
      <c r="Y127" s="31" t="s">
        <v>46</v>
      </c>
      <c r="Z127" s="31" t="s">
        <v>46</v>
      </c>
      <c r="AA127" s="31" t="s">
        <v>46</v>
      </c>
      <c r="AB127" s="31" t="s">
        <v>46</v>
      </c>
      <c r="AC127" s="31" t="s">
        <v>46</v>
      </c>
      <c r="AD127" s="31" t="s">
        <v>46</v>
      </c>
      <c r="AE127" s="31" t="s">
        <v>46</v>
      </c>
      <c r="AF127" s="31" t="s">
        <v>46</v>
      </c>
      <c r="AG127" s="31" t="s">
        <v>46</v>
      </c>
      <c r="AH127" s="31" t="s">
        <v>46</v>
      </c>
      <c r="AI127" s="31" t="s">
        <v>46</v>
      </c>
      <c r="AJ127" s="31">
        <v>0</v>
      </c>
      <c r="AK127" s="31">
        <v>1</v>
      </c>
      <c r="AL127" s="31">
        <f>0.1*$AL$2</f>
        <v>7.5000000000000011E-2</v>
      </c>
      <c r="AM127" s="31">
        <f>AM122</f>
        <v>2.7E-2</v>
      </c>
      <c r="AN127" s="31">
        <f>AN126</f>
        <v>1</v>
      </c>
      <c r="AO127" s="31"/>
      <c r="AP127" s="31"/>
      <c r="AQ127" s="32">
        <f>AM127*I127+AL127</f>
        <v>7.9860000000000014E-2</v>
      </c>
      <c r="AR127" s="32">
        <f>0.1*AQ127</f>
        <v>7.9860000000000018E-3</v>
      </c>
      <c r="AS127" s="33">
        <f>AJ127*3+0.25*AK127</f>
        <v>0.25</v>
      </c>
      <c r="AT127" s="33">
        <f>SUM(AQ127:AS127)/4</f>
        <v>8.4461500000000009E-2</v>
      </c>
      <c r="AU127" s="32">
        <f>10068.2*J127*POWER(10,-6)*10</f>
        <v>1.8122759999999998E-3</v>
      </c>
      <c r="AV127" s="33">
        <f>AU127+AT127+AS127+AR127+AQ127</f>
        <v>0.42411977600000006</v>
      </c>
      <c r="AW127" s="34">
        <f t="shared" si="144"/>
        <v>0</v>
      </c>
      <c r="AX127" s="34">
        <f t="shared" si="145"/>
        <v>1.66E-5</v>
      </c>
      <c r="AY127" s="34">
        <f t="shared" si="146"/>
        <v>7.0403882816000014E-6</v>
      </c>
      <c r="AZ127" s="297">
        <f>AW127/DB!$B$23</f>
        <v>0</v>
      </c>
      <c r="BA127" s="297">
        <f>AX127/DB!$B$23</f>
        <v>2E-8</v>
      </c>
    </row>
    <row r="128" spans="1:53" x14ac:dyDescent="0.3">
      <c r="A128" s="8" t="s">
        <v>820</v>
      </c>
      <c r="B128" s="8" t="str">
        <f>B122</f>
        <v>Система факельная, попутный нефтяной газ</v>
      </c>
      <c r="C128" s="79" t="s">
        <v>110</v>
      </c>
      <c r="D128" s="9" t="s">
        <v>112</v>
      </c>
      <c r="E128" s="67">
        <f>E126</f>
        <v>1E-4</v>
      </c>
      <c r="F128" s="68">
        <f t="shared" si="147"/>
        <v>20</v>
      </c>
      <c r="G128" s="8">
        <v>2.64E-2</v>
      </c>
      <c r="H128" s="10">
        <f t="shared" si="140"/>
        <v>5.2800000000000003E-5</v>
      </c>
      <c r="I128" s="62">
        <f>0.15*I122</f>
        <v>0.18</v>
      </c>
      <c r="J128" s="69">
        <f>J124*0.15</f>
        <v>0.18</v>
      </c>
      <c r="K128" s="296" t="s">
        <v>468</v>
      </c>
      <c r="L128" s="295" t="s">
        <v>709</v>
      </c>
      <c r="M128" s="31" t="str">
        <f t="shared" si="137"/>
        <v>C93</v>
      </c>
      <c r="N128" s="31" t="str">
        <f t="shared" si="137"/>
        <v>Система факельная, попутный нефтяной газ</v>
      </c>
      <c r="O128" s="31" t="str">
        <f t="shared" si="138"/>
        <v>Частичное-пожар-вспышка</v>
      </c>
      <c r="P128" s="31" t="s">
        <v>46</v>
      </c>
      <c r="Q128" s="31" t="s">
        <v>46</v>
      </c>
      <c r="R128" s="31" t="s">
        <v>46</v>
      </c>
      <c r="S128" s="31" t="s">
        <v>46</v>
      </c>
      <c r="T128" s="31" t="s">
        <v>46</v>
      </c>
      <c r="U128" s="31" t="s">
        <v>46</v>
      </c>
      <c r="V128" s="31" t="s">
        <v>46</v>
      </c>
      <c r="W128" s="31" t="s">
        <v>46</v>
      </c>
      <c r="X128" s="31" t="s">
        <v>46</v>
      </c>
      <c r="Y128" s="31" t="s">
        <v>46</v>
      </c>
      <c r="Z128" s="31" t="s">
        <v>46</v>
      </c>
      <c r="AA128" s="31">
        <v>19.03</v>
      </c>
      <c r="AB128" s="31">
        <v>22.84</v>
      </c>
      <c r="AC128" s="31" t="s">
        <v>46</v>
      </c>
      <c r="AD128" s="31" t="s">
        <v>46</v>
      </c>
      <c r="AE128" s="31" t="s">
        <v>46</v>
      </c>
      <c r="AF128" s="31" t="s">
        <v>46</v>
      </c>
      <c r="AG128" s="31" t="s">
        <v>46</v>
      </c>
      <c r="AH128" s="31" t="s">
        <v>46</v>
      </c>
      <c r="AI128" s="31" t="s">
        <v>46</v>
      </c>
      <c r="AJ128" s="31">
        <v>0</v>
      </c>
      <c r="AK128" s="31">
        <v>1</v>
      </c>
      <c r="AL128" s="31">
        <f>0.1*$AL$2</f>
        <v>7.5000000000000011E-2</v>
      </c>
      <c r="AM128" s="31">
        <f>AM122</f>
        <v>2.7E-2</v>
      </c>
      <c r="AN128" s="31">
        <f>ROUNDUP(AN122/3,0)</f>
        <v>1</v>
      </c>
      <c r="AO128" s="31"/>
      <c r="AP128" s="31"/>
      <c r="AQ128" s="32">
        <f>AM128*I128+AL128</f>
        <v>7.9860000000000014E-2</v>
      </c>
      <c r="AR128" s="32">
        <f t="shared" si="141"/>
        <v>7.9860000000000018E-3</v>
      </c>
      <c r="AS128" s="33">
        <f t="shared" si="142"/>
        <v>0.25</v>
      </c>
      <c r="AT128" s="33">
        <f t="shared" si="143"/>
        <v>8.4461500000000009E-2</v>
      </c>
      <c r="AU128" s="32">
        <f>10068.2*J128*POWER(10,-6)*10</f>
        <v>1.8122760000000002E-2</v>
      </c>
      <c r="AV128" s="33">
        <f t="shared" si="139"/>
        <v>0.44043025999999996</v>
      </c>
      <c r="AW128" s="34">
        <f t="shared" si="144"/>
        <v>0</v>
      </c>
      <c r="AX128" s="34">
        <f t="shared" si="145"/>
        <v>5.2800000000000003E-5</v>
      </c>
      <c r="AY128" s="34">
        <f t="shared" si="146"/>
        <v>2.3254717727999999E-5</v>
      </c>
      <c r="AZ128" s="297">
        <f>AW128/DB!$B$23</f>
        <v>0</v>
      </c>
      <c r="BA128" s="297">
        <f>AX128/DB!$B$23</f>
        <v>6.361445783132531E-8</v>
      </c>
    </row>
    <row r="129" spans="1:53" ht="15" thickBot="1" x14ac:dyDescent="0.35">
      <c r="A129" s="8" t="s">
        <v>821</v>
      </c>
      <c r="B129" s="8" t="str">
        <f>B122</f>
        <v>Система факельная, попутный нефтяной газ</v>
      </c>
      <c r="C129" s="79" t="s">
        <v>111</v>
      </c>
      <c r="D129" s="9" t="s">
        <v>27</v>
      </c>
      <c r="E129" s="67">
        <f>E126</f>
        <v>1E-4</v>
      </c>
      <c r="F129" s="68">
        <f t="shared" si="147"/>
        <v>20</v>
      </c>
      <c r="G129" s="8">
        <v>0.93030000000000002</v>
      </c>
      <c r="H129" s="10">
        <f t="shared" si="140"/>
        <v>1.8606E-3</v>
      </c>
      <c r="I129" s="62">
        <f>0.15*I122</f>
        <v>0.18</v>
      </c>
      <c r="J129" s="71">
        <v>0</v>
      </c>
      <c r="K129" s="75"/>
      <c r="L129" s="76"/>
      <c r="M129" s="31" t="str">
        <f t="shared" si="137"/>
        <v>C94</v>
      </c>
      <c r="N129" s="31" t="str">
        <f t="shared" si="137"/>
        <v>Система факельная, попутный нефтяной газ</v>
      </c>
      <c r="O129" s="31" t="str">
        <f t="shared" si="138"/>
        <v>Частичное-ликвидация</v>
      </c>
      <c r="P129" s="31" t="s">
        <v>46</v>
      </c>
      <c r="Q129" s="31" t="s">
        <v>46</v>
      </c>
      <c r="R129" s="31" t="s">
        <v>46</v>
      </c>
      <c r="S129" s="31" t="s">
        <v>46</v>
      </c>
      <c r="T129" s="31" t="s">
        <v>46</v>
      </c>
      <c r="U129" s="31" t="s">
        <v>46</v>
      </c>
      <c r="V129" s="31" t="s">
        <v>46</v>
      </c>
      <c r="W129" s="31" t="s">
        <v>46</v>
      </c>
      <c r="X129" s="31" t="s">
        <v>46</v>
      </c>
      <c r="Y129" s="31" t="s">
        <v>46</v>
      </c>
      <c r="Z129" s="31" t="s">
        <v>46</v>
      </c>
      <c r="AA129" s="31" t="s">
        <v>46</v>
      </c>
      <c r="AB129" s="31" t="s">
        <v>46</v>
      </c>
      <c r="AC129" s="31" t="s">
        <v>46</v>
      </c>
      <c r="AD129" s="31" t="s">
        <v>46</v>
      </c>
      <c r="AE129" s="31" t="s">
        <v>46</v>
      </c>
      <c r="AF129" s="31" t="s">
        <v>46</v>
      </c>
      <c r="AG129" s="31" t="s">
        <v>46</v>
      </c>
      <c r="AH129" s="31" t="s">
        <v>46</v>
      </c>
      <c r="AI129" s="31" t="s">
        <v>46</v>
      </c>
      <c r="AJ129" s="31">
        <v>0</v>
      </c>
      <c r="AK129" s="31">
        <v>0</v>
      </c>
      <c r="AL129" s="31">
        <f>0.1*$AL$2</f>
        <v>7.5000000000000011E-2</v>
      </c>
      <c r="AM129" s="31">
        <f>AM122</f>
        <v>2.7E-2</v>
      </c>
      <c r="AN129" s="31">
        <f>ROUNDUP(AN122/3,0)</f>
        <v>1</v>
      </c>
      <c r="AO129" s="31"/>
      <c r="AP129" s="31"/>
      <c r="AQ129" s="32">
        <f>AM129*I129*0.1+AL129</f>
        <v>7.5486000000000011E-2</v>
      </c>
      <c r="AR129" s="32">
        <f t="shared" si="141"/>
        <v>7.5486000000000017E-3</v>
      </c>
      <c r="AS129" s="33">
        <f t="shared" si="142"/>
        <v>0</v>
      </c>
      <c r="AT129" s="33">
        <f t="shared" si="143"/>
        <v>2.0758650000000003E-2</v>
      </c>
      <c r="AU129" s="32">
        <f>1333*J128*POWER(10,-6)</f>
        <v>2.3993999999999998E-4</v>
      </c>
      <c r="AV129" s="33">
        <f t="shared" si="139"/>
        <v>0.10403319000000003</v>
      </c>
      <c r="AW129" s="34">
        <f t="shared" si="144"/>
        <v>0</v>
      </c>
      <c r="AX129" s="34">
        <f t="shared" si="145"/>
        <v>0</v>
      </c>
      <c r="AY129" s="34">
        <f t="shared" si="146"/>
        <v>1.9356415331400005E-4</v>
      </c>
      <c r="AZ129" s="297">
        <f>AW129/DB!$B$23</f>
        <v>0</v>
      </c>
      <c r="BA129" s="297">
        <f>AX129/DB!$B$23</f>
        <v>0</v>
      </c>
    </row>
    <row r="130" spans="1:53" x14ac:dyDescent="0.3">
      <c r="A130" s="12"/>
      <c r="B130" s="12"/>
      <c r="C130" s="31"/>
      <c r="D130" s="167"/>
      <c r="E130" s="168"/>
      <c r="F130" s="169"/>
      <c r="G130" s="12"/>
      <c r="H130" s="34"/>
      <c r="I130" s="33"/>
      <c r="J130" s="12"/>
      <c r="K130" s="12"/>
      <c r="L130" s="12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2"/>
      <c r="AR130" s="32"/>
      <c r="AS130" s="33"/>
      <c r="AT130" s="33"/>
      <c r="AU130" s="32"/>
      <c r="AV130" s="33"/>
      <c r="AW130" s="34"/>
      <c r="AX130" s="34"/>
      <c r="AY130" s="34"/>
    </row>
    <row r="131" spans="1:53" ht="15" thickBot="1" x14ac:dyDescent="0.35"/>
    <row r="132" spans="1:53" s="92" customFormat="1" ht="15" thickBot="1" x14ac:dyDescent="0.35">
      <c r="A132" s="82" t="s">
        <v>822</v>
      </c>
      <c r="B132" s="83" t="s">
        <v>722</v>
      </c>
      <c r="C132" s="84" t="s">
        <v>174</v>
      </c>
      <c r="D132" s="85" t="s">
        <v>130</v>
      </c>
      <c r="E132" s="86">
        <v>1.0000000000000001E-5</v>
      </c>
      <c r="F132" s="83">
        <v>4</v>
      </c>
      <c r="G132" s="82">
        <v>1.4999999999999999E-2</v>
      </c>
      <c r="H132" s="87">
        <f t="shared" ref="H132:H137" si="148">E132*F132*G132</f>
        <v>6.0000000000000008E-7</v>
      </c>
      <c r="I132" s="88">
        <v>0.9</v>
      </c>
      <c r="J132" s="100">
        <f>I132</f>
        <v>0.9</v>
      </c>
      <c r="K132" s="90" t="s">
        <v>122</v>
      </c>
      <c r="L132" s="91">
        <v>30</v>
      </c>
      <c r="M132" s="92" t="str">
        <f t="shared" ref="M132:M137" si="149">A132</f>
        <v>C95</v>
      </c>
      <c r="N132" s="92" t="str">
        <f t="shared" ref="N132:N137" si="150">B132</f>
        <v>Насосное оборудование УПН,бактерицид</v>
      </c>
      <c r="O132" s="92" t="str">
        <f t="shared" ref="O132:O137" si="151">D132</f>
        <v>Полное-факел</v>
      </c>
      <c r="P132" s="92" t="s">
        <v>46</v>
      </c>
      <c r="Q132" s="92" t="s">
        <v>46</v>
      </c>
      <c r="R132" s="92" t="s">
        <v>46</v>
      </c>
      <c r="S132" s="92" t="s">
        <v>46</v>
      </c>
      <c r="T132" s="92" t="s">
        <v>46</v>
      </c>
      <c r="U132" s="92" t="s">
        <v>46</v>
      </c>
      <c r="V132" s="92" t="s">
        <v>46</v>
      </c>
      <c r="W132" s="92" t="s">
        <v>46</v>
      </c>
      <c r="X132" s="92" t="s">
        <v>46</v>
      </c>
      <c r="Y132" s="92">
        <v>15</v>
      </c>
      <c r="Z132" s="92">
        <v>3</v>
      </c>
      <c r="AA132" s="92" t="s">
        <v>46</v>
      </c>
      <c r="AB132" s="92" t="s">
        <v>46</v>
      </c>
      <c r="AC132" s="92" t="s">
        <v>46</v>
      </c>
      <c r="AD132" s="92" t="s">
        <v>46</v>
      </c>
      <c r="AE132" s="92" t="s">
        <v>46</v>
      </c>
      <c r="AF132" s="92" t="s">
        <v>46</v>
      </c>
      <c r="AG132" s="92" t="s">
        <v>46</v>
      </c>
      <c r="AH132" s="92" t="s">
        <v>46</v>
      </c>
      <c r="AI132" s="92" t="s">
        <v>46</v>
      </c>
      <c r="AJ132" s="93">
        <v>1</v>
      </c>
      <c r="AK132" s="93">
        <v>1</v>
      </c>
      <c r="AL132" s="94">
        <v>0.75</v>
      </c>
      <c r="AM132" s="94">
        <v>2.7E-2</v>
      </c>
      <c r="AN132" s="94">
        <v>3</v>
      </c>
      <c r="AQ132" s="95">
        <f>AM132*I132+AL132</f>
        <v>0.77429999999999999</v>
      </c>
      <c r="AR132" s="95">
        <f t="shared" ref="AR132:AR137" si="152">0.1*AQ132</f>
        <v>7.7429999999999999E-2</v>
      </c>
      <c r="AS132" s="96">
        <f t="shared" ref="AS132:AS137" si="153">AJ132*3+0.25*AK132</f>
        <v>3.25</v>
      </c>
      <c r="AT132" s="96">
        <f t="shared" ref="AT132:AT137" si="154">SUM(AQ132:AS132)/4</f>
        <v>1.0254325</v>
      </c>
      <c r="AU132" s="95">
        <f>10068.2*J132*POWER(10,-6)</f>
        <v>9.0613800000000008E-3</v>
      </c>
      <c r="AV132" s="96">
        <f t="shared" ref="AV132:AV137" si="155">AU132+AT132+AS132+AR132+AQ132</f>
        <v>5.1362238799999993</v>
      </c>
      <c r="AW132" s="97">
        <f t="shared" ref="AW132:AW137" si="156">AJ132*H132</f>
        <v>6.0000000000000008E-7</v>
      </c>
      <c r="AX132" s="97">
        <f t="shared" ref="AX132:AX137" si="157">H132*AK132</f>
        <v>6.0000000000000008E-7</v>
      </c>
      <c r="AY132" s="97">
        <f t="shared" ref="AY132:AY137" si="158">H132*AV132</f>
        <v>3.0817343280000001E-6</v>
      </c>
      <c r="AZ132" s="297">
        <f>AW132/DB!$B$23</f>
        <v>7.2289156626506037E-10</v>
      </c>
      <c r="BA132" s="297">
        <f>AX132/DB!$B$23</f>
        <v>7.2289156626506037E-10</v>
      </c>
    </row>
    <row r="133" spans="1:53" s="92" customFormat="1" ht="15" thickBot="1" x14ac:dyDescent="0.35">
      <c r="A133" s="82" t="s">
        <v>823</v>
      </c>
      <c r="B133" s="82" t="str">
        <f>B132</f>
        <v>Насосное оборудование УПН,бактерицид</v>
      </c>
      <c r="C133" s="84" t="s">
        <v>175</v>
      </c>
      <c r="D133" s="85" t="s">
        <v>173</v>
      </c>
      <c r="E133" s="98">
        <f>E132</f>
        <v>1.0000000000000001E-5</v>
      </c>
      <c r="F133" s="99">
        <f>F132</f>
        <v>4</v>
      </c>
      <c r="G133" s="82">
        <v>1.4249999999999999E-2</v>
      </c>
      <c r="H133" s="87">
        <f t="shared" si="148"/>
        <v>5.7000000000000005E-7</v>
      </c>
      <c r="I133" s="100">
        <f>I132</f>
        <v>0.9</v>
      </c>
      <c r="J133" s="190">
        <f>POWER(10,-6)*35*SQRT(100)*3600*L132/1000*0.1</f>
        <v>3.7800000000000004E-3</v>
      </c>
      <c r="K133" s="90" t="s">
        <v>123</v>
      </c>
      <c r="L133" s="91">
        <v>0</v>
      </c>
      <c r="M133" s="92" t="str">
        <f t="shared" si="149"/>
        <v>C96</v>
      </c>
      <c r="N133" s="92" t="str">
        <f t="shared" si="150"/>
        <v>Насосное оборудование УПН,бактерицид</v>
      </c>
      <c r="O133" s="92" t="str">
        <f t="shared" si="151"/>
        <v>Полное-взрыв облака ТВС</v>
      </c>
      <c r="P133" s="92" t="s">
        <v>46</v>
      </c>
      <c r="Q133" s="92" t="s">
        <v>46</v>
      </c>
      <c r="R133" s="92" t="s">
        <v>46</v>
      </c>
      <c r="S133" s="92" t="s">
        <v>46</v>
      </c>
      <c r="T133" s="92">
        <v>0</v>
      </c>
      <c r="U133" s="92">
        <v>0</v>
      </c>
      <c r="V133" s="92">
        <v>11.6</v>
      </c>
      <c r="W133" s="92">
        <v>39.6</v>
      </c>
      <c r="X133" s="92">
        <v>57.6</v>
      </c>
      <c r="Y133" s="92" t="s">
        <v>46</v>
      </c>
      <c r="Z133" s="92" t="s">
        <v>46</v>
      </c>
      <c r="AA133" s="92" t="s">
        <v>46</v>
      </c>
      <c r="AB133" s="92" t="s">
        <v>46</v>
      </c>
      <c r="AC133" s="92" t="s">
        <v>46</v>
      </c>
      <c r="AD133" s="92" t="s">
        <v>46</v>
      </c>
      <c r="AE133" s="92" t="s">
        <v>46</v>
      </c>
      <c r="AF133" s="92" t="s">
        <v>46</v>
      </c>
      <c r="AG133" s="92" t="s">
        <v>46</v>
      </c>
      <c r="AH133" s="92" t="s">
        <v>46</v>
      </c>
      <c r="AI133" s="92" t="s">
        <v>46</v>
      </c>
      <c r="AJ133" s="93">
        <v>1</v>
      </c>
      <c r="AK133" s="93">
        <v>1</v>
      </c>
      <c r="AL133" s="92">
        <f>AL132</f>
        <v>0.75</v>
      </c>
      <c r="AM133" s="92">
        <f>AM132</f>
        <v>2.7E-2</v>
      </c>
      <c r="AN133" s="92">
        <f>AN132</f>
        <v>3</v>
      </c>
      <c r="AQ133" s="95">
        <f>AM133*I133+AL133</f>
        <v>0.77429999999999999</v>
      </c>
      <c r="AR133" s="95">
        <f t="shared" si="152"/>
        <v>7.7429999999999999E-2</v>
      </c>
      <c r="AS133" s="96">
        <f t="shared" si="153"/>
        <v>3.25</v>
      </c>
      <c r="AT133" s="96">
        <f t="shared" si="154"/>
        <v>1.0254325</v>
      </c>
      <c r="AU133" s="95">
        <f>10068.2*J133*POWER(10,-6)*10</f>
        <v>3.8057796000000001E-4</v>
      </c>
      <c r="AV133" s="96">
        <f t="shared" si="155"/>
        <v>5.1275430779599995</v>
      </c>
      <c r="AW133" s="97">
        <f t="shared" si="156"/>
        <v>5.7000000000000005E-7</v>
      </c>
      <c r="AX133" s="97">
        <f t="shared" si="157"/>
        <v>5.7000000000000005E-7</v>
      </c>
      <c r="AY133" s="97">
        <f t="shared" si="158"/>
        <v>2.9226995544372001E-6</v>
      </c>
      <c r="AZ133" s="297">
        <f>AW133/DB!$B$23</f>
        <v>6.8674698795180729E-10</v>
      </c>
      <c r="BA133" s="297">
        <f>AX133/DB!$B$23</f>
        <v>6.8674698795180729E-10</v>
      </c>
    </row>
    <row r="134" spans="1:53" s="92" customFormat="1" x14ac:dyDescent="0.3">
      <c r="A134" s="82" t="s">
        <v>824</v>
      </c>
      <c r="B134" s="82" t="str">
        <f>B132</f>
        <v>Насосное оборудование УПН,бактерицид</v>
      </c>
      <c r="C134" s="84" t="s">
        <v>176</v>
      </c>
      <c r="D134" s="85" t="s">
        <v>26</v>
      </c>
      <c r="E134" s="98">
        <f>E132</f>
        <v>1.0000000000000001E-5</v>
      </c>
      <c r="F134" s="99">
        <f>F132</f>
        <v>4</v>
      </c>
      <c r="G134" s="82">
        <v>0.27074999999999999</v>
      </c>
      <c r="H134" s="87">
        <f t="shared" si="148"/>
        <v>1.0830000000000001E-5</v>
      </c>
      <c r="I134" s="100">
        <f>I132</f>
        <v>0.9</v>
      </c>
      <c r="J134" s="82">
        <v>0</v>
      </c>
      <c r="K134" s="90" t="s">
        <v>124</v>
      </c>
      <c r="L134" s="91">
        <v>1</v>
      </c>
      <c r="M134" s="92" t="str">
        <f t="shared" si="149"/>
        <v>C97</v>
      </c>
      <c r="N134" s="92" t="str">
        <f t="shared" si="150"/>
        <v>Насосное оборудование УПН,бактерицид</v>
      </c>
      <c r="O134" s="92" t="str">
        <f t="shared" si="151"/>
        <v>Полное-ликвидация</v>
      </c>
      <c r="P134" s="92" t="s">
        <v>46</v>
      </c>
      <c r="Q134" s="92" t="s">
        <v>46</v>
      </c>
      <c r="R134" s="92" t="s">
        <v>46</v>
      </c>
      <c r="S134" s="92" t="s">
        <v>46</v>
      </c>
      <c r="T134" s="92" t="s">
        <v>46</v>
      </c>
      <c r="U134" s="92" t="s">
        <v>46</v>
      </c>
      <c r="V134" s="92" t="s">
        <v>46</v>
      </c>
      <c r="W134" s="92" t="s">
        <v>46</v>
      </c>
      <c r="X134" s="92" t="s">
        <v>46</v>
      </c>
      <c r="Y134" s="92" t="s">
        <v>46</v>
      </c>
      <c r="Z134" s="92" t="s">
        <v>46</v>
      </c>
      <c r="AA134" s="92" t="s">
        <v>46</v>
      </c>
      <c r="AB134" s="92" t="s">
        <v>46</v>
      </c>
      <c r="AC134" s="92" t="s">
        <v>46</v>
      </c>
      <c r="AD134" s="92" t="s">
        <v>46</v>
      </c>
      <c r="AE134" s="92" t="s">
        <v>46</v>
      </c>
      <c r="AF134" s="92" t="s">
        <v>46</v>
      </c>
      <c r="AG134" s="92" t="s">
        <v>46</v>
      </c>
      <c r="AH134" s="92" t="s">
        <v>46</v>
      </c>
      <c r="AI134" s="92" t="s">
        <v>46</v>
      </c>
      <c r="AJ134" s="92">
        <v>0</v>
      </c>
      <c r="AK134" s="92">
        <v>0</v>
      </c>
      <c r="AL134" s="92">
        <f>AL132</f>
        <v>0.75</v>
      </c>
      <c r="AM134" s="92">
        <f>AM132</f>
        <v>2.7E-2</v>
      </c>
      <c r="AN134" s="92">
        <f>AN132</f>
        <v>3</v>
      </c>
      <c r="AQ134" s="95">
        <f>AM134*I134*0.1+AL134</f>
        <v>0.75243000000000004</v>
      </c>
      <c r="AR134" s="95">
        <f t="shared" si="152"/>
        <v>7.5243000000000004E-2</v>
      </c>
      <c r="AS134" s="96">
        <f t="shared" si="153"/>
        <v>0</v>
      </c>
      <c r="AT134" s="96">
        <f t="shared" si="154"/>
        <v>0.20691825000000003</v>
      </c>
      <c r="AU134" s="95">
        <f>1333*J133*POWER(10,-6)</f>
        <v>5.0387400000000008E-6</v>
      </c>
      <c r="AV134" s="96">
        <f t="shared" si="155"/>
        <v>1.03459628874</v>
      </c>
      <c r="AW134" s="97">
        <f t="shared" si="156"/>
        <v>0</v>
      </c>
      <c r="AX134" s="97">
        <f t="shared" si="157"/>
        <v>0</v>
      </c>
      <c r="AY134" s="97">
        <f t="shared" si="158"/>
        <v>1.1204677807054202E-5</v>
      </c>
      <c r="AZ134" s="297">
        <f>AW134/DB!$B$23</f>
        <v>0</v>
      </c>
      <c r="BA134" s="297">
        <f>AX134/DB!$B$23</f>
        <v>0</v>
      </c>
    </row>
    <row r="135" spans="1:53" s="92" customFormat="1" x14ac:dyDescent="0.3">
      <c r="A135" s="82" t="s">
        <v>825</v>
      </c>
      <c r="B135" s="82" t="str">
        <f>B132</f>
        <v>Насосное оборудование УПН,бактерицид</v>
      </c>
      <c r="C135" s="84" t="s">
        <v>177</v>
      </c>
      <c r="D135" s="85" t="s">
        <v>47</v>
      </c>
      <c r="E135" s="98">
        <f>E133</f>
        <v>1.0000000000000001E-5</v>
      </c>
      <c r="F135" s="99">
        <f>F132</f>
        <v>4</v>
      </c>
      <c r="G135" s="82">
        <v>3.4999999999999996E-2</v>
      </c>
      <c r="H135" s="87">
        <f t="shared" si="148"/>
        <v>1.3999999999999999E-6</v>
      </c>
      <c r="I135" s="100">
        <f>0.15*I132</f>
        <v>0.13500000000000001</v>
      </c>
      <c r="J135" s="100">
        <f>I135</f>
        <v>0.13500000000000001</v>
      </c>
      <c r="K135" s="103" t="s">
        <v>126</v>
      </c>
      <c r="L135" s="104">
        <v>45390</v>
      </c>
      <c r="M135" s="92" t="str">
        <f t="shared" si="149"/>
        <v>C98</v>
      </c>
      <c r="N135" s="92" t="str">
        <f t="shared" si="150"/>
        <v>Насосное оборудование УПН,бактерицид</v>
      </c>
      <c r="O135" s="92" t="str">
        <f t="shared" si="151"/>
        <v>Частичное-пожар</v>
      </c>
      <c r="P135" s="92">
        <v>5.2</v>
      </c>
      <c r="Q135" s="92">
        <v>7.5</v>
      </c>
      <c r="R135" s="92">
        <v>11.1</v>
      </c>
      <c r="S135" s="92">
        <v>21.3</v>
      </c>
      <c r="T135" s="92" t="s">
        <v>46</v>
      </c>
      <c r="U135" s="92" t="s">
        <v>46</v>
      </c>
      <c r="V135" s="92" t="s">
        <v>46</v>
      </c>
      <c r="W135" s="92" t="s">
        <v>46</v>
      </c>
      <c r="X135" s="92" t="s">
        <v>46</v>
      </c>
      <c r="Y135" s="92" t="s">
        <v>46</v>
      </c>
      <c r="Z135" s="92" t="s">
        <v>46</v>
      </c>
      <c r="AA135" s="92" t="s">
        <v>46</v>
      </c>
      <c r="AB135" s="92" t="s">
        <v>46</v>
      </c>
      <c r="AC135" s="92" t="s">
        <v>46</v>
      </c>
      <c r="AD135" s="92" t="s">
        <v>46</v>
      </c>
      <c r="AE135" s="92" t="s">
        <v>46</v>
      </c>
      <c r="AF135" s="92" t="s">
        <v>46</v>
      </c>
      <c r="AG135" s="92" t="s">
        <v>46</v>
      </c>
      <c r="AH135" s="92" t="s">
        <v>46</v>
      </c>
      <c r="AI135" s="92" t="s">
        <v>46</v>
      </c>
      <c r="AJ135" s="92">
        <v>0</v>
      </c>
      <c r="AK135" s="92">
        <v>1</v>
      </c>
      <c r="AL135" s="92">
        <f>0.1*$AL$2</f>
        <v>7.5000000000000011E-2</v>
      </c>
      <c r="AM135" s="92">
        <f>AM132</f>
        <v>2.7E-2</v>
      </c>
      <c r="AN135" s="92">
        <f>ROUNDUP(AN132/3,0)</f>
        <v>1</v>
      </c>
      <c r="AQ135" s="95">
        <f>AM135*I135+AL135</f>
        <v>7.8645000000000007E-2</v>
      </c>
      <c r="AR135" s="95">
        <f t="shared" si="152"/>
        <v>7.8645000000000017E-3</v>
      </c>
      <c r="AS135" s="96">
        <f t="shared" si="153"/>
        <v>0.25</v>
      </c>
      <c r="AT135" s="96">
        <f t="shared" si="154"/>
        <v>8.4127375000000004E-2</v>
      </c>
      <c r="AU135" s="95">
        <f>10068.2*J135*POWER(10,-6)</f>
        <v>1.3592070000000001E-3</v>
      </c>
      <c r="AV135" s="96">
        <f t="shared" si="155"/>
        <v>0.42199608200000005</v>
      </c>
      <c r="AW135" s="97">
        <f t="shared" si="156"/>
        <v>0</v>
      </c>
      <c r="AX135" s="97">
        <f t="shared" si="157"/>
        <v>1.3999999999999999E-6</v>
      </c>
      <c r="AY135" s="97">
        <f t="shared" si="158"/>
        <v>5.9079451480000009E-7</v>
      </c>
      <c r="AZ135" s="297">
        <f>AW135/DB!$B$23</f>
        <v>0</v>
      </c>
      <c r="BA135" s="297">
        <f>AX135/DB!$B$23</f>
        <v>1.6867469879518071E-9</v>
      </c>
    </row>
    <row r="136" spans="1:53" s="92" customFormat="1" x14ac:dyDescent="0.3">
      <c r="A136" s="82" t="s">
        <v>826</v>
      </c>
      <c r="B136" s="82" t="str">
        <f>B132</f>
        <v>Насосное оборудование УПН,бактерицид</v>
      </c>
      <c r="C136" s="84" t="s">
        <v>423</v>
      </c>
      <c r="D136" s="85" t="s">
        <v>422</v>
      </c>
      <c r="E136" s="98">
        <f>E134</f>
        <v>1.0000000000000001E-5</v>
      </c>
      <c r="F136" s="99">
        <f>F132</f>
        <v>4</v>
      </c>
      <c r="G136" s="82">
        <v>3.3249999999999995E-2</v>
      </c>
      <c r="H136" s="87">
        <f t="shared" si="148"/>
        <v>1.33E-6</v>
      </c>
      <c r="I136" s="100">
        <f>0.15*I132</f>
        <v>0.13500000000000001</v>
      </c>
      <c r="J136" s="100">
        <v>0.01</v>
      </c>
      <c r="K136" s="103" t="s">
        <v>127</v>
      </c>
      <c r="L136" s="104">
        <v>3</v>
      </c>
      <c r="M136" s="92" t="str">
        <f t="shared" si="149"/>
        <v>C99</v>
      </c>
      <c r="N136" s="92" t="str">
        <f t="shared" si="150"/>
        <v>Насосное оборудование УПН,бактерицид</v>
      </c>
      <c r="O136" s="92" t="str">
        <f t="shared" si="151"/>
        <v>Частичное-вспышка</v>
      </c>
      <c r="P136" s="92" t="s">
        <v>46</v>
      </c>
      <c r="Q136" s="92" t="s">
        <v>46</v>
      </c>
      <c r="R136" s="92" t="s">
        <v>46</v>
      </c>
      <c r="S136" s="92" t="s">
        <v>46</v>
      </c>
      <c r="T136" s="92" t="s">
        <v>46</v>
      </c>
      <c r="U136" s="92" t="s">
        <v>46</v>
      </c>
      <c r="V136" s="92" t="s">
        <v>46</v>
      </c>
      <c r="W136" s="92" t="s">
        <v>46</v>
      </c>
      <c r="X136" s="92" t="s">
        <v>46</v>
      </c>
      <c r="Y136" s="92" t="s">
        <v>46</v>
      </c>
      <c r="Z136" s="92" t="s">
        <v>46</v>
      </c>
      <c r="AA136" s="92">
        <v>7.33</v>
      </c>
      <c r="AB136" s="92">
        <v>8.8000000000000007</v>
      </c>
      <c r="AC136" s="92" t="s">
        <v>46</v>
      </c>
      <c r="AD136" s="92" t="s">
        <v>46</v>
      </c>
      <c r="AE136" s="92" t="s">
        <v>46</v>
      </c>
      <c r="AF136" s="92" t="s">
        <v>46</v>
      </c>
      <c r="AG136" s="92" t="s">
        <v>46</v>
      </c>
      <c r="AH136" s="92" t="s">
        <v>46</v>
      </c>
      <c r="AI136" s="92" t="s">
        <v>46</v>
      </c>
      <c r="AJ136" s="92">
        <v>0</v>
      </c>
      <c r="AK136" s="92">
        <v>1</v>
      </c>
      <c r="AL136" s="92">
        <f>0.1*$AL$2</f>
        <v>7.5000000000000011E-2</v>
      </c>
      <c r="AM136" s="92">
        <f>AM132</f>
        <v>2.7E-2</v>
      </c>
      <c r="AN136" s="92">
        <f>ROUNDUP(AN132/3,0)</f>
        <v>1</v>
      </c>
      <c r="AQ136" s="95">
        <f>AM136*I136+AL136</f>
        <v>7.8645000000000007E-2</v>
      </c>
      <c r="AR136" s="95">
        <f t="shared" si="152"/>
        <v>7.8645000000000017E-3</v>
      </c>
      <c r="AS136" s="96">
        <f t="shared" si="153"/>
        <v>0.25</v>
      </c>
      <c r="AT136" s="96">
        <f t="shared" si="154"/>
        <v>8.4127375000000004E-2</v>
      </c>
      <c r="AU136" s="95">
        <f>10068.2*J136*POWER(10,-6)*10</f>
        <v>1.0068200000000001E-3</v>
      </c>
      <c r="AV136" s="96">
        <f t="shared" si="155"/>
        <v>0.42164369500000004</v>
      </c>
      <c r="AW136" s="97">
        <f t="shared" si="156"/>
        <v>0</v>
      </c>
      <c r="AX136" s="97">
        <f t="shared" si="157"/>
        <v>1.33E-6</v>
      </c>
      <c r="AY136" s="97">
        <f t="shared" si="158"/>
        <v>5.6078611435000007E-7</v>
      </c>
      <c r="AZ136" s="297">
        <f>AW136/DB!$B$23</f>
        <v>0</v>
      </c>
      <c r="BA136" s="297">
        <f>AX136/DB!$B$23</f>
        <v>1.6024096385542168E-9</v>
      </c>
    </row>
    <row r="137" spans="1:53" s="92" customFormat="1" ht="15" thickBot="1" x14ac:dyDescent="0.35">
      <c r="A137" s="82" t="s">
        <v>827</v>
      </c>
      <c r="B137" s="82" t="str">
        <f>B132</f>
        <v>Насосное оборудование УПН,бактерицид</v>
      </c>
      <c r="C137" s="84" t="s">
        <v>178</v>
      </c>
      <c r="D137" s="85" t="s">
        <v>27</v>
      </c>
      <c r="E137" s="98">
        <f>E135</f>
        <v>1.0000000000000001E-5</v>
      </c>
      <c r="F137" s="99">
        <f>F132</f>
        <v>4</v>
      </c>
      <c r="G137" s="82">
        <v>0.63174999999999992</v>
      </c>
      <c r="H137" s="87">
        <f t="shared" si="148"/>
        <v>2.527E-5</v>
      </c>
      <c r="I137" s="100">
        <f>0.15*I132</f>
        <v>0.13500000000000001</v>
      </c>
      <c r="J137" s="82">
        <v>0</v>
      </c>
      <c r="K137" s="105" t="s">
        <v>138</v>
      </c>
      <c r="L137" s="105">
        <v>16</v>
      </c>
      <c r="M137" s="92" t="str">
        <f t="shared" si="149"/>
        <v>C100</v>
      </c>
      <c r="N137" s="92" t="str">
        <f t="shared" si="150"/>
        <v>Насосное оборудование УПН,бактерицид</v>
      </c>
      <c r="O137" s="92" t="str">
        <f t="shared" si="151"/>
        <v>Частичное-ликвидация</v>
      </c>
      <c r="P137" s="92" t="s">
        <v>46</v>
      </c>
      <c r="Q137" s="92" t="s">
        <v>46</v>
      </c>
      <c r="R137" s="92" t="s">
        <v>46</v>
      </c>
      <c r="S137" s="92" t="s">
        <v>46</v>
      </c>
      <c r="T137" s="92" t="s">
        <v>46</v>
      </c>
      <c r="U137" s="92" t="s">
        <v>46</v>
      </c>
      <c r="V137" s="92" t="s">
        <v>46</v>
      </c>
      <c r="W137" s="92" t="s">
        <v>46</v>
      </c>
      <c r="X137" s="92" t="s">
        <v>46</v>
      </c>
      <c r="Y137" s="92" t="s">
        <v>46</v>
      </c>
      <c r="Z137" s="92" t="s">
        <v>46</v>
      </c>
      <c r="AA137" s="92" t="s">
        <v>46</v>
      </c>
      <c r="AB137" s="92" t="s">
        <v>46</v>
      </c>
      <c r="AC137" s="92" t="s">
        <v>46</v>
      </c>
      <c r="AD137" s="92" t="s">
        <v>46</v>
      </c>
      <c r="AE137" s="92" t="s">
        <v>46</v>
      </c>
      <c r="AF137" s="92" t="s">
        <v>46</v>
      </c>
      <c r="AG137" s="92" t="s">
        <v>46</v>
      </c>
      <c r="AH137" s="92" t="s">
        <v>46</v>
      </c>
      <c r="AI137" s="92" t="s">
        <v>46</v>
      </c>
      <c r="AJ137" s="92">
        <v>0</v>
      </c>
      <c r="AK137" s="92">
        <v>0</v>
      </c>
      <c r="AL137" s="92">
        <f>0.1*$AL$2</f>
        <v>7.5000000000000011E-2</v>
      </c>
      <c r="AM137" s="92">
        <f>AM132</f>
        <v>2.7E-2</v>
      </c>
      <c r="AN137" s="92">
        <f>ROUNDUP(AN132/3,0)</f>
        <v>1</v>
      </c>
      <c r="AQ137" s="95">
        <f>AM137*I137*0.1+AL137</f>
        <v>7.5364500000000015E-2</v>
      </c>
      <c r="AR137" s="95">
        <f t="shared" si="152"/>
        <v>7.5364500000000018E-3</v>
      </c>
      <c r="AS137" s="96">
        <f t="shared" si="153"/>
        <v>0</v>
      </c>
      <c r="AT137" s="96">
        <f t="shared" si="154"/>
        <v>2.0725237500000004E-2</v>
      </c>
      <c r="AU137" s="95">
        <f>1333*J136*POWER(10,-6)</f>
        <v>1.3329999999999999E-5</v>
      </c>
      <c r="AV137" s="96">
        <f t="shared" si="155"/>
        <v>0.10363951750000003</v>
      </c>
      <c r="AW137" s="97">
        <f t="shared" si="156"/>
        <v>0</v>
      </c>
      <c r="AX137" s="97">
        <f t="shared" si="157"/>
        <v>0</v>
      </c>
      <c r="AY137" s="97">
        <f t="shared" si="158"/>
        <v>2.6189706072250008E-6</v>
      </c>
      <c r="AZ137" s="297">
        <f>AW137/DB!$B$23</f>
        <v>0</v>
      </c>
      <c r="BA137" s="297">
        <f>AX137/DB!$B$23</f>
        <v>0</v>
      </c>
    </row>
    <row r="138" spans="1:53" s="92" customFormat="1" x14ac:dyDescent="0.3">
      <c r="A138" s="93"/>
      <c r="B138" s="93"/>
      <c r="D138" s="184"/>
      <c r="E138" s="185"/>
      <c r="F138" s="186"/>
      <c r="G138" s="93"/>
      <c r="H138" s="97"/>
      <c r="I138" s="96"/>
      <c r="J138" s="93"/>
      <c r="K138" s="296" t="s">
        <v>468</v>
      </c>
      <c r="L138" s="295" t="s">
        <v>709</v>
      </c>
      <c r="AQ138" s="95"/>
      <c r="AR138" s="95"/>
      <c r="AS138" s="96"/>
      <c r="AT138" s="96"/>
      <c r="AU138" s="95"/>
      <c r="AV138" s="96"/>
      <c r="AW138" s="97"/>
      <c r="AX138" s="97"/>
      <c r="AY138" s="97"/>
    </row>
    <row r="139" spans="1:53" s="92" customFormat="1" x14ac:dyDescent="0.3">
      <c r="A139" s="93"/>
      <c r="B139" s="93"/>
      <c r="D139" s="184"/>
      <c r="E139" s="185"/>
      <c r="F139" s="186"/>
      <c r="G139" s="93"/>
      <c r="H139" s="97"/>
      <c r="I139" s="96"/>
      <c r="J139" s="93"/>
      <c r="K139" s="93"/>
      <c r="L139" s="93"/>
      <c r="AQ139" s="95"/>
      <c r="AR139" s="95"/>
      <c r="AS139" s="96"/>
      <c r="AT139" s="96"/>
      <c r="AU139" s="95"/>
      <c r="AV139" s="96"/>
      <c r="AW139" s="97"/>
      <c r="AX139" s="97"/>
      <c r="AY139" s="97"/>
    </row>
    <row r="140" spans="1:53" s="92" customFormat="1" x14ac:dyDescent="0.3">
      <c r="A140" s="93"/>
      <c r="B140" s="93"/>
      <c r="D140" s="184"/>
      <c r="E140" s="185"/>
      <c r="F140" s="186"/>
      <c r="G140" s="93"/>
      <c r="H140" s="97"/>
      <c r="I140" s="96"/>
      <c r="J140" s="93"/>
      <c r="K140" s="93"/>
      <c r="L140" s="93"/>
      <c r="AQ140" s="95"/>
      <c r="AR140" s="95"/>
      <c r="AS140" s="96"/>
      <c r="AT140" s="96"/>
      <c r="AU140" s="95"/>
      <c r="AV140" s="96"/>
      <c r="AW140" s="97"/>
      <c r="AX140" s="97"/>
      <c r="AY140" s="97"/>
    </row>
    <row r="141" spans="1:53" ht="15" thickBot="1" x14ac:dyDescent="0.35"/>
    <row r="142" spans="1:53" ht="15" thickBot="1" x14ac:dyDescent="0.35">
      <c r="A142" s="8" t="s">
        <v>828</v>
      </c>
      <c r="B142" s="63" t="s">
        <v>723</v>
      </c>
      <c r="C142" s="79" t="s">
        <v>106</v>
      </c>
      <c r="D142" s="9" t="s">
        <v>25</v>
      </c>
      <c r="E142" s="66">
        <v>2.9999999999999999E-7</v>
      </c>
      <c r="F142" s="63">
        <v>563</v>
      </c>
      <c r="G142" s="8">
        <v>0.2</v>
      </c>
      <c r="H142" s="10">
        <f t="shared" ref="H142:H147" si="159">E142*F142*G142</f>
        <v>3.3779999999999998E-5</v>
      </c>
      <c r="I142" s="64">
        <v>4</v>
      </c>
      <c r="J142" s="69">
        <f>I142</f>
        <v>4</v>
      </c>
      <c r="K142" s="72" t="s">
        <v>122</v>
      </c>
      <c r="L142" s="77">
        <f>I142*20</f>
        <v>80</v>
      </c>
      <c r="M142" s="31" t="str">
        <f t="shared" ref="M142:N147" si="160">A142</f>
        <v>C101</v>
      </c>
      <c r="N142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2" s="31" t="str">
        <f t="shared" ref="O142:O147" si="161">D142</f>
        <v>Полное-пожар</v>
      </c>
      <c r="P142" s="31">
        <v>7.3</v>
      </c>
      <c r="Q142" s="31">
        <v>10.3</v>
      </c>
      <c r="R142" s="31">
        <v>15.4</v>
      </c>
      <c r="S142" s="31">
        <v>30.4</v>
      </c>
      <c r="T142" s="31" t="s">
        <v>46</v>
      </c>
      <c r="U142" s="31" t="s">
        <v>46</v>
      </c>
      <c r="V142" s="31" t="s">
        <v>46</v>
      </c>
      <c r="W142" s="31" t="s">
        <v>46</v>
      </c>
      <c r="X142" s="31" t="s">
        <v>46</v>
      </c>
      <c r="Y142" s="31" t="s">
        <v>46</v>
      </c>
      <c r="Z142" s="31" t="s">
        <v>46</v>
      </c>
      <c r="AA142" s="31" t="s">
        <v>46</v>
      </c>
      <c r="AB142" s="31" t="s">
        <v>46</v>
      </c>
      <c r="AC142" s="31" t="s">
        <v>46</v>
      </c>
      <c r="AD142" s="31" t="s">
        <v>46</v>
      </c>
      <c r="AE142" s="31" t="s">
        <v>46</v>
      </c>
      <c r="AF142" s="31" t="s">
        <v>46</v>
      </c>
      <c r="AG142" s="31" t="s">
        <v>46</v>
      </c>
      <c r="AH142" s="31" t="s">
        <v>46</v>
      </c>
      <c r="AI142" s="31" t="s">
        <v>46</v>
      </c>
      <c r="AJ142" s="12">
        <v>0</v>
      </c>
      <c r="AK142" s="12">
        <v>1</v>
      </c>
      <c r="AL142" s="65">
        <v>0.75</v>
      </c>
      <c r="AM142" s="65">
        <v>2.7E-2</v>
      </c>
      <c r="AN142" s="65">
        <v>3</v>
      </c>
      <c r="AO142" s="31"/>
      <c r="AP142" s="31"/>
      <c r="AQ142" s="32">
        <f>AM142*I142+AL142</f>
        <v>0.85799999999999998</v>
      </c>
      <c r="AR142" s="32">
        <f t="shared" ref="AR142:AR147" si="162">0.1*AQ142</f>
        <v>8.5800000000000001E-2</v>
      </c>
      <c r="AS142" s="33">
        <f t="shared" ref="AS142:AS147" si="163">AJ142*3+0.25*AK142</f>
        <v>0.25</v>
      </c>
      <c r="AT142" s="33">
        <f t="shared" ref="AT142:AT147" si="164">SUM(AQ142:AS142)/4</f>
        <v>0.29844999999999999</v>
      </c>
      <c r="AU142" s="32">
        <f>10068.2*J142*POWER(10,-6)</f>
        <v>4.0272800000000004E-2</v>
      </c>
      <c r="AV142" s="33">
        <f t="shared" ref="AV142:AV147" si="165">AU142+AT142+AS142+AR142+AQ142</f>
        <v>1.5325228</v>
      </c>
      <c r="AW142" s="34">
        <f t="shared" ref="AW142:AW147" si="166">AJ142*H142</f>
        <v>0</v>
      </c>
      <c r="AX142" s="34">
        <f t="shared" ref="AX142:AX147" si="167">H142*AK142</f>
        <v>3.3779999999999998E-5</v>
      </c>
      <c r="AY142" s="34">
        <f t="shared" ref="AY142:AY147" si="168">H142*AV142</f>
        <v>5.1768620183999997E-5</v>
      </c>
      <c r="AZ142" s="297">
        <f>AW142/DB!$B$23</f>
        <v>0</v>
      </c>
      <c r="BA142" s="297">
        <f>AX142/DB!$B$23</f>
        <v>4.0698795180722887E-8</v>
      </c>
    </row>
    <row r="143" spans="1:53" ht="15" thickBot="1" x14ac:dyDescent="0.35">
      <c r="A143" s="8" t="s">
        <v>829</v>
      </c>
      <c r="B143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3" s="79" t="s">
        <v>107</v>
      </c>
      <c r="D143" s="9" t="s">
        <v>28</v>
      </c>
      <c r="E143" s="67">
        <f>E142</f>
        <v>2.9999999999999999E-7</v>
      </c>
      <c r="F143" s="68">
        <f>F142</f>
        <v>563</v>
      </c>
      <c r="G143" s="8">
        <v>0.04</v>
      </c>
      <c r="H143" s="10">
        <f t="shared" si="159"/>
        <v>6.7559999999999994E-6</v>
      </c>
      <c r="I143" s="62">
        <f>I142</f>
        <v>4</v>
      </c>
      <c r="J143" s="277">
        <f>POWER(10,-6)*35*SQRT(100)*3600*L142/1000*0.1</f>
        <v>1.0079999999999999E-2</v>
      </c>
      <c r="K143" s="72" t="s">
        <v>123</v>
      </c>
      <c r="L143" s="77">
        <v>0</v>
      </c>
      <c r="M143" s="31" t="str">
        <f t="shared" si="160"/>
        <v>C102</v>
      </c>
      <c r="N143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3" s="31" t="str">
        <f t="shared" si="161"/>
        <v>Полное-взрыв</v>
      </c>
      <c r="P143" s="31" t="s">
        <v>46</v>
      </c>
      <c r="Q143" s="31" t="s">
        <v>46</v>
      </c>
      <c r="R143" s="31" t="s">
        <v>46</v>
      </c>
      <c r="S143" s="31" t="s">
        <v>46</v>
      </c>
      <c r="T143" s="31">
        <v>0</v>
      </c>
      <c r="U143" s="31">
        <v>0</v>
      </c>
      <c r="V143" s="31">
        <v>16.600000000000001</v>
      </c>
      <c r="W143" s="31">
        <v>54.6</v>
      </c>
      <c r="X143" s="31">
        <v>79.599999999999994</v>
      </c>
      <c r="Y143" s="31" t="s">
        <v>46</v>
      </c>
      <c r="Z143" s="31" t="s">
        <v>46</v>
      </c>
      <c r="AA143" s="31" t="s">
        <v>46</v>
      </c>
      <c r="AB143" s="31" t="s">
        <v>46</v>
      </c>
      <c r="AC143" s="31" t="s">
        <v>46</v>
      </c>
      <c r="AD143" s="31" t="s">
        <v>46</v>
      </c>
      <c r="AE143" s="31" t="s">
        <v>46</v>
      </c>
      <c r="AF143" s="31" t="s">
        <v>46</v>
      </c>
      <c r="AG143" s="31" t="s">
        <v>46</v>
      </c>
      <c r="AH143" s="31" t="s">
        <v>46</v>
      </c>
      <c r="AI143" s="31" t="s">
        <v>46</v>
      </c>
      <c r="AJ143" s="12">
        <v>0</v>
      </c>
      <c r="AK143" s="12">
        <v>1</v>
      </c>
      <c r="AL143" s="31">
        <f>AL142</f>
        <v>0.75</v>
      </c>
      <c r="AM143" s="31">
        <f>AM142</f>
        <v>2.7E-2</v>
      </c>
      <c r="AN143" s="31">
        <f>AN142</f>
        <v>3</v>
      </c>
      <c r="AO143" s="31"/>
      <c r="AP143" s="31"/>
      <c r="AQ143" s="32">
        <f>AM143*I143+AL143</f>
        <v>0.85799999999999998</v>
      </c>
      <c r="AR143" s="32">
        <f t="shared" si="162"/>
        <v>8.5800000000000001E-2</v>
      </c>
      <c r="AS143" s="33">
        <f t="shared" si="163"/>
        <v>0.25</v>
      </c>
      <c r="AT143" s="33">
        <f t="shared" si="164"/>
        <v>0.29844999999999999</v>
      </c>
      <c r="AU143" s="32">
        <f>10068.2*J143*POWER(10,-6)*10</f>
        <v>1.01487456E-3</v>
      </c>
      <c r="AV143" s="33">
        <f t="shared" si="165"/>
        <v>1.4932648745599999</v>
      </c>
      <c r="AW143" s="34">
        <f t="shared" si="166"/>
        <v>0</v>
      </c>
      <c r="AX143" s="34">
        <f t="shared" si="167"/>
        <v>6.7559999999999994E-6</v>
      </c>
      <c r="AY143" s="34">
        <f t="shared" si="168"/>
        <v>1.0088497492527358E-5</v>
      </c>
      <c r="AZ143" s="297">
        <f>AW143/DB!$B$23</f>
        <v>0</v>
      </c>
      <c r="BA143" s="297">
        <f>AX143/DB!$B$23</f>
        <v>8.139759036144578E-9</v>
      </c>
    </row>
    <row r="144" spans="1:53" x14ac:dyDescent="0.3">
      <c r="A144" s="8" t="s">
        <v>830</v>
      </c>
      <c r="B144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4" s="79" t="s">
        <v>108</v>
      </c>
      <c r="D144" s="9" t="s">
        <v>26</v>
      </c>
      <c r="E144" s="67">
        <f>E142</f>
        <v>2.9999999999999999E-7</v>
      </c>
      <c r="F144" s="68">
        <f>F142</f>
        <v>563</v>
      </c>
      <c r="G144" s="8">
        <v>0.76</v>
      </c>
      <c r="H144" s="10">
        <f t="shared" si="159"/>
        <v>1.2836399999999998E-4</v>
      </c>
      <c r="I144" s="62">
        <f>I142</f>
        <v>4</v>
      </c>
      <c r="J144" s="71">
        <v>0</v>
      </c>
      <c r="K144" s="72" t="s">
        <v>124</v>
      </c>
      <c r="L144" s="77">
        <v>0</v>
      </c>
      <c r="M144" s="31" t="str">
        <f t="shared" si="160"/>
        <v>C103</v>
      </c>
      <c r="N144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4" s="31" t="str">
        <f t="shared" si="161"/>
        <v>Полное-ликвидация</v>
      </c>
      <c r="P144" s="31" t="s">
        <v>46</v>
      </c>
      <c r="Q144" s="31" t="s">
        <v>46</v>
      </c>
      <c r="R144" s="31" t="s">
        <v>46</v>
      </c>
      <c r="S144" s="31" t="s">
        <v>46</v>
      </c>
      <c r="T144" s="31" t="s">
        <v>46</v>
      </c>
      <c r="U144" s="31" t="s">
        <v>46</v>
      </c>
      <c r="V144" s="31" t="s">
        <v>46</v>
      </c>
      <c r="W144" s="31" t="s">
        <v>46</v>
      </c>
      <c r="X144" s="31" t="s">
        <v>46</v>
      </c>
      <c r="Y144" s="31" t="s">
        <v>46</v>
      </c>
      <c r="Z144" s="31" t="s">
        <v>46</v>
      </c>
      <c r="AA144" s="31" t="s">
        <v>46</v>
      </c>
      <c r="AB144" s="31" t="s">
        <v>46</v>
      </c>
      <c r="AC144" s="31" t="s">
        <v>46</v>
      </c>
      <c r="AD144" s="31" t="s">
        <v>46</v>
      </c>
      <c r="AE144" s="31" t="s">
        <v>46</v>
      </c>
      <c r="AF144" s="31" t="s">
        <v>46</v>
      </c>
      <c r="AG144" s="31" t="s">
        <v>46</v>
      </c>
      <c r="AH144" s="31" t="s">
        <v>46</v>
      </c>
      <c r="AI144" s="31" t="s">
        <v>46</v>
      </c>
      <c r="AJ144" s="31">
        <v>0</v>
      </c>
      <c r="AK144" s="31">
        <v>0</v>
      </c>
      <c r="AL144" s="31">
        <f>AL142</f>
        <v>0.75</v>
      </c>
      <c r="AM144" s="31">
        <f>AM142</f>
        <v>2.7E-2</v>
      </c>
      <c r="AN144" s="31">
        <f>AN142</f>
        <v>3</v>
      </c>
      <c r="AO144" s="31"/>
      <c r="AP144" s="31"/>
      <c r="AQ144" s="32">
        <f>AM144*I144*0.1+AL144</f>
        <v>0.76080000000000003</v>
      </c>
      <c r="AR144" s="32">
        <f t="shared" si="162"/>
        <v>7.6080000000000009E-2</v>
      </c>
      <c r="AS144" s="33">
        <f t="shared" si="163"/>
        <v>0</v>
      </c>
      <c r="AT144" s="33">
        <f t="shared" si="164"/>
        <v>0.20922000000000002</v>
      </c>
      <c r="AU144" s="32">
        <f>1333*J143*POWER(10,-6)</f>
        <v>1.3436639999999999E-5</v>
      </c>
      <c r="AV144" s="33">
        <f t="shared" si="165"/>
        <v>1.04611343664</v>
      </c>
      <c r="AW144" s="34">
        <f t="shared" si="166"/>
        <v>0</v>
      </c>
      <c r="AX144" s="34">
        <f t="shared" si="167"/>
        <v>0</v>
      </c>
      <c r="AY144" s="34">
        <f t="shared" si="168"/>
        <v>1.3428330518085695E-4</v>
      </c>
      <c r="AZ144" s="297">
        <f>AW144/DB!$B$23</f>
        <v>0</v>
      </c>
      <c r="BA144" s="297">
        <f>AX144/DB!$B$23</f>
        <v>0</v>
      </c>
    </row>
    <row r="145" spans="1:53" x14ac:dyDescent="0.3">
      <c r="A145" s="8" t="s">
        <v>831</v>
      </c>
      <c r="B145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5" s="79" t="s">
        <v>109</v>
      </c>
      <c r="D145" s="9" t="s">
        <v>47</v>
      </c>
      <c r="E145" s="66">
        <v>1.9999999999999999E-6</v>
      </c>
      <c r="F145" s="68">
        <f>F142</f>
        <v>563</v>
      </c>
      <c r="G145" s="8">
        <v>0.2</v>
      </c>
      <c r="H145" s="10">
        <f t="shared" si="159"/>
        <v>2.2520000000000003E-4</v>
      </c>
      <c r="I145" s="62">
        <f>0.15*I142</f>
        <v>0.6</v>
      </c>
      <c r="J145" s="69">
        <f>I145</f>
        <v>0.6</v>
      </c>
      <c r="K145" s="74" t="s">
        <v>126</v>
      </c>
      <c r="L145" s="78">
        <v>45390</v>
      </c>
      <c r="M145" s="31" t="str">
        <f t="shared" si="160"/>
        <v>C104</v>
      </c>
      <c r="N145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5" s="31" t="str">
        <f t="shared" si="161"/>
        <v>Частичное-пожар</v>
      </c>
      <c r="P145" s="31">
        <v>3.4</v>
      </c>
      <c r="Q145" s="31">
        <v>5</v>
      </c>
      <c r="R145" s="31">
        <v>7.5</v>
      </c>
      <c r="S145" s="31">
        <v>13.6</v>
      </c>
      <c r="T145" s="31" t="s">
        <v>46</v>
      </c>
      <c r="U145" s="31" t="s">
        <v>46</v>
      </c>
      <c r="V145" s="31" t="s">
        <v>46</v>
      </c>
      <c r="W145" s="31" t="s">
        <v>46</v>
      </c>
      <c r="X145" s="31" t="s">
        <v>46</v>
      </c>
      <c r="Y145" s="31" t="s">
        <v>46</v>
      </c>
      <c r="Z145" s="31" t="s">
        <v>46</v>
      </c>
      <c r="AA145" s="31" t="s">
        <v>46</v>
      </c>
      <c r="AB145" s="31" t="s">
        <v>46</v>
      </c>
      <c r="AC145" s="31" t="s">
        <v>46</v>
      </c>
      <c r="AD145" s="31" t="s">
        <v>46</v>
      </c>
      <c r="AE145" s="31" t="s">
        <v>46</v>
      </c>
      <c r="AF145" s="31" t="s">
        <v>46</v>
      </c>
      <c r="AG145" s="31" t="s">
        <v>46</v>
      </c>
      <c r="AH145" s="31" t="s">
        <v>46</v>
      </c>
      <c r="AI145" s="31" t="s">
        <v>46</v>
      </c>
      <c r="AJ145" s="31">
        <v>0</v>
      </c>
      <c r="AK145" s="31">
        <v>1</v>
      </c>
      <c r="AL145" s="31">
        <f>0.1*$AL$2</f>
        <v>7.5000000000000011E-2</v>
      </c>
      <c r="AM145" s="31">
        <f>AM142</f>
        <v>2.7E-2</v>
      </c>
      <c r="AN145" s="31">
        <f>ROUNDUP(AN142/3,0)</f>
        <v>1</v>
      </c>
      <c r="AO145" s="31"/>
      <c r="AP145" s="31"/>
      <c r="AQ145" s="32">
        <f>AM145*I145+AL145</f>
        <v>9.1200000000000003E-2</v>
      </c>
      <c r="AR145" s="32">
        <f t="shared" si="162"/>
        <v>9.1200000000000014E-3</v>
      </c>
      <c r="AS145" s="33">
        <f t="shared" si="163"/>
        <v>0.25</v>
      </c>
      <c r="AT145" s="33">
        <f t="shared" si="164"/>
        <v>8.7580000000000005E-2</v>
      </c>
      <c r="AU145" s="32">
        <f>10068.2*J145*POWER(10,-6)</f>
        <v>6.04092E-3</v>
      </c>
      <c r="AV145" s="33">
        <f t="shared" si="165"/>
        <v>0.44394092000000002</v>
      </c>
      <c r="AW145" s="34">
        <f t="shared" si="166"/>
        <v>0</v>
      </c>
      <c r="AX145" s="34">
        <f t="shared" si="167"/>
        <v>2.2520000000000003E-4</v>
      </c>
      <c r="AY145" s="34">
        <f t="shared" si="168"/>
        <v>9.997549518400001E-5</v>
      </c>
      <c r="AZ145" s="297">
        <f>AW145/DB!$B$23</f>
        <v>0</v>
      </c>
      <c r="BA145" s="297">
        <f>AX145/DB!$B$23</f>
        <v>2.7132530120481933E-7</v>
      </c>
    </row>
    <row r="146" spans="1:53" x14ac:dyDescent="0.3">
      <c r="A146" s="8" t="s">
        <v>832</v>
      </c>
      <c r="B146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6" s="79" t="s">
        <v>110</v>
      </c>
      <c r="D146" s="9" t="s">
        <v>112</v>
      </c>
      <c r="E146" s="67">
        <f>E145</f>
        <v>1.9999999999999999E-6</v>
      </c>
      <c r="F146" s="68">
        <f>F142</f>
        <v>563</v>
      </c>
      <c r="G146" s="8">
        <v>0.04</v>
      </c>
      <c r="H146" s="10">
        <f t="shared" si="159"/>
        <v>4.5040000000000002E-5</v>
      </c>
      <c r="I146" s="62">
        <f>0.15*I142</f>
        <v>0.6</v>
      </c>
      <c r="J146" s="69">
        <f>0.15*J143</f>
        <v>1.5119999999999997E-3</v>
      </c>
      <c r="K146" s="74" t="s">
        <v>127</v>
      </c>
      <c r="L146" s="78">
        <v>3</v>
      </c>
      <c r="M146" s="31" t="str">
        <f t="shared" si="160"/>
        <v>C105</v>
      </c>
      <c r="N146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6" s="31" t="str">
        <f t="shared" si="161"/>
        <v>Частичное-пожар-вспышка</v>
      </c>
      <c r="P146" s="31" t="s">
        <v>46</v>
      </c>
      <c r="Q146" s="31" t="s">
        <v>46</v>
      </c>
      <c r="R146" s="31" t="s">
        <v>46</v>
      </c>
      <c r="S146" s="31" t="s">
        <v>46</v>
      </c>
      <c r="T146" s="31" t="s">
        <v>46</v>
      </c>
      <c r="U146" s="31" t="s">
        <v>46</v>
      </c>
      <c r="V146" s="31" t="s">
        <v>46</v>
      </c>
      <c r="W146" s="31" t="s">
        <v>46</v>
      </c>
      <c r="X146" s="31" t="s">
        <v>46</v>
      </c>
      <c r="Y146" s="31" t="s">
        <v>46</v>
      </c>
      <c r="Z146" s="31" t="s">
        <v>46</v>
      </c>
      <c r="AA146" s="31">
        <v>3.93</v>
      </c>
      <c r="AB146" s="31">
        <v>4.72</v>
      </c>
      <c r="AC146" s="31" t="s">
        <v>46</v>
      </c>
      <c r="AD146" s="31" t="s">
        <v>46</v>
      </c>
      <c r="AE146" s="31" t="s">
        <v>46</v>
      </c>
      <c r="AF146" s="31" t="s">
        <v>46</v>
      </c>
      <c r="AG146" s="31" t="s">
        <v>46</v>
      </c>
      <c r="AH146" s="31" t="s">
        <v>46</v>
      </c>
      <c r="AI146" s="31" t="s">
        <v>46</v>
      </c>
      <c r="AJ146" s="31">
        <v>0</v>
      </c>
      <c r="AK146" s="31">
        <v>1</v>
      </c>
      <c r="AL146" s="31">
        <f>0.1*$AL$2</f>
        <v>7.5000000000000011E-2</v>
      </c>
      <c r="AM146" s="31">
        <f>AM142</f>
        <v>2.7E-2</v>
      </c>
      <c r="AN146" s="31">
        <f>ROUNDUP(AN142/3,0)</f>
        <v>1</v>
      </c>
      <c r="AO146" s="31"/>
      <c r="AP146" s="31"/>
      <c r="AQ146" s="32">
        <f>AM146*I146+AL146</f>
        <v>9.1200000000000003E-2</v>
      </c>
      <c r="AR146" s="32">
        <f t="shared" si="162"/>
        <v>9.1200000000000014E-3</v>
      </c>
      <c r="AS146" s="33">
        <f t="shared" si="163"/>
        <v>0.25</v>
      </c>
      <c r="AT146" s="33">
        <f t="shared" si="164"/>
        <v>8.7580000000000005E-2</v>
      </c>
      <c r="AU146" s="32">
        <f>10068.2*J146*POWER(10,-6)*10</f>
        <v>1.5223118399999996E-4</v>
      </c>
      <c r="AV146" s="33">
        <f t="shared" si="165"/>
        <v>0.438052231184</v>
      </c>
      <c r="AW146" s="34">
        <f t="shared" si="166"/>
        <v>0</v>
      </c>
      <c r="AX146" s="34">
        <f t="shared" si="167"/>
        <v>4.5040000000000002E-5</v>
      </c>
      <c r="AY146" s="34">
        <f t="shared" si="168"/>
        <v>1.9729872492527361E-5</v>
      </c>
      <c r="AZ146" s="297">
        <f>AW146/DB!$B$23</f>
        <v>0</v>
      </c>
      <c r="BA146" s="297">
        <f>AX146/DB!$B$23</f>
        <v>5.4265060240963856E-8</v>
      </c>
    </row>
    <row r="147" spans="1:53" x14ac:dyDescent="0.3">
      <c r="A147" s="170" t="s">
        <v>833</v>
      </c>
      <c r="B147" s="170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7" s="171" t="s">
        <v>111</v>
      </c>
      <c r="D147" s="172" t="s">
        <v>27</v>
      </c>
      <c r="E147" s="173">
        <f>E145</f>
        <v>1.9999999999999999E-6</v>
      </c>
      <c r="F147" s="174">
        <f>F142</f>
        <v>563</v>
      </c>
      <c r="G147" s="170">
        <v>0.76</v>
      </c>
      <c r="H147" s="175">
        <f t="shared" si="159"/>
        <v>8.5576000000000001E-4</v>
      </c>
      <c r="I147" s="176">
        <f>0.15*I142</f>
        <v>0.6</v>
      </c>
      <c r="J147" s="177">
        <v>0</v>
      </c>
      <c r="K147" s="178" t="s">
        <v>138</v>
      </c>
      <c r="L147" s="179">
        <v>1</v>
      </c>
      <c r="M147" s="31" t="str">
        <f t="shared" si="160"/>
        <v>C106</v>
      </c>
      <c r="N147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7" s="31" t="str">
        <f t="shared" si="161"/>
        <v>Частичное-ликвидация</v>
      </c>
      <c r="P147" s="31" t="s">
        <v>46</v>
      </c>
      <c r="Q147" s="31" t="s">
        <v>46</v>
      </c>
      <c r="R147" s="31" t="s">
        <v>46</v>
      </c>
      <c r="S147" s="31" t="s">
        <v>46</v>
      </c>
      <c r="T147" s="31" t="s">
        <v>46</v>
      </c>
      <c r="U147" s="31" t="s">
        <v>46</v>
      </c>
      <c r="V147" s="31" t="s">
        <v>46</v>
      </c>
      <c r="W147" s="31" t="s">
        <v>46</v>
      </c>
      <c r="X147" s="31" t="s">
        <v>46</v>
      </c>
      <c r="Y147" s="31" t="s">
        <v>46</v>
      </c>
      <c r="Z147" s="31" t="s">
        <v>46</v>
      </c>
      <c r="AA147" s="31" t="s">
        <v>46</v>
      </c>
      <c r="AB147" s="31" t="s">
        <v>46</v>
      </c>
      <c r="AC147" s="31" t="s">
        <v>46</v>
      </c>
      <c r="AD147" s="31" t="s">
        <v>46</v>
      </c>
      <c r="AE147" s="31" t="s">
        <v>46</v>
      </c>
      <c r="AF147" s="31" t="s">
        <v>46</v>
      </c>
      <c r="AG147" s="31" t="s">
        <v>46</v>
      </c>
      <c r="AH147" s="31" t="s">
        <v>46</v>
      </c>
      <c r="AI147" s="31" t="s">
        <v>46</v>
      </c>
      <c r="AJ147" s="31">
        <v>0</v>
      </c>
      <c r="AK147" s="31">
        <v>0</v>
      </c>
      <c r="AL147" s="31">
        <f>0.1*$AL$2</f>
        <v>7.5000000000000011E-2</v>
      </c>
      <c r="AM147" s="31">
        <f>AM142</f>
        <v>2.7E-2</v>
      </c>
      <c r="AN147" s="31">
        <f>ROUNDUP(AN142/3,0)</f>
        <v>1</v>
      </c>
      <c r="AO147" s="31"/>
      <c r="AP147" s="31"/>
      <c r="AQ147" s="32">
        <f>AM147*I147*0.1+AL147</f>
        <v>7.6620000000000008E-2</v>
      </c>
      <c r="AR147" s="32">
        <f t="shared" si="162"/>
        <v>7.6620000000000013E-3</v>
      </c>
      <c r="AS147" s="33">
        <f t="shared" si="163"/>
        <v>0</v>
      </c>
      <c r="AT147" s="33">
        <f t="shared" si="164"/>
        <v>2.1070500000000002E-2</v>
      </c>
      <c r="AU147" s="32">
        <f>1333*J146*POWER(10,-6)</f>
        <v>2.0154959999999995E-6</v>
      </c>
      <c r="AV147" s="33">
        <f t="shared" si="165"/>
        <v>0.10535451549600001</v>
      </c>
      <c r="AW147" s="34">
        <f t="shared" si="166"/>
        <v>0</v>
      </c>
      <c r="AX147" s="34">
        <f t="shared" si="167"/>
        <v>0</v>
      </c>
      <c r="AY147" s="34">
        <f t="shared" si="168"/>
        <v>9.0158180180856969E-5</v>
      </c>
      <c r="AZ147" s="297">
        <f>AW147/DB!$B$23</f>
        <v>0</v>
      </c>
      <c r="BA147" s="297">
        <f>AX147/DB!$B$23</f>
        <v>0</v>
      </c>
    </row>
    <row r="148" spans="1:53" s="180" customForma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296" t="s">
        <v>468</v>
      </c>
      <c r="L148" s="295" t="s">
        <v>709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spans="1:53" s="180" customForma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spans="1:53" s="180" customForma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spans="1:53" ht="15" thickBot="1" x14ac:dyDescent="0.35"/>
    <row r="152" spans="1:53" ht="15" thickBot="1" x14ac:dyDescent="0.35">
      <c r="A152" s="8" t="s">
        <v>834</v>
      </c>
      <c r="B152" s="63" t="s">
        <v>724</v>
      </c>
      <c r="C152" s="79" t="s">
        <v>106</v>
      </c>
      <c r="D152" s="9" t="s">
        <v>25</v>
      </c>
      <c r="E152" s="66">
        <v>2.9999999999999999E-7</v>
      </c>
      <c r="F152" s="63">
        <v>203</v>
      </c>
      <c r="G152" s="8">
        <v>0.2</v>
      </c>
      <c r="H152" s="10">
        <f t="shared" ref="H152:H157" si="169">E152*F152*G152</f>
        <v>1.218E-5</v>
      </c>
      <c r="I152" s="64">
        <v>2.6</v>
      </c>
      <c r="J152" s="69">
        <f>I152</f>
        <v>2.6</v>
      </c>
      <c r="K152" s="72" t="s">
        <v>122</v>
      </c>
      <c r="L152" s="77">
        <f>I152*20</f>
        <v>52</v>
      </c>
      <c r="M152" s="31" t="str">
        <f t="shared" ref="M152:M157" si="170">A152</f>
        <v>C107</v>
      </c>
      <c r="N152" s="31" t="str">
        <f t="shared" ref="N152:N157" si="171"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O152" s="31" t="str">
        <f t="shared" ref="O152:O157" si="172">D152</f>
        <v>Полное-пожар</v>
      </c>
      <c r="P152" s="31">
        <v>5.9</v>
      </c>
      <c r="Q152" s="31">
        <v>8.4</v>
      </c>
      <c r="R152" s="31">
        <v>12.6</v>
      </c>
      <c r="S152" s="31">
        <v>25.2</v>
      </c>
      <c r="T152" s="31" t="s">
        <v>46</v>
      </c>
      <c r="U152" s="31" t="s">
        <v>46</v>
      </c>
      <c r="V152" s="31" t="s">
        <v>46</v>
      </c>
      <c r="W152" s="31" t="s">
        <v>46</v>
      </c>
      <c r="X152" s="31" t="s">
        <v>46</v>
      </c>
      <c r="Y152" s="31" t="s">
        <v>46</v>
      </c>
      <c r="Z152" s="31" t="s">
        <v>46</v>
      </c>
      <c r="AA152" s="31" t="s">
        <v>46</v>
      </c>
      <c r="AB152" s="31" t="s">
        <v>46</v>
      </c>
      <c r="AC152" s="31" t="s">
        <v>46</v>
      </c>
      <c r="AD152" s="31" t="s">
        <v>46</v>
      </c>
      <c r="AE152" s="31" t="s">
        <v>46</v>
      </c>
      <c r="AF152" s="31" t="s">
        <v>46</v>
      </c>
      <c r="AG152" s="31" t="s">
        <v>46</v>
      </c>
      <c r="AH152" s="31" t="s">
        <v>46</v>
      </c>
      <c r="AI152" s="31" t="s">
        <v>46</v>
      </c>
      <c r="AJ152" s="12">
        <v>0</v>
      </c>
      <c r="AK152" s="12">
        <v>1</v>
      </c>
      <c r="AL152" s="65">
        <v>0.75</v>
      </c>
      <c r="AM152" s="65">
        <v>2.7E-2</v>
      </c>
      <c r="AN152" s="65">
        <v>3</v>
      </c>
      <c r="AO152" s="31"/>
      <c r="AP152" s="31"/>
      <c r="AQ152" s="32">
        <f>AM152*I152+AL152</f>
        <v>0.82020000000000004</v>
      </c>
      <c r="AR152" s="32">
        <f t="shared" ref="AR152:AR157" si="173">0.1*AQ152</f>
        <v>8.202000000000001E-2</v>
      </c>
      <c r="AS152" s="33">
        <f t="shared" ref="AS152:AS157" si="174">AJ152*3+0.25*AK152</f>
        <v>0.25</v>
      </c>
      <c r="AT152" s="33">
        <f t="shared" ref="AT152:AT157" si="175">SUM(AQ152:AS152)/4</f>
        <v>0.28805500000000001</v>
      </c>
      <c r="AU152" s="32">
        <f>10068.2*J152*POWER(10,-6)</f>
        <v>2.617732E-2</v>
      </c>
      <c r="AV152" s="33">
        <f t="shared" ref="AV152:AV157" si="176">AU152+AT152+AS152+AR152+AQ152</f>
        <v>1.4664523200000001</v>
      </c>
      <c r="AW152" s="34">
        <f t="shared" ref="AW152:AW157" si="177">AJ152*H152</f>
        <v>0</v>
      </c>
      <c r="AX152" s="34">
        <f t="shared" ref="AX152:AX157" si="178">H152*AK152</f>
        <v>1.218E-5</v>
      </c>
      <c r="AY152" s="34">
        <f t="shared" ref="AY152:AY157" si="179">H152*AV152</f>
        <v>1.7861389257600004E-5</v>
      </c>
      <c r="AZ152" s="297">
        <f>AW152/DB!$B$23</f>
        <v>0</v>
      </c>
      <c r="BA152" s="297">
        <f>AX152/DB!$B$23</f>
        <v>1.4674698795180724E-8</v>
      </c>
    </row>
    <row r="153" spans="1:53" ht="15" thickBot="1" x14ac:dyDescent="0.35">
      <c r="A153" s="8" t="s">
        <v>835</v>
      </c>
      <c r="B153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3" s="79" t="s">
        <v>107</v>
      </c>
      <c r="D153" s="9" t="s">
        <v>28</v>
      </c>
      <c r="E153" s="67">
        <f>E152</f>
        <v>2.9999999999999999E-7</v>
      </c>
      <c r="F153" s="68">
        <f>F152</f>
        <v>203</v>
      </c>
      <c r="G153" s="8">
        <v>0.04</v>
      </c>
      <c r="H153" s="10">
        <f t="shared" si="169"/>
        <v>2.4360000000000001E-6</v>
      </c>
      <c r="I153" s="62">
        <f>I152</f>
        <v>2.6</v>
      </c>
      <c r="J153" s="277">
        <f>POWER(10,-6)*35*SQRT(100)*3600*L152/1000*0.1</f>
        <v>6.5519999999999988E-3</v>
      </c>
      <c r="K153" s="72" t="s">
        <v>123</v>
      </c>
      <c r="L153" s="77">
        <v>0</v>
      </c>
      <c r="M153" s="31" t="str">
        <f t="shared" si="170"/>
        <v>C108</v>
      </c>
      <c r="N153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3" s="31" t="str">
        <f t="shared" si="172"/>
        <v>Полное-взрыв</v>
      </c>
      <c r="P153" s="31" t="s">
        <v>46</v>
      </c>
      <c r="Q153" s="31" t="s">
        <v>46</v>
      </c>
      <c r="R153" s="31" t="s">
        <v>46</v>
      </c>
      <c r="S153" s="31" t="s">
        <v>46</v>
      </c>
      <c r="T153" s="31">
        <v>0</v>
      </c>
      <c r="U153" s="31">
        <v>0</v>
      </c>
      <c r="V153" s="31">
        <v>14.1</v>
      </c>
      <c r="W153" s="31">
        <v>47.1</v>
      </c>
      <c r="X153" s="31">
        <v>69.099999999999994</v>
      </c>
      <c r="Y153" s="31" t="s">
        <v>46</v>
      </c>
      <c r="Z153" s="31" t="s">
        <v>46</v>
      </c>
      <c r="AA153" s="31" t="s">
        <v>46</v>
      </c>
      <c r="AB153" s="31" t="s">
        <v>46</v>
      </c>
      <c r="AC153" s="31" t="s">
        <v>46</v>
      </c>
      <c r="AD153" s="31" t="s">
        <v>46</v>
      </c>
      <c r="AE153" s="31" t="s">
        <v>46</v>
      </c>
      <c r="AF153" s="31" t="s">
        <v>46</v>
      </c>
      <c r="AG153" s="31" t="s">
        <v>46</v>
      </c>
      <c r="AH153" s="31" t="s">
        <v>46</v>
      </c>
      <c r="AI153" s="31" t="s">
        <v>46</v>
      </c>
      <c r="AJ153" s="12">
        <v>0</v>
      </c>
      <c r="AK153" s="12">
        <v>1</v>
      </c>
      <c r="AL153" s="31">
        <f>AL152</f>
        <v>0.75</v>
      </c>
      <c r="AM153" s="31">
        <f>AM152</f>
        <v>2.7E-2</v>
      </c>
      <c r="AN153" s="31">
        <f>AN152</f>
        <v>3</v>
      </c>
      <c r="AO153" s="31"/>
      <c r="AP153" s="31"/>
      <c r="AQ153" s="32">
        <f>AM153*I153+AL153</f>
        <v>0.82020000000000004</v>
      </c>
      <c r="AR153" s="32">
        <f t="shared" si="173"/>
        <v>8.202000000000001E-2</v>
      </c>
      <c r="AS153" s="33">
        <f t="shared" si="174"/>
        <v>0.25</v>
      </c>
      <c r="AT153" s="33">
        <f t="shared" si="175"/>
        <v>0.28805500000000001</v>
      </c>
      <c r="AU153" s="32">
        <f>10068.2*J153*POWER(10,-6)*10</f>
        <v>6.5966846399999985E-4</v>
      </c>
      <c r="AV153" s="33">
        <f t="shared" si="176"/>
        <v>1.4409346684640001</v>
      </c>
      <c r="AW153" s="34">
        <f t="shared" si="177"/>
        <v>0</v>
      </c>
      <c r="AX153" s="34">
        <f t="shared" si="178"/>
        <v>2.4360000000000001E-6</v>
      </c>
      <c r="AY153" s="34">
        <f t="shared" si="179"/>
        <v>3.5101168523783042E-6</v>
      </c>
      <c r="AZ153" s="297">
        <f>AW153/DB!$B$23</f>
        <v>0</v>
      </c>
      <c r="BA153" s="297">
        <f>AX153/DB!$B$23</f>
        <v>2.9349397590361447E-9</v>
      </c>
    </row>
    <row r="154" spans="1:53" x14ac:dyDescent="0.3">
      <c r="A154" s="8" t="s">
        <v>836</v>
      </c>
      <c r="B154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4" s="79" t="s">
        <v>108</v>
      </c>
      <c r="D154" s="9" t="s">
        <v>26</v>
      </c>
      <c r="E154" s="67">
        <f>E152</f>
        <v>2.9999999999999999E-7</v>
      </c>
      <c r="F154" s="68">
        <f>F152</f>
        <v>203</v>
      </c>
      <c r="G154" s="8">
        <v>0.76</v>
      </c>
      <c r="H154" s="10">
        <f t="shared" si="169"/>
        <v>4.6283999999999999E-5</v>
      </c>
      <c r="I154" s="62">
        <f>I152</f>
        <v>2.6</v>
      </c>
      <c r="J154" s="71">
        <v>0</v>
      </c>
      <c r="K154" s="72" t="s">
        <v>124</v>
      </c>
      <c r="L154" s="77">
        <v>0</v>
      </c>
      <c r="M154" s="31" t="str">
        <f t="shared" si="170"/>
        <v>C109</v>
      </c>
      <c r="N154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4" s="31" t="str">
        <f t="shared" si="172"/>
        <v>Полное-ликвидация</v>
      </c>
      <c r="P154" s="31" t="s">
        <v>46</v>
      </c>
      <c r="Q154" s="31" t="s">
        <v>46</v>
      </c>
      <c r="R154" s="31" t="s">
        <v>46</v>
      </c>
      <c r="S154" s="31" t="s">
        <v>46</v>
      </c>
      <c r="T154" s="31" t="s">
        <v>46</v>
      </c>
      <c r="U154" s="31" t="s">
        <v>46</v>
      </c>
      <c r="V154" s="31" t="s">
        <v>46</v>
      </c>
      <c r="W154" s="31" t="s">
        <v>46</v>
      </c>
      <c r="X154" s="31" t="s">
        <v>46</v>
      </c>
      <c r="Y154" s="31" t="s">
        <v>46</v>
      </c>
      <c r="Z154" s="31" t="s">
        <v>46</v>
      </c>
      <c r="AA154" s="31" t="s">
        <v>46</v>
      </c>
      <c r="AB154" s="31" t="s">
        <v>46</v>
      </c>
      <c r="AC154" s="31" t="s">
        <v>46</v>
      </c>
      <c r="AD154" s="31" t="s">
        <v>46</v>
      </c>
      <c r="AE154" s="31" t="s">
        <v>46</v>
      </c>
      <c r="AF154" s="31" t="s">
        <v>46</v>
      </c>
      <c r="AG154" s="31" t="s">
        <v>46</v>
      </c>
      <c r="AH154" s="31" t="s">
        <v>46</v>
      </c>
      <c r="AI154" s="31" t="s">
        <v>46</v>
      </c>
      <c r="AJ154" s="31">
        <v>0</v>
      </c>
      <c r="AK154" s="31">
        <v>0</v>
      </c>
      <c r="AL154" s="31">
        <f>AL152</f>
        <v>0.75</v>
      </c>
      <c r="AM154" s="31">
        <f>AM152</f>
        <v>2.7E-2</v>
      </c>
      <c r="AN154" s="31">
        <f>AN152</f>
        <v>3</v>
      </c>
      <c r="AO154" s="31"/>
      <c r="AP154" s="31"/>
      <c r="AQ154" s="32">
        <f>AM154*I154*0.1+AL154</f>
        <v>0.75702000000000003</v>
      </c>
      <c r="AR154" s="32">
        <f t="shared" si="173"/>
        <v>7.5702000000000005E-2</v>
      </c>
      <c r="AS154" s="33">
        <f t="shared" si="174"/>
        <v>0</v>
      </c>
      <c r="AT154" s="33">
        <f t="shared" si="175"/>
        <v>0.20818050000000002</v>
      </c>
      <c r="AU154" s="32">
        <f>1333*J153*POWER(10,-6)</f>
        <v>8.733815999999998E-6</v>
      </c>
      <c r="AV154" s="33">
        <f t="shared" si="176"/>
        <v>1.040911233816</v>
      </c>
      <c r="AW154" s="34">
        <f t="shared" si="177"/>
        <v>0</v>
      </c>
      <c r="AX154" s="34">
        <f t="shared" si="178"/>
        <v>0</v>
      </c>
      <c r="AY154" s="34">
        <f t="shared" si="179"/>
        <v>4.8177535545939745E-5</v>
      </c>
      <c r="AZ154" s="297">
        <f>AW154/DB!$B$23</f>
        <v>0</v>
      </c>
      <c r="BA154" s="297">
        <f>AX154/DB!$B$23</f>
        <v>0</v>
      </c>
    </row>
    <row r="155" spans="1:53" x14ac:dyDescent="0.3">
      <c r="A155" s="8" t="s">
        <v>837</v>
      </c>
      <c r="B155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5" s="79" t="s">
        <v>109</v>
      </c>
      <c r="D155" s="9" t="s">
        <v>47</v>
      </c>
      <c r="E155" s="66">
        <v>1.9999999999999999E-6</v>
      </c>
      <c r="F155" s="68">
        <f>F152</f>
        <v>203</v>
      </c>
      <c r="G155" s="8">
        <v>0.2</v>
      </c>
      <c r="H155" s="10">
        <f t="shared" si="169"/>
        <v>8.1200000000000009E-5</v>
      </c>
      <c r="I155" s="62">
        <f>0.15*I152</f>
        <v>0.39</v>
      </c>
      <c r="J155" s="69">
        <f>I155</f>
        <v>0.39</v>
      </c>
      <c r="K155" s="74" t="s">
        <v>126</v>
      </c>
      <c r="L155" s="78">
        <v>45390</v>
      </c>
      <c r="M155" s="31" t="str">
        <f t="shared" si="170"/>
        <v>C110</v>
      </c>
      <c r="N155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5" s="31" t="str">
        <f t="shared" si="172"/>
        <v>Частичное-пожар</v>
      </c>
      <c r="P155" s="31">
        <v>2.9</v>
      </c>
      <c r="Q155" s="31">
        <v>4.3</v>
      </c>
      <c r="R155" s="31">
        <v>6.5</v>
      </c>
      <c r="S155" s="31">
        <v>11.6</v>
      </c>
      <c r="T155" s="31" t="s">
        <v>46</v>
      </c>
      <c r="U155" s="31" t="s">
        <v>46</v>
      </c>
      <c r="V155" s="31" t="s">
        <v>46</v>
      </c>
      <c r="W155" s="31" t="s">
        <v>46</v>
      </c>
      <c r="X155" s="31" t="s">
        <v>46</v>
      </c>
      <c r="Y155" s="31" t="s">
        <v>46</v>
      </c>
      <c r="Z155" s="31" t="s">
        <v>46</v>
      </c>
      <c r="AA155" s="31" t="s">
        <v>46</v>
      </c>
      <c r="AB155" s="31" t="s">
        <v>46</v>
      </c>
      <c r="AC155" s="31" t="s">
        <v>46</v>
      </c>
      <c r="AD155" s="31" t="s">
        <v>46</v>
      </c>
      <c r="AE155" s="31" t="s">
        <v>46</v>
      </c>
      <c r="AF155" s="31" t="s">
        <v>46</v>
      </c>
      <c r="AG155" s="31" t="s">
        <v>46</v>
      </c>
      <c r="AH155" s="31" t="s">
        <v>46</v>
      </c>
      <c r="AI155" s="31" t="s">
        <v>46</v>
      </c>
      <c r="AJ155" s="31">
        <v>0</v>
      </c>
      <c r="AK155" s="31">
        <v>1</v>
      </c>
      <c r="AL155" s="31">
        <f>0.1*$AL$2</f>
        <v>7.5000000000000011E-2</v>
      </c>
      <c r="AM155" s="31">
        <f>AM152</f>
        <v>2.7E-2</v>
      </c>
      <c r="AN155" s="31">
        <f>ROUNDUP(AN152/3,0)</f>
        <v>1</v>
      </c>
      <c r="AO155" s="31"/>
      <c r="AP155" s="31"/>
      <c r="AQ155" s="32">
        <f>AM155*I155+AL155</f>
        <v>8.5530000000000009E-2</v>
      </c>
      <c r="AR155" s="32">
        <f t="shared" si="173"/>
        <v>8.5530000000000016E-3</v>
      </c>
      <c r="AS155" s="33">
        <f t="shared" si="174"/>
        <v>0.25</v>
      </c>
      <c r="AT155" s="33">
        <f t="shared" si="175"/>
        <v>8.6020750000000007E-2</v>
      </c>
      <c r="AU155" s="32">
        <f>10068.2*J155*POWER(10,-6)</f>
        <v>3.9265979999999999E-3</v>
      </c>
      <c r="AV155" s="33">
        <f t="shared" si="176"/>
        <v>0.43403034800000001</v>
      </c>
      <c r="AW155" s="34">
        <f t="shared" si="177"/>
        <v>0</v>
      </c>
      <c r="AX155" s="34">
        <f t="shared" si="178"/>
        <v>8.1200000000000009E-5</v>
      </c>
      <c r="AY155" s="34">
        <f t="shared" si="179"/>
        <v>3.5243264257600002E-5</v>
      </c>
      <c r="AZ155" s="297">
        <f>AW155/DB!$B$23</f>
        <v>0</v>
      </c>
      <c r="BA155" s="297">
        <f>AX155/DB!$B$23</f>
        <v>9.7831325301204835E-8</v>
      </c>
    </row>
    <row r="156" spans="1:53" x14ac:dyDescent="0.3">
      <c r="A156" s="8" t="s">
        <v>838</v>
      </c>
      <c r="B156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6" s="79" t="s">
        <v>110</v>
      </c>
      <c r="D156" s="9" t="s">
        <v>112</v>
      </c>
      <c r="E156" s="67">
        <f>E155</f>
        <v>1.9999999999999999E-6</v>
      </c>
      <c r="F156" s="68">
        <f>F152</f>
        <v>203</v>
      </c>
      <c r="G156" s="8">
        <v>0.04</v>
      </c>
      <c r="H156" s="10">
        <f t="shared" si="169"/>
        <v>1.624E-5</v>
      </c>
      <c r="I156" s="62">
        <f>0.15*I152</f>
        <v>0.39</v>
      </c>
      <c r="J156" s="69">
        <f>0.15*J153</f>
        <v>9.8279999999999982E-4</v>
      </c>
      <c r="K156" s="74" t="s">
        <v>127</v>
      </c>
      <c r="L156" s="78">
        <v>3</v>
      </c>
      <c r="M156" s="31" t="str">
        <f t="shared" si="170"/>
        <v>C111</v>
      </c>
      <c r="N156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6" s="31" t="str">
        <f t="shared" si="172"/>
        <v>Частичное-пожар-вспышка</v>
      </c>
      <c r="P156" s="31" t="s">
        <v>46</v>
      </c>
      <c r="Q156" s="31" t="s">
        <v>46</v>
      </c>
      <c r="R156" s="31" t="s">
        <v>46</v>
      </c>
      <c r="S156" s="31" t="s">
        <v>46</v>
      </c>
      <c r="T156" s="31" t="s">
        <v>46</v>
      </c>
      <c r="U156" s="31" t="s">
        <v>46</v>
      </c>
      <c r="V156" s="31" t="s">
        <v>46</v>
      </c>
      <c r="W156" s="31" t="s">
        <v>46</v>
      </c>
      <c r="X156" s="31" t="s">
        <v>46</v>
      </c>
      <c r="Y156" s="31" t="s">
        <v>46</v>
      </c>
      <c r="Z156" s="31" t="s">
        <v>46</v>
      </c>
      <c r="AA156" s="31">
        <v>3.41</v>
      </c>
      <c r="AB156" s="31">
        <v>4.09</v>
      </c>
      <c r="AC156" s="31" t="s">
        <v>46</v>
      </c>
      <c r="AD156" s="31" t="s">
        <v>46</v>
      </c>
      <c r="AE156" s="31" t="s">
        <v>46</v>
      </c>
      <c r="AF156" s="31" t="s">
        <v>46</v>
      </c>
      <c r="AG156" s="31" t="s">
        <v>46</v>
      </c>
      <c r="AH156" s="31" t="s">
        <v>46</v>
      </c>
      <c r="AI156" s="31" t="s">
        <v>46</v>
      </c>
      <c r="AJ156" s="31">
        <v>0</v>
      </c>
      <c r="AK156" s="31">
        <v>1</v>
      </c>
      <c r="AL156" s="31">
        <f>0.1*$AL$2</f>
        <v>7.5000000000000011E-2</v>
      </c>
      <c r="AM156" s="31">
        <f>AM152</f>
        <v>2.7E-2</v>
      </c>
      <c r="AN156" s="31">
        <f>ROUNDUP(AN152/3,0)</f>
        <v>1</v>
      </c>
      <c r="AO156" s="31"/>
      <c r="AP156" s="31"/>
      <c r="AQ156" s="32">
        <f>AM156*I156+AL156</f>
        <v>8.5530000000000009E-2</v>
      </c>
      <c r="AR156" s="32">
        <f t="shared" si="173"/>
        <v>8.5530000000000016E-3</v>
      </c>
      <c r="AS156" s="33">
        <f t="shared" si="174"/>
        <v>0.25</v>
      </c>
      <c r="AT156" s="33">
        <f t="shared" si="175"/>
        <v>8.6020750000000007E-2</v>
      </c>
      <c r="AU156" s="32">
        <f>10068.2*J156*POWER(10,-6)*10</f>
        <v>9.8950269599999992E-5</v>
      </c>
      <c r="AV156" s="33">
        <f t="shared" si="176"/>
        <v>0.4302027002696</v>
      </c>
      <c r="AW156" s="34">
        <f t="shared" si="177"/>
        <v>0</v>
      </c>
      <c r="AX156" s="34">
        <f t="shared" si="178"/>
        <v>1.624E-5</v>
      </c>
      <c r="AY156" s="34">
        <f t="shared" si="179"/>
        <v>6.986491852378304E-6</v>
      </c>
      <c r="AZ156" s="297">
        <f>AW156/DB!$B$23</f>
        <v>0</v>
      </c>
      <c r="BA156" s="297">
        <f>AX156/DB!$B$23</f>
        <v>1.9566265060240963E-8</v>
      </c>
    </row>
    <row r="157" spans="1:53" x14ac:dyDescent="0.3">
      <c r="A157" s="170" t="s">
        <v>839</v>
      </c>
      <c r="B157" s="170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7" s="171" t="s">
        <v>111</v>
      </c>
      <c r="D157" s="172" t="s">
        <v>27</v>
      </c>
      <c r="E157" s="173">
        <f>E155</f>
        <v>1.9999999999999999E-6</v>
      </c>
      <c r="F157" s="174">
        <f>F152</f>
        <v>203</v>
      </c>
      <c r="G157" s="170">
        <v>0.76</v>
      </c>
      <c r="H157" s="175">
        <f t="shared" si="169"/>
        <v>3.0855999999999999E-4</v>
      </c>
      <c r="I157" s="176">
        <f>0.15*I152</f>
        <v>0.39</v>
      </c>
      <c r="J157" s="177">
        <v>0</v>
      </c>
      <c r="K157" s="178" t="s">
        <v>138</v>
      </c>
      <c r="L157" s="179">
        <v>1</v>
      </c>
      <c r="M157" s="31" t="str">
        <f t="shared" si="170"/>
        <v>C112</v>
      </c>
      <c r="N157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7" s="31" t="str">
        <f t="shared" si="172"/>
        <v>Частичное-ликвидация</v>
      </c>
      <c r="P157" s="31" t="s">
        <v>46</v>
      </c>
      <c r="Q157" s="31" t="s">
        <v>46</v>
      </c>
      <c r="R157" s="31" t="s">
        <v>46</v>
      </c>
      <c r="S157" s="31" t="s">
        <v>46</v>
      </c>
      <c r="T157" s="31" t="s">
        <v>46</v>
      </c>
      <c r="U157" s="31" t="s">
        <v>46</v>
      </c>
      <c r="V157" s="31" t="s">
        <v>46</v>
      </c>
      <c r="W157" s="31" t="s">
        <v>46</v>
      </c>
      <c r="X157" s="31" t="s">
        <v>46</v>
      </c>
      <c r="Y157" s="31" t="s">
        <v>46</v>
      </c>
      <c r="Z157" s="31" t="s">
        <v>46</v>
      </c>
      <c r="AA157" s="31" t="s">
        <v>46</v>
      </c>
      <c r="AB157" s="31" t="s">
        <v>46</v>
      </c>
      <c r="AC157" s="31" t="s">
        <v>46</v>
      </c>
      <c r="AD157" s="31" t="s">
        <v>46</v>
      </c>
      <c r="AE157" s="31" t="s">
        <v>46</v>
      </c>
      <c r="AF157" s="31" t="s">
        <v>46</v>
      </c>
      <c r="AG157" s="31" t="s">
        <v>46</v>
      </c>
      <c r="AH157" s="31" t="s">
        <v>46</v>
      </c>
      <c r="AI157" s="31" t="s">
        <v>46</v>
      </c>
      <c r="AJ157" s="31">
        <v>0</v>
      </c>
      <c r="AK157" s="31">
        <v>0</v>
      </c>
      <c r="AL157" s="31">
        <f>0.1*$AL$2</f>
        <v>7.5000000000000011E-2</v>
      </c>
      <c r="AM157" s="31">
        <f>AM152</f>
        <v>2.7E-2</v>
      </c>
      <c r="AN157" s="31">
        <f>ROUNDUP(AN152/3,0)</f>
        <v>1</v>
      </c>
      <c r="AO157" s="31"/>
      <c r="AP157" s="31"/>
      <c r="AQ157" s="32">
        <f>AM157*I157*0.1+AL157</f>
        <v>7.6053000000000009E-2</v>
      </c>
      <c r="AR157" s="32">
        <f t="shared" si="173"/>
        <v>7.6053000000000015E-3</v>
      </c>
      <c r="AS157" s="33">
        <f t="shared" si="174"/>
        <v>0</v>
      </c>
      <c r="AT157" s="33">
        <f t="shared" si="175"/>
        <v>2.0914575000000001E-2</v>
      </c>
      <c r="AU157" s="32">
        <f>1333*J156*POWER(10,-6)</f>
        <v>1.3100723999999996E-6</v>
      </c>
      <c r="AV157" s="33">
        <f t="shared" si="176"/>
        <v>0.10457418507240002</v>
      </c>
      <c r="AW157" s="34">
        <f t="shared" si="177"/>
        <v>0</v>
      </c>
      <c r="AX157" s="34">
        <f t="shared" si="178"/>
        <v>0</v>
      </c>
      <c r="AY157" s="34">
        <f t="shared" si="179"/>
        <v>3.2267410545939748E-5</v>
      </c>
      <c r="AZ157" s="297">
        <f>AW157/DB!$B$23</f>
        <v>0</v>
      </c>
      <c r="BA157" s="297">
        <f>AX157/DB!$B$23</f>
        <v>0</v>
      </c>
    </row>
    <row r="158" spans="1:53" s="180" customForma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296" t="s">
        <v>468</v>
      </c>
      <c r="L158" s="295" t="s">
        <v>709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3" s="180" customForma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3" s="180" customForma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3" s="334" customFormat="1" ht="15" thickBot="1" x14ac:dyDescent="0.35">
      <c r="A161" s="333"/>
      <c r="B161" s="333"/>
      <c r="C161" s="333"/>
      <c r="D161" s="333"/>
      <c r="E161" s="333"/>
      <c r="F161" s="333"/>
      <c r="G161" s="333"/>
      <c r="H161" s="333"/>
      <c r="I161" s="333"/>
      <c r="J161" s="333"/>
      <c r="K161" s="333"/>
      <c r="L161" s="333"/>
      <c r="M161" s="333"/>
      <c r="N161" s="333"/>
      <c r="O161" s="333"/>
      <c r="P161" s="333"/>
      <c r="Q161" s="333"/>
      <c r="R161" s="333"/>
      <c r="S161" s="333"/>
      <c r="T161" s="333"/>
      <c r="U161" s="333"/>
      <c r="V161" s="333"/>
      <c r="W161" s="333"/>
      <c r="X161" s="333"/>
      <c r="Y161" s="333"/>
      <c r="Z161" s="333"/>
      <c r="AA161" s="333"/>
      <c r="AB161" s="333"/>
      <c r="AC161" s="333"/>
      <c r="AD161" s="333"/>
      <c r="AE161" s="333"/>
      <c r="AF161" s="333"/>
      <c r="AG161" s="333"/>
      <c r="AH161" s="333"/>
      <c r="AI161" s="333"/>
      <c r="AJ161" s="333"/>
      <c r="AK161" s="333"/>
      <c r="AL161" s="333"/>
      <c r="AM161" s="333"/>
      <c r="AN161" s="333"/>
      <c r="AO161" s="333"/>
      <c r="AP161" s="333"/>
      <c r="AQ161" s="333"/>
      <c r="AR161" s="333"/>
      <c r="AS161" s="333"/>
      <c r="AT161" s="333"/>
      <c r="AU161" s="333"/>
      <c r="AV161" s="333"/>
      <c r="AW161" s="333"/>
      <c r="AX161" s="333"/>
      <c r="AY161" s="333"/>
    </row>
    <row r="162" spans="1:53" s="140" customFormat="1" ht="18" customHeight="1" x14ac:dyDescent="0.3">
      <c r="A162" s="131" t="s">
        <v>840</v>
      </c>
      <c r="B162" s="132" t="s">
        <v>897</v>
      </c>
      <c r="C162" s="13" t="s">
        <v>143</v>
      </c>
      <c r="D162" s="133" t="s">
        <v>25</v>
      </c>
      <c r="E162" s="134">
        <v>9.9999999999999995E-7</v>
      </c>
      <c r="F162" s="132">
        <v>1</v>
      </c>
      <c r="G162" s="131">
        <v>0.05</v>
      </c>
      <c r="H162" s="135">
        <f>E162*F162*G162</f>
        <v>4.9999999999999998E-8</v>
      </c>
      <c r="I162" s="136">
        <v>20</v>
      </c>
      <c r="J162" s="137">
        <f>I162</f>
        <v>20</v>
      </c>
      <c r="K162" s="138" t="s">
        <v>122</v>
      </c>
      <c r="L162" s="139">
        <v>180</v>
      </c>
      <c r="M162" s="140" t="str">
        <f t="shared" ref="M162:M170" si="180">A162</f>
        <v>C113</v>
      </c>
      <c r="N162" s="140" t="str">
        <f t="shared" ref="N162:N169" si="181">B162</f>
        <v>Автоцистерна, нефть, попутный нефтяной газ, пластовая вода</v>
      </c>
      <c r="O162" s="140" t="str">
        <f t="shared" ref="O162:O169" si="182">D162</f>
        <v>Полное-пожар</v>
      </c>
      <c r="P162" s="140">
        <v>10.9</v>
      </c>
      <c r="Q162" s="140">
        <v>15.3</v>
      </c>
      <c r="R162" s="140">
        <v>22.4</v>
      </c>
      <c r="S162" s="140">
        <v>43.4</v>
      </c>
      <c r="T162" s="140" t="s">
        <v>46</v>
      </c>
      <c r="U162" s="140" t="s">
        <v>46</v>
      </c>
      <c r="V162" s="140" t="s">
        <v>46</v>
      </c>
      <c r="W162" s="140" t="s">
        <v>46</v>
      </c>
      <c r="X162" s="140" t="s">
        <v>46</v>
      </c>
      <c r="Y162" s="140" t="s">
        <v>46</v>
      </c>
      <c r="Z162" s="140" t="s">
        <v>46</v>
      </c>
      <c r="AA162" s="140" t="s">
        <v>46</v>
      </c>
      <c r="AB162" s="140" t="s">
        <v>46</v>
      </c>
      <c r="AC162" s="140" t="s">
        <v>46</v>
      </c>
      <c r="AD162" s="140" t="s">
        <v>46</v>
      </c>
      <c r="AE162" s="140" t="s">
        <v>46</v>
      </c>
      <c r="AF162" s="140" t="s">
        <v>46</v>
      </c>
      <c r="AG162" s="140" t="s">
        <v>46</v>
      </c>
      <c r="AH162" s="140" t="s">
        <v>46</v>
      </c>
      <c r="AI162" s="140" t="s">
        <v>46</v>
      </c>
      <c r="AJ162" s="141">
        <v>0</v>
      </c>
      <c r="AK162" s="141">
        <v>2</v>
      </c>
      <c r="AL162" s="142">
        <v>0.75</v>
      </c>
      <c r="AM162" s="142">
        <v>2.7E-2</v>
      </c>
      <c r="AN162" s="142">
        <v>3</v>
      </c>
      <c r="AQ162" s="143">
        <f>AM162*I162+AL162</f>
        <v>1.29</v>
      </c>
      <c r="AR162" s="143">
        <f>0.1*AQ162</f>
        <v>0.129</v>
      </c>
      <c r="AS162" s="144">
        <f>AJ162*3+0.25*AK162</f>
        <v>0.5</v>
      </c>
      <c r="AT162" s="144">
        <f>SUM(AQ162:AS162)/4</f>
        <v>0.47975000000000001</v>
      </c>
      <c r="AU162" s="143">
        <f>10068.2*J162*POWER(10,-6)</f>
        <v>0.20136399999999999</v>
      </c>
      <c r="AV162" s="144">
        <f t="shared" ref="AV162:AV170" si="183">AU162+AT162+AS162+AR162+AQ162</f>
        <v>2.600114</v>
      </c>
      <c r="AW162" s="145">
        <f>AJ162*H162</f>
        <v>0</v>
      </c>
      <c r="AX162" s="145">
        <f>H162*AK162</f>
        <v>9.9999999999999995E-8</v>
      </c>
      <c r="AY162" s="145">
        <f>H162*AV162</f>
        <v>1.300057E-7</v>
      </c>
      <c r="AZ162" s="297">
        <f>AW162/DB!$B$23</f>
        <v>0</v>
      </c>
      <c r="BA162" s="297">
        <f>AX162/DB!$B$23</f>
        <v>1.2048192771084336E-10</v>
      </c>
    </row>
    <row r="163" spans="1:53" s="140" customFormat="1" x14ac:dyDescent="0.3">
      <c r="A163" s="131" t="s">
        <v>841</v>
      </c>
      <c r="B163" s="131" t="str">
        <f>B162</f>
        <v>Автоцистерна, нефть, попутный нефтяной газ, пластовая вода</v>
      </c>
      <c r="C163" s="13" t="s">
        <v>149</v>
      </c>
      <c r="D163" s="133" t="s">
        <v>28</v>
      </c>
      <c r="E163" s="146">
        <f>E162</f>
        <v>9.9999999999999995E-7</v>
      </c>
      <c r="F163" s="147">
        <f>F162</f>
        <v>1</v>
      </c>
      <c r="G163" s="131">
        <v>0.19</v>
      </c>
      <c r="H163" s="135">
        <f t="shared" ref="H163:H170" si="184">E163*F163*G163</f>
        <v>1.8999999999999998E-7</v>
      </c>
      <c r="I163" s="148">
        <f>I162</f>
        <v>20</v>
      </c>
      <c r="J163" s="266">
        <f>POWER(10,-6)*35*SQRT(100)*L1*L162/1000*0.1</f>
        <v>7.5600000000000007E-3</v>
      </c>
      <c r="K163" s="149" t="s">
        <v>123</v>
      </c>
      <c r="L163" s="150">
        <v>2</v>
      </c>
      <c r="M163" s="140" t="str">
        <f t="shared" si="180"/>
        <v>C114</v>
      </c>
      <c r="N163" s="140" t="str">
        <f t="shared" si="181"/>
        <v>Автоцистерна, нефть, попутный нефтяной газ, пластовая вода</v>
      </c>
      <c r="O163" s="140" t="str">
        <f t="shared" si="182"/>
        <v>Полное-взрыв</v>
      </c>
      <c r="P163" s="140" t="s">
        <v>46</v>
      </c>
      <c r="Q163" s="140" t="s">
        <v>46</v>
      </c>
      <c r="R163" s="140" t="s">
        <v>46</v>
      </c>
      <c r="S163" s="140" t="s">
        <v>46</v>
      </c>
      <c r="T163" s="140">
        <v>0</v>
      </c>
      <c r="U163" s="140">
        <v>0</v>
      </c>
      <c r="V163" s="140">
        <v>15.1</v>
      </c>
      <c r="W163" s="140">
        <v>49.6</v>
      </c>
      <c r="X163" s="140">
        <v>72.599999999999994</v>
      </c>
      <c r="Y163" s="140" t="s">
        <v>46</v>
      </c>
      <c r="Z163" s="140" t="s">
        <v>46</v>
      </c>
      <c r="AA163" s="140" t="s">
        <v>46</v>
      </c>
      <c r="AB163" s="140" t="s">
        <v>46</v>
      </c>
      <c r="AC163" s="140" t="s">
        <v>46</v>
      </c>
      <c r="AD163" s="140" t="s">
        <v>46</v>
      </c>
      <c r="AE163" s="140" t="s">
        <v>46</v>
      </c>
      <c r="AF163" s="140" t="s">
        <v>46</v>
      </c>
      <c r="AG163" s="140" t="s">
        <v>46</v>
      </c>
      <c r="AH163" s="140" t="s">
        <v>46</v>
      </c>
      <c r="AI163" s="140" t="s">
        <v>46</v>
      </c>
      <c r="AJ163" s="141">
        <v>1</v>
      </c>
      <c r="AK163" s="141">
        <v>2</v>
      </c>
      <c r="AL163" s="140">
        <f>AL162</f>
        <v>0.75</v>
      </c>
      <c r="AM163" s="140">
        <f>AM162</f>
        <v>2.7E-2</v>
      </c>
      <c r="AN163" s="140">
        <f>AN162</f>
        <v>3</v>
      </c>
      <c r="AQ163" s="143">
        <f>AM163*I163+AL163</f>
        <v>1.29</v>
      </c>
      <c r="AR163" s="143">
        <f t="shared" ref="AR163:AR169" si="185">0.1*AQ163</f>
        <v>0.129</v>
      </c>
      <c r="AS163" s="144">
        <f t="shared" ref="AS163:AS169" si="186">AJ163*3+0.25*AK163</f>
        <v>3.5</v>
      </c>
      <c r="AT163" s="144">
        <f t="shared" ref="AT163:AT169" si="187">SUM(AQ163:AS163)/4</f>
        <v>1.2297500000000001</v>
      </c>
      <c r="AU163" s="143">
        <f>10068.2*J163*POWER(10,-6)*10</f>
        <v>7.6115592000000002E-4</v>
      </c>
      <c r="AV163" s="144">
        <f t="shared" si="183"/>
        <v>6.14951115592</v>
      </c>
      <c r="AW163" s="145">
        <f t="shared" ref="AW163:AW169" si="188">AJ163*H163</f>
        <v>1.8999999999999998E-7</v>
      </c>
      <c r="AX163" s="145">
        <f t="shared" ref="AX163:AX169" si="189">H163*AK163</f>
        <v>3.7999999999999996E-7</v>
      </c>
      <c r="AY163" s="145">
        <f t="shared" ref="AY163" si="190">H163*AV163</f>
        <v>1.1684071196247999E-6</v>
      </c>
      <c r="AZ163" s="297">
        <f>AW163/DB!$B$23</f>
        <v>2.2891566265060238E-10</v>
      </c>
      <c r="BA163" s="297">
        <f>AX163/DB!$B$23</f>
        <v>4.5783132530120476E-10</v>
      </c>
    </row>
    <row r="164" spans="1:53" s="140" customFormat="1" x14ac:dyDescent="0.3">
      <c r="A164" s="131" t="s">
        <v>842</v>
      </c>
      <c r="B164" s="131" t="str">
        <f>B162</f>
        <v>Автоцистерна, нефть, попутный нефтяной газ, пластовая вода</v>
      </c>
      <c r="C164" s="13" t="s">
        <v>188</v>
      </c>
      <c r="D164" s="133" t="s">
        <v>26</v>
      </c>
      <c r="E164" s="146">
        <f>E162</f>
        <v>9.9999999999999995E-7</v>
      </c>
      <c r="F164" s="147">
        <f t="shared" ref="F164:F169" si="191">F163</f>
        <v>1</v>
      </c>
      <c r="G164" s="131">
        <v>0.76</v>
      </c>
      <c r="H164" s="135">
        <f t="shared" si="184"/>
        <v>7.5999999999999992E-7</v>
      </c>
      <c r="I164" s="148">
        <f>I162</f>
        <v>20</v>
      </c>
      <c r="J164" s="151">
        <v>0</v>
      </c>
      <c r="K164" s="149" t="s">
        <v>124</v>
      </c>
      <c r="L164" s="150">
        <v>1.05</v>
      </c>
      <c r="M164" s="140" t="str">
        <f t="shared" si="180"/>
        <v>C115</v>
      </c>
      <c r="N164" s="140" t="str">
        <f t="shared" si="181"/>
        <v>Автоцистерна, нефть, попутный нефтяной газ, пластовая вода</v>
      </c>
      <c r="O164" s="140" t="str">
        <f t="shared" si="182"/>
        <v>Полное-ликвидация</v>
      </c>
      <c r="P164" s="140" t="s">
        <v>46</v>
      </c>
      <c r="Q164" s="140" t="s">
        <v>46</v>
      </c>
      <c r="R164" s="140" t="s">
        <v>46</v>
      </c>
      <c r="S164" s="140" t="s">
        <v>46</v>
      </c>
      <c r="T164" s="140" t="s">
        <v>46</v>
      </c>
      <c r="U164" s="140" t="s">
        <v>46</v>
      </c>
      <c r="V164" s="140" t="s">
        <v>46</v>
      </c>
      <c r="W164" s="140" t="s">
        <v>46</v>
      </c>
      <c r="X164" s="140" t="s">
        <v>46</v>
      </c>
      <c r="Y164" s="140" t="s">
        <v>46</v>
      </c>
      <c r="Z164" s="140" t="s">
        <v>46</v>
      </c>
      <c r="AA164" s="140" t="s">
        <v>46</v>
      </c>
      <c r="AB164" s="140" t="s">
        <v>46</v>
      </c>
      <c r="AC164" s="140" t="s">
        <v>46</v>
      </c>
      <c r="AD164" s="140" t="s">
        <v>46</v>
      </c>
      <c r="AE164" s="140" t="s">
        <v>46</v>
      </c>
      <c r="AF164" s="140" t="s">
        <v>46</v>
      </c>
      <c r="AG164" s="140" t="s">
        <v>46</v>
      </c>
      <c r="AH164" s="140" t="s">
        <v>46</v>
      </c>
      <c r="AI164" s="140" t="s">
        <v>46</v>
      </c>
      <c r="AJ164" s="140">
        <v>0</v>
      </c>
      <c r="AK164" s="140">
        <v>0</v>
      </c>
      <c r="AL164" s="140">
        <f>AL162</f>
        <v>0.75</v>
      </c>
      <c r="AM164" s="140">
        <f>AM162</f>
        <v>2.7E-2</v>
      </c>
      <c r="AN164" s="140">
        <f>AN162</f>
        <v>3</v>
      </c>
      <c r="AQ164" s="143">
        <f>AM164*I164*0.1+AL164</f>
        <v>0.80400000000000005</v>
      </c>
      <c r="AR164" s="143">
        <f t="shared" si="185"/>
        <v>8.0400000000000013E-2</v>
      </c>
      <c r="AS164" s="144">
        <f t="shared" si="186"/>
        <v>0</v>
      </c>
      <c r="AT164" s="144">
        <f t="shared" si="187"/>
        <v>0.22110000000000002</v>
      </c>
      <c r="AU164" s="143">
        <f>1333*J162*POWER(10,-6)</f>
        <v>2.666E-2</v>
      </c>
      <c r="AV164" s="144">
        <f t="shared" si="183"/>
        <v>1.1321600000000001</v>
      </c>
      <c r="AW164" s="145">
        <f t="shared" si="188"/>
        <v>0</v>
      </c>
      <c r="AX164" s="145">
        <f t="shared" si="189"/>
        <v>0</v>
      </c>
      <c r="AY164" s="145">
        <f>H164*AV164</f>
        <v>8.6044159999999997E-7</v>
      </c>
      <c r="AZ164" s="297">
        <f>AW164/DB!$B$23</f>
        <v>0</v>
      </c>
      <c r="BA164" s="297">
        <f>AX164/DB!$B$23</f>
        <v>0</v>
      </c>
    </row>
    <row r="165" spans="1:53" s="140" customFormat="1" x14ac:dyDescent="0.3">
      <c r="A165" s="131" t="s">
        <v>843</v>
      </c>
      <c r="B165" s="131" t="str">
        <f>B162</f>
        <v>Автоцистерна, нефть, попутный нефтяной газ, пластовая вода</v>
      </c>
      <c r="C165" s="13" t="s">
        <v>160</v>
      </c>
      <c r="D165" s="133" t="s">
        <v>161</v>
      </c>
      <c r="E165" s="134">
        <v>1.0000000000000001E-5</v>
      </c>
      <c r="F165" s="147">
        <f t="shared" si="191"/>
        <v>1</v>
      </c>
      <c r="G165" s="131">
        <v>4.0000000000000008E-2</v>
      </c>
      <c r="H165" s="135">
        <f t="shared" si="184"/>
        <v>4.0000000000000009E-7</v>
      </c>
      <c r="I165" s="148">
        <f>0.15*I162</f>
        <v>3</v>
      </c>
      <c r="J165" s="137">
        <f>I165</f>
        <v>3</v>
      </c>
      <c r="K165" s="149" t="s">
        <v>126</v>
      </c>
      <c r="L165" s="150">
        <v>45390</v>
      </c>
      <c r="M165" s="140" t="str">
        <f t="shared" si="180"/>
        <v>C116</v>
      </c>
      <c r="N165" s="140" t="str">
        <f t="shared" si="181"/>
        <v>Автоцистерна, нефть, попутный нефтяной газ, пластовая вода</v>
      </c>
      <c r="O165" s="140" t="str">
        <f t="shared" si="182"/>
        <v>Частичное факел</v>
      </c>
      <c r="P165" s="140" t="s">
        <v>46</v>
      </c>
      <c r="Q165" s="140" t="s">
        <v>46</v>
      </c>
      <c r="R165" s="140" t="s">
        <v>46</v>
      </c>
      <c r="S165" s="140" t="s">
        <v>46</v>
      </c>
      <c r="T165" s="140" t="s">
        <v>46</v>
      </c>
      <c r="U165" s="140" t="s">
        <v>46</v>
      </c>
      <c r="V165" s="140" t="s">
        <v>46</v>
      </c>
      <c r="W165" s="140" t="s">
        <v>46</v>
      </c>
      <c r="X165" s="140" t="s">
        <v>46</v>
      </c>
      <c r="Y165" s="140">
        <v>15</v>
      </c>
      <c r="Z165" s="140">
        <v>3</v>
      </c>
      <c r="AA165" s="140" t="s">
        <v>46</v>
      </c>
      <c r="AB165" s="140" t="s">
        <v>46</v>
      </c>
      <c r="AC165" s="140" t="s">
        <v>46</v>
      </c>
      <c r="AD165" s="140" t="s">
        <v>46</v>
      </c>
      <c r="AE165" s="140" t="s">
        <v>46</v>
      </c>
      <c r="AF165" s="140" t="s">
        <v>46</v>
      </c>
      <c r="AG165" s="140" t="s">
        <v>46</v>
      </c>
      <c r="AH165" s="140" t="s">
        <v>46</v>
      </c>
      <c r="AI165" s="140" t="s">
        <v>46</v>
      </c>
      <c r="AJ165" s="140">
        <v>0</v>
      </c>
      <c r="AK165" s="140">
        <v>1</v>
      </c>
      <c r="AL165" s="140">
        <f>0.1*$AL$2</f>
        <v>7.5000000000000011E-2</v>
      </c>
      <c r="AM165" s="140">
        <f>AM163</f>
        <v>2.7E-2</v>
      </c>
      <c r="AN165" s="140">
        <f>AN162</f>
        <v>3</v>
      </c>
      <c r="AQ165" s="143">
        <f>AM165*I165*0.1+AL165</f>
        <v>8.3100000000000007E-2</v>
      </c>
      <c r="AR165" s="143">
        <f t="shared" si="185"/>
        <v>8.3100000000000014E-3</v>
      </c>
      <c r="AS165" s="144">
        <f t="shared" si="186"/>
        <v>0.25</v>
      </c>
      <c r="AT165" s="144">
        <f t="shared" si="187"/>
        <v>8.5352499999999998E-2</v>
      </c>
      <c r="AU165" s="143">
        <f>10068.2*J165*POWER(10,-6)</f>
        <v>3.0204600000000002E-2</v>
      </c>
      <c r="AV165" s="144">
        <f t="shared" si="183"/>
        <v>0.45696709999999996</v>
      </c>
      <c r="AW165" s="145">
        <f t="shared" si="188"/>
        <v>0</v>
      </c>
      <c r="AX165" s="145">
        <f t="shared" si="189"/>
        <v>4.0000000000000009E-7</v>
      </c>
      <c r="AY165" s="145">
        <f t="shared" ref="AY165:AY169" si="192">H165*AV165</f>
        <v>1.8278684000000004E-7</v>
      </c>
      <c r="AZ165" s="297">
        <f>AW165/DB!$B$23</f>
        <v>0</v>
      </c>
      <c r="BA165" s="297">
        <f>AX165/DB!$B$23</f>
        <v>4.8192771084337365E-10</v>
      </c>
    </row>
    <row r="166" spans="1:53" s="140" customFormat="1" x14ac:dyDescent="0.3">
      <c r="A166" s="131" t="s">
        <v>844</v>
      </c>
      <c r="B166" s="131" t="str">
        <f>B162</f>
        <v>Автоцистерна, нефть, попутный нефтяной газ, пластовая вода</v>
      </c>
      <c r="C166" s="13" t="s">
        <v>189</v>
      </c>
      <c r="D166" s="133" t="s">
        <v>27</v>
      </c>
      <c r="E166" s="146">
        <f>E165</f>
        <v>1.0000000000000001E-5</v>
      </c>
      <c r="F166" s="147">
        <f t="shared" si="191"/>
        <v>1</v>
      </c>
      <c r="G166" s="131">
        <v>0.16000000000000003</v>
      </c>
      <c r="H166" s="135">
        <f t="shared" si="184"/>
        <v>1.6000000000000004E-6</v>
      </c>
      <c r="I166" s="148">
        <f>0.15*I162</f>
        <v>3</v>
      </c>
      <c r="J166" s="137">
        <v>0</v>
      </c>
      <c r="K166" s="149" t="s">
        <v>127</v>
      </c>
      <c r="L166" s="150">
        <v>3</v>
      </c>
      <c r="M166" s="140" t="str">
        <f t="shared" si="180"/>
        <v>C117</v>
      </c>
      <c r="N166" s="140" t="str">
        <f t="shared" si="181"/>
        <v>Автоцистерна, нефть, попутный нефтяной газ, пластовая вода</v>
      </c>
      <c r="O166" s="140" t="str">
        <f t="shared" si="182"/>
        <v>Частичное-ликвидация</v>
      </c>
      <c r="P166" s="140" t="s">
        <v>46</v>
      </c>
      <c r="Q166" s="140" t="s">
        <v>46</v>
      </c>
      <c r="R166" s="140" t="s">
        <v>46</v>
      </c>
      <c r="S166" s="140" t="s">
        <v>46</v>
      </c>
      <c r="T166" s="140" t="s">
        <v>46</v>
      </c>
      <c r="U166" s="140" t="s">
        <v>46</v>
      </c>
      <c r="V166" s="140" t="s">
        <v>46</v>
      </c>
      <c r="W166" s="140" t="s">
        <v>46</v>
      </c>
      <c r="X166" s="140" t="s">
        <v>46</v>
      </c>
      <c r="Y166" s="140" t="s">
        <v>46</v>
      </c>
      <c r="Z166" s="140" t="s">
        <v>46</v>
      </c>
      <c r="AA166" s="140" t="s">
        <v>46</v>
      </c>
      <c r="AB166" s="140" t="s">
        <v>46</v>
      </c>
      <c r="AC166" s="140" t="s">
        <v>46</v>
      </c>
      <c r="AD166" s="140" t="s">
        <v>46</v>
      </c>
      <c r="AE166" s="140" t="s">
        <v>46</v>
      </c>
      <c r="AF166" s="140" t="s">
        <v>46</v>
      </c>
      <c r="AG166" s="140" t="s">
        <v>46</v>
      </c>
      <c r="AH166" s="140" t="s">
        <v>46</v>
      </c>
      <c r="AI166" s="140" t="s">
        <v>46</v>
      </c>
      <c r="AJ166" s="140">
        <v>0</v>
      </c>
      <c r="AK166" s="140">
        <v>1</v>
      </c>
      <c r="AL166" s="140">
        <f>0.1*$AL$2</f>
        <v>7.5000000000000011E-2</v>
      </c>
      <c r="AM166" s="140">
        <f>AM162</f>
        <v>2.7E-2</v>
      </c>
      <c r="AN166" s="140">
        <f>ROUNDUP(AN162/3,0)</f>
        <v>1</v>
      </c>
      <c r="AQ166" s="143">
        <f>AM166*I166+AL166</f>
        <v>0.15600000000000003</v>
      </c>
      <c r="AR166" s="143">
        <f t="shared" si="185"/>
        <v>1.5600000000000003E-2</v>
      </c>
      <c r="AS166" s="144">
        <f t="shared" si="186"/>
        <v>0.25</v>
      </c>
      <c r="AT166" s="144">
        <f t="shared" si="187"/>
        <v>0.10540000000000001</v>
      </c>
      <c r="AU166" s="143">
        <f>1333*J163*POWER(10,-6)*10</f>
        <v>1.0077480000000001E-4</v>
      </c>
      <c r="AV166" s="144">
        <f t="shared" si="183"/>
        <v>0.52710077480000006</v>
      </c>
      <c r="AW166" s="145">
        <f t="shared" si="188"/>
        <v>0</v>
      </c>
      <c r="AX166" s="145">
        <f t="shared" si="189"/>
        <v>1.6000000000000004E-6</v>
      </c>
      <c r="AY166" s="145">
        <f t="shared" si="192"/>
        <v>8.4336123968000032E-7</v>
      </c>
      <c r="AZ166" s="297">
        <f>AW166/DB!$B$23</f>
        <v>0</v>
      </c>
      <c r="BA166" s="297">
        <f>AX166/DB!$B$23</f>
        <v>1.9277108433734946E-9</v>
      </c>
    </row>
    <row r="167" spans="1:53" s="140" customFormat="1" x14ac:dyDescent="0.3">
      <c r="A167" s="131" t="s">
        <v>845</v>
      </c>
      <c r="B167" s="131" t="str">
        <f>B162</f>
        <v>Автоцистерна, нефть, попутный нефтяной газ, пластовая вода</v>
      </c>
      <c r="C167" s="13" t="s">
        <v>162</v>
      </c>
      <c r="D167" s="133" t="s">
        <v>161</v>
      </c>
      <c r="E167" s="146">
        <f>E166</f>
        <v>1.0000000000000001E-5</v>
      </c>
      <c r="F167" s="147">
        <f t="shared" si="191"/>
        <v>1</v>
      </c>
      <c r="G167" s="131">
        <v>4.0000000000000008E-2</v>
      </c>
      <c r="H167" s="135">
        <f t="shared" si="184"/>
        <v>4.0000000000000009E-7</v>
      </c>
      <c r="I167" s="148">
        <f>I165*0.15</f>
        <v>0.44999999999999996</v>
      </c>
      <c r="J167" s="137">
        <f>I167</f>
        <v>0.44999999999999996</v>
      </c>
      <c r="K167" s="152" t="s">
        <v>138</v>
      </c>
      <c r="L167" s="153">
        <v>12</v>
      </c>
      <c r="M167" s="140" t="str">
        <f t="shared" si="180"/>
        <v>C118</v>
      </c>
      <c r="N167" s="140" t="str">
        <f t="shared" si="181"/>
        <v>Автоцистерна, нефть, попутный нефтяной газ, пластовая вода</v>
      </c>
      <c r="O167" s="140" t="str">
        <f t="shared" si="182"/>
        <v>Частичное факел</v>
      </c>
      <c r="P167" s="140" t="s">
        <v>46</v>
      </c>
      <c r="Q167" s="140" t="s">
        <v>46</v>
      </c>
      <c r="R167" s="140" t="s">
        <v>46</v>
      </c>
      <c r="S167" s="140" t="s">
        <v>46</v>
      </c>
      <c r="T167" s="140" t="s">
        <v>46</v>
      </c>
      <c r="U167" s="140" t="s">
        <v>46</v>
      </c>
      <c r="V167" s="140" t="s">
        <v>46</v>
      </c>
      <c r="W167" s="140" t="s">
        <v>46</v>
      </c>
      <c r="X167" s="140" t="s">
        <v>46</v>
      </c>
      <c r="Y167" s="140">
        <v>11</v>
      </c>
      <c r="Z167" s="140">
        <v>2</v>
      </c>
      <c r="AA167" s="140" t="s">
        <v>46</v>
      </c>
      <c r="AB167" s="140" t="s">
        <v>46</v>
      </c>
      <c r="AC167" s="140" t="s">
        <v>46</v>
      </c>
      <c r="AD167" s="140" t="s">
        <v>46</v>
      </c>
      <c r="AE167" s="140" t="s">
        <v>46</v>
      </c>
      <c r="AF167" s="140" t="s">
        <v>46</v>
      </c>
      <c r="AG167" s="140" t="s">
        <v>46</v>
      </c>
      <c r="AH167" s="140" t="s">
        <v>46</v>
      </c>
      <c r="AI167" s="140" t="s">
        <v>46</v>
      </c>
      <c r="AJ167" s="140">
        <v>0</v>
      </c>
      <c r="AK167" s="140">
        <v>1</v>
      </c>
      <c r="AL167" s="140">
        <f>0.1*$AL$2</f>
        <v>7.5000000000000011E-2</v>
      </c>
      <c r="AM167" s="140">
        <f>AM162</f>
        <v>2.7E-2</v>
      </c>
      <c r="AN167" s="140">
        <f>AN166</f>
        <v>1</v>
      </c>
      <c r="AQ167" s="143">
        <f>AM167*I167+AL167</f>
        <v>8.7150000000000005E-2</v>
      </c>
      <c r="AR167" s="143">
        <f t="shared" si="185"/>
        <v>8.7150000000000005E-3</v>
      </c>
      <c r="AS167" s="144">
        <f t="shared" si="186"/>
        <v>0.25</v>
      </c>
      <c r="AT167" s="144">
        <f t="shared" si="187"/>
        <v>8.6466249999999995E-2</v>
      </c>
      <c r="AU167" s="143">
        <f>10068.2*J167*POWER(10,-6)</f>
        <v>4.5306899999999995E-3</v>
      </c>
      <c r="AV167" s="144">
        <f t="shared" si="183"/>
        <v>0.43686194000000006</v>
      </c>
      <c r="AW167" s="145">
        <f t="shared" si="188"/>
        <v>0</v>
      </c>
      <c r="AX167" s="145">
        <f t="shared" si="189"/>
        <v>4.0000000000000009E-7</v>
      </c>
      <c r="AY167" s="145">
        <f t="shared" si="192"/>
        <v>1.7474477600000006E-7</v>
      </c>
      <c r="AZ167" s="297">
        <f>AW167/DB!$B$23</f>
        <v>0</v>
      </c>
      <c r="BA167" s="297">
        <f>AX167/DB!$B$23</f>
        <v>4.8192771084337365E-10</v>
      </c>
    </row>
    <row r="168" spans="1:53" s="140" customFormat="1" x14ac:dyDescent="0.3">
      <c r="A168" s="131" t="s">
        <v>846</v>
      </c>
      <c r="B168" s="131" t="str">
        <f>B162</f>
        <v>Автоцистерна, нефть, попутный нефтяной газ, пластовая вода</v>
      </c>
      <c r="C168" s="13" t="s">
        <v>163</v>
      </c>
      <c r="D168" s="133" t="s">
        <v>112</v>
      </c>
      <c r="E168" s="146">
        <f>E166</f>
        <v>1.0000000000000001E-5</v>
      </c>
      <c r="F168" s="147">
        <f t="shared" si="191"/>
        <v>1</v>
      </c>
      <c r="G168" s="131">
        <v>0.15200000000000002</v>
      </c>
      <c r="H168" s="135">
        <f t="shared" si="184"/>
        <v>1.5200000000000003E-6</v>
      </c>
      <c r="I168" s="148">
        <f>I165*0.15</f>
        <v>0.44999999999999996</v>
      </c>
      <c r="J168" s="137">
        <f>I168</f>
        <v>0.44999999999999996</v>
      </c>
      <c r="K168" s="207" t="s">
        <v>468</v>
      </c>
      <c r="L168" s="295" t="s">
        <v>709</v>
      </c>
      <c r="M168" s="140" t="str">
        <f t="shared" si="180"/>
        <v>C119</v>
      </c>
      <c r="N168" s="140" t="str">
        <f t="shared" si="181"/>
        <v>Автоцистерна, нефть, попутный нефтяной газ, пластовая вода</v>
      </c>
      <c r="O168" s="140" t="str">
        <f t="shared" si="182"/>
        <v>Частичное-пожар-вспышка</v>
      </c>
      <c r="P168" s="140" t="s">
        <v>46</v>
      </c>
      <c r="Q168" s="140" t="s">
        <v>46</v>
      </c>
      <c r="R168" s="140" t="s">
        <v>46</v>
      </c>
      <c r="S168" s="140" t="s">
        <v>46</v>
      </c>
      <c r="T168" s="140" t="s">
        <v>46</v>
      </c>
      <c r="U168" s="140" t="s">
        <v>46</v>
      </c>
      <c r="V168" s="140" t="s">
        <v>46</v>
      </c>
      <c r="W168" s="140" t="s">
        <v>46</v>
      </c>
      <c r="X168" s="140" t="s">
        <v>46</v>
      </c>
      <c r="Y168" s="140" t="s">
        <v>46</v>
      </c>
      <c r="Z168" s="140" t="s">
        <v>46</v>
      </c>
      <c r="AA168" s="140">
        <v>25.75</v>
      </c>
      <c r="AB168" s="140">
        <v>30.9</v>
      </c>
      <c r="AC168" s="140" t="s">
        <v>46</v>
      </c>
      <c r="AD168" s="140" t="s">
        <v>46</v>
      </c>
      <c r="AE168" s="140" t="s">
        <v>46</v>
      </c>
      <c r="AF168" s="140" t="s">
        <v>46</v>
      </c>
      <c r="AG168" s="140" t="s">
        <v>46</v>
      </c>
      <c r="AH168" s="140" t="s">
        <v>46</v>
      </c>
      <c r="AI168" s="140" t="s">
        <v>46</v>
      </c>
      <c r="AJ168" s="140">
        <v>0</v>
      </c>
      <c r="AK168" s="140">
        <v>1</v>
      </c>
      <c r="AL168" s="140">
        <f>0.1*$AL$2</f>
        <v>7.5000000000000011E-2</v>
      </c>
      <c r="AM168" s="140">
        <f>AM162</f>
        <v>2.7E-2</v>
      </c>
      <c r="AN168" s="140">
        <f>ROUNDUP(AN162/3,0)</f>
        <v>1</v>
      </c>
      <c r="AQ168" s="143">
        <f>AM168*I168+AL168</f>
        <v>8.7150000000000005E-2</v>
      </c>
      <c r="AR168" s="143">
        <f t="shared" si="185"/>
        <v>8.7150000000000005E-3</v>
      </c>
      <c r="AS168" s="144">
        <f t="shared" si="186"/>
        <v>0.25</v>
      </c>
      <c r="AT168" s="144">
        <f t="shared" si="187"/>
        <v>8.6466249999999995E-2</v>
      </c>
      <c r="AU168" s="143">
        <f>10068.2*J168*POWER(10,-6)</f>
        <v>4.5306899999999995E-3</v>
      </c>
      <c r="AV168" s="144">
        <f t="shared" si="183"/>
        <v>0.43686194000000006</v>
      </c>
      <c r="AW168" s="145">
        <f t="shared" si="188"/>
        <v>0</v>
      </c>
      <c r="AX168" s="145">
        <f t="shared" si="189"/>
        <v>1.5200000000000003E-6</v>
      </c>
      <c r="AY168" s="145">
        <f t="shared" si="192"/>
        <v>6.6403014880000018E-7</v>
      </c>
      <c r="AZ168" s="297">
        <f>AW168/DB!$B$23</f>
        <v>0</v>
      </c>
      <c r="BA168" s="297">
        <f>AX168/DB!$B$23</f>
        <v>1.8313253012048197E-9</v>
      </c>
    </row>
    <row r="169" spans="1:53" s="140" customFormat="1" ht="15" thickBot="1" x14ac:dyDescent="0.35">
      <c r="A169" s="131" t="s">
        <v>847</v>
      </c>
      <c r="B169" s="131" t="str">
        <f>B162</f>
        <v>Автоцистерна, нефть, попутный нефтяной газ, пластовая вода</v>
      </c>
      <c r="C169" s="13" t="s">
        <v>164</v>
      </c>
      <c r="D169" s="133" t="s">
        <v>27</v>
      </c>
      <c r="E169" s="146">
        <f>E166</f>
        <v>1.0000000000000001E-5</v>
      </c>
      <c r="F169" s="147">
        <f t="shared" si="191"/>
        <v>1</v>
      </c>
      <c r="G169" s="131">
        <v>0.6080000000000001</v>
      </c>
      <c r="H169" s="135">
        <f t="shared" si="184"/>
        <v>6.0800000000000011E-6</v>
      </c>
      <c r="I169" s="148">
        <f>I165*0.15</f>
        <v>0.44999999999999996</v>
      </c>
      <c r="J169" s="151">
        <v>0</v>
      </c>
      <c r="K169" s="154"/>
      <c r="L169" s="155"/>
      <c r="M169" s="140" t="str">
        <f t="shared" si="180"/>
        <v>C120</v>
      </c>
      <c r="N169" s="140" t="str">
        <f t="shared" si="181"/>
        <v>Автоцистерна, нефть, попутный нефтяной газ, пластовая вода</v>
      </c>
      <c r="O169" s="140" t="str">
        <f t="shared" si="182"/>
        <v>Частичное-ликвидация</v>
      </c>
      <c r="P169" s="140" t="s">
        <v>46</v>
      </c>
      <c r="Q169" s="140" t="s">
        <v>46</v>
      </c>
      <c r="R169" s="140" t="s">
        <v>46</v>
      </c>
      <c r="S169" s="140" t="s">
        <v>46</v>
      </c>
      <c r="T169" s="140" t="s">
        <v>46</v>
      </c>
      <c r="U169" s="140" t="s">
        <v>46</v>
      </c>
      <c r="V169" s="140" t="s">
        <v>46</v>
      </c>
      <c r="W169" s="140" t="s">
        <v>46</v>
      </c>
      <c r="X169" s="140" t="s">
        <v>46</v>
      </c>
      <c r="Y169" s="140" t="s">
        <v>46</v>
      </c>
      <c r="Z169" s="140" t="s">
        <v>46</v>
      </c>
      <c r="AA169" s="140" t="s">
        <v>46</v>
      </c>
      <c r="AB169" s="140" t="s">
        <v>46</v>
      </c>
      <c r="AC169" s="140" t="s">
        <v>46</v>
      </c>
      <c r="AD169" s="140" t="s">
        <v>46</v>
      </c>
      <c r="AE169" s="140" t="s">
        <v>46</v>
      </c>
      <c r="AF169" s="140" t="s">
        <v>46</v>
      </c>
      <c r="AG169" s="140" t="s">
        <v>46</v>
      </c>
      <c r="AH169" s="140" t="s">
        <v>46</v>
      </c>
      <c r="AI169" s="140" t="s">
        <v>46</v>
      </c>
      <c r="AJ169" s="140">
        <v>0</v>
      </c>
      <c r="AK169" s="140">
        <v>0</v>
      </c>
      <c r="AL169" s="140">
        <f>0.1*$AL$2</f>
        <v>7.5000000000000011E-2</v>
      </c>
      <c r="AM169" s="140">
        <f>AM162</f>
        <v>2.7E-2</v>
      </c>
      <c r="AN169" s="140">
        <f>ROUNDUP(AN162/3,0)</f>
        <v>1</v>
      </c>
      <c r="AQ169" s="143">
        <f>AM169*I169*0.1+AL169</f>
        <v>7.6215000000000005E-2</v>
      </c>
      <c r="AR169" s="143">
        <f t="shared" si="185"/>
        <v>7.6215000000000007E-3</v>
      </c>
      <c r="AS169" s="144">
        <f t="shared" si="186"/>
        <v>0</v>
      </c>
      <c r="AT169" s="144">
        <f t="shared" si="187"/>
        <v>2.0959125000000002E-2</v>
      </c>
      <c r="AU169" s="143">
        <f>1333*J167*POWER(10,-6)</f>
        <v>5.9984999999999986E-4</v>
      </c>
      <c r="AV169" s="144">
        <f t="shared" si="183"/>
        <v>0.105395475</v>
      </c>
      <c r="AW169" s="145">
        <f t="shared" si="188"/>
        <v>0</v>
      </c>
      <c r="AX169" s="145">
        <f t="shared" si="189"/>
        <v>0</v>
      </c>
      <c r="AY169" s="145">
        <f t="shared" si="192"/>
        <v>6.4080448800000015E-7</v>
      </c>
      <c r="AZ169" s="297">
        <f>AW169/DB!$B$23</f>
        <v>0</v>
      </c>
      <c r="BA169" s="297">
        <f>AX169/DB!$B$23</f>
        <v>0</v>
      </c>
    </row>
    <row r="170" spans="1:53" s="140" customFormat="1" x14ac:dyDescent="0.3">
      <c r="A170" s="194" t="s">
        <v>848</v>
      </c>
      <c r="B170" s="194" t="str">
        <f>B162</f>
        <v>Автоцистерна, нефть, попутный нефтяной газ, пластовая вода</v>
      </c>
      <c r="C170" s="194" t="s">
        <v>341</v>
      </c>
      <c r="D170" s="194" t="s">
        <v>342</v>
      </c>
      <c r="E170" s="195">
        <v>2.5000000000000001E-5</v>
      </c>
      <c r="F170" s="147">
        <v>1</v>
      </c>
      <c r="G170" s="194">
        <v>1</v>
      </c>
      <c r="H170" s="196">
        <f t="shared" si="184"/>
        <v>2.5000000000000001E-5</v>
      </c>
      <c r="I170" s="197">
        <f>I162</f>
        <v>20</v>
      </c>
      <c r="J170" s="197">
        <f>J162*0.1</f>
        <v>2</v>
      </c>
      <c r="K170" s="194"/>
      <c r="L170" s="194"/>
      <c r="M170" s="198" t="str">
        <f t="shared" si="180"/>
        <v>C121</v>
      </c>
      <c r="N170" s="198"/>
      <c r="O170" s="198"/>
      <c r="P170" s="198">
        <v>10.9</v>
      </c>
      <c r="Q170" s="198">
        <v>15.3</v>
      </c>
      <c r="R170" s="198">
        <v>22.4</v>
      </c>
      <c r="S170" s="198">
        <v>43.4</v>
      </c>
      <c r="T170" s="198"/>
      <c r="U170" s="198"/>
      <c r="V170" s="198" t="s">
        <v>46</v>
      </c>
      <c r="W170" s="198" t="s">
        <v>46</v>
      </c>
      <c r="X170" s="198" t="s">
        <v>46</v>
      </c>
      <c r="Y170" s="198" t="s">
        <v>46</v>
      </c>
      <c r="Z170" s="198"/>
      <c r="AA170" s="198"/>
      <c r="AB170" s="198"/>
      <c r="AC170" s="198"/>
      <c r="AD170" s="198"/>
      <c r="AE170" s="198">
        <v>29.5</v>
      </c>
      <c r="AF170" s="198">
        <v>58</v>
      </c>
      <c r="AG170" s="198">
        <v>73.5</v>
      </c>
      <c r="AH170" s="198">
        <v>100</v>
      </c>
      <c r="AI170" s="198"/>
      <c r="AJ170" s="198">
        <v>0</v>
      </c>
      <c r="AK170" s="198">
        <v>2</v>
      </c>
      <c r="AL170" s="198">
        <f>AL162</f>
        <v>0.75</v>
      </c>
      <c r="AM170" s="198">
        <f>AM162</f>
        <v>2.7E-2</v>
      </c>
      <c r="AN170" s="198">
        <v>5</v>
      </c>
      <c r="AO170" s="198"/>
      <c r="AP170" s="198"/>
      <c r="AQ170" s="199">
        <f>AM170*I170+AL170</f>
        <v>1.29</v>
      </c>
      <c r="AR170" s="199">
        <f>0.1*AQ170</f>
        <v>0.129</v>
      </c>
      <c r="AS170" s="200">
        <f>AJ170*3+0.25*AK170</f>
        <v>0.5</v>
      </c>
      <c r="AT170" s="200">
        <f>SUM(AQ170:AS170)/4</f>
        <v>0.47975000000000001</v>
      </c>
      <c r="AU170" s="199">
        <f>10068.2*J170*POWER(10,-6)</f>
        <v>2.0136400000000002E-2</v>
      </c>
      <c r="AV170" s="200">
        <f t="shared" si="183"/>
        <v>2.4188863999999999</v>
      </c>
      <c r="AW170" s="201">
        <f>AJ170*H170</f>
        <v>0</v>
      </c>
      <c r="AX170" s="201">
        <f>H170*AK170</f>
        <v>5.0000000000000002E-5</v>
      </c>
      <c r="AY170" s="201">
        <f>H170*AV170</f>
        <v>6.0472159999999997E-5</v>
      </c>
      <c r="AZ170" s="297">
        <f>AW170/DB!$B$23</f>
        <v>0</v>
      </c>
      <c r="BA170" s="297">
        <f>AX170/DB!$B$23</f>
        <v>6.0240963855421685E-8</v>
      </c>
    </row>
    <row r="171" spans="1:53" s="334" customFormat="1" ht="15" thickBot="1" x14ac:dyDescent="0.35">
      <c r="A171" s="333"/>
      <c r="B171" s="333"/>
      <c r="C171" s="333"/>
      <c r="D171" s="333"/>
      <c r="E171" s="333"/>
      <c r="F171" s="333"/>
      <c r="G171" s="333"/>
      <c r="H171" s="333"/>
      <c r="I171" s="333"/>
      <c r="J171" s="333"/>
      <c r="K171" s="333"/>
      <c r="L171" s="333"/>
      <c r="M171" s="333"/>
      <c r="N171" s="333"/>
      <c r="O171" s="333"/>
      <c r="P171" s="333"/>
      <c r="Q171" s="333"/>
      <c r="R171" s="333"/>
      <c r="S171" s="333"/>
      <c r="T171" s="333"/>
      <c r="U171" s="333"/>
      <c r="V171" s="333"/>
      <c r="W171" s="333"/>
      <c r="X171" s="333"/>
      <c r="Y171" s="333"/>
      <c r="Z171" s="333"/>
      <c r="AA171" s="333"/>
      <c r="AB171" s="333"/>
      <c r="AC171" s="333"/>
      <c r="AD171" s="333"/>
      <c r="AE171" s="333"/>
      <c r="AF171" s="333"/>
      <c r="AG171" s="333"/>
      <c r="AH171" s="333"/>
      <c r="AI171" s="333"/>
      <c r="AJ171" s="333"/>
      <c r="AK171" s="333"/>
      <c r="AL171" s="333"/>
      <c r="AM171" s="333"/>
      <c r="AN171" s="333"/>
      <c r="AO171" s="333"/>
      <c r="AP171" s="333"/>
      <c r="AQ171" s="333"/>
      <c r="AR171" s="333"/>
      <c r="AS171" s="333"/>
      <c r="AT171" s="333"/>
      <c r="AU171" s="333"/>
      <c r="AV171" s="333"/>
      <c r="AW171" s="333"/>
      <c r="AX171" s="333"/>
      <c r="AY171" s="333"/>
    </row>
    <row r="172" spans="1:53" s="140" customFormat="1" ht="18" customHeight="1" x14ac:dyDescent="0.3">
      <c r="A172" s="131" t="s">
        <v>849</v>
      </c>
      <c r="B172" s="132" t="s">
        <v>727</v>
      </c>
      <c r="C172" s="13" t="s">
        <v>129</v>
      </c>
      <c r="D172" s="133" t="s">
        <v>243</v>
      </c>
      <c r="E172" s="134">
        <v>9.9999999999999995E-7</v>
      </c>
      <c r="F172" s="132">
        <v>2</v>
      </c>
      <c r="G172" s="131">
        <v>0.2</v>
      </c>
      <c r="H172" s="135">
        <f>E172*F172*G172</f>
        <v>3.9999999999999998E-7</v>
      </c>
      <c r="I172" s="136">
        <v>0.1</v>
      </c>
      <c r="J172" s="137">
        <f>I172</f>
        <v>0.1</v>
      </c>
      <c r="K172" s="138" t="s">
        <v>122</v>
      </c>
      <c r="L172" s="139">
        <v>0</v>
      </c>
      <c r="M172" s="140" t="str">
        <f t="shared" ref="M172:M179" si="193">A172</f>
        <v>C122</v>
      </c>
      <c r="N172" s="140" t="str">
        <f t="shared" ref="N172:N179" si="194">B172</f>
        <v>Газосепаратор С-1/1 (С-1/2), попутный нефтяной газ</v>
      </c>
      <c r="O172" s="140" t="str">
        <f t="shared" ref="O172:O179" si="195">D172</f>
        <v>Полное-факельное горение</v>
      </c>
      <c r="P172" s="140" t="s">
        <v>46</v>
      </c>
      <c r="Q172" s="140" t="s">
        <v>46</v>
      </c>
      <c r="R172" s="140" t="s">
        <v>46</v>
      </c>
      <c r="S172" s="140" t="s">
        <v>46</v>
      </c>
      <c r="T172" s="140" t="s">
        <v>46</v>
      </c>
      <c r="U172" s="140" t="s">
        <v>46</v>
      </c>
      <c r="V172" s="140" t="s">
        <v>46</v>
      </c>
      <c r="W172" s="140" t="s">
        <v>46</v>
      </c>
      <c r="X172" s="140" t="s">
        <v>46</v>
      </c>
      <c r="Y172" s="140">
        <v>44</v>
      </c>
      <c r="Z172" s="140">
        <v>7</v>
      </c>
      <c r="AA172" s="140" t="s">
        <v>46</v>
      </c>
      <c r="AB172" s="140" t="s">
        <v>46</v>
      </c>
      <c r="AC172" s="140" t="s">
        <v>46</v>
      </c>
      <c r="AD172" s="140" t="s">
        <v>46</v>
      </c>
      <c r="AE172" s="140" t="s">
        <v>46</v>
      </c>
      <c r="AF172" s="140" t="s">
        <v>46</v>
      </c>
      <c r="AG172" s="140" t="s">
        <v>46</v>
      </c>
      <c r="AH172" s="140" t="s">
        <v>46</v>
      </c>
      <c r="AI172" s="140" t="s">
        <v>46</v>
      </c>
      <c r="AJ172" s="141">
        <v>1</v>
      </c>
      <c r="AK172" s="141">
        <v>2</v>
      </c>
      <c r="AL172" s="142">
        <v>0.75</v>
      </c>
      <c r="AM172" s="142">
        <v>2.7E-2</v>
      </c>
      <c r="AN172" s="142">
        <v>3</v>
      </c>
      <c r="AQ172" s="143">
        <f>AM172*I172+AL172</f>
        <v>0.75270000000000004</v>
      </c>
      <c r="AR172" s="143">
        <f>0.1*AQ172</f>
        <v>7.5270000000000004E-2</v>
      </c>
      <c r="AS172" s="144">
        <f>AJ172*3+0.25*AK172</f>
        <v>3.5</v>
      </c>
      <c r="AT172" s="144">
        <f>SUM(AQ172:AS172)/4</f>
        <v>1.0819925000000001</v>
      </c>
      <c r="AU172" s="143">
        <f>10068.2*J172*POWER(10,-6)</f>
        <v>1.0068200000000001E-3</v>
      </c>
      <c r="AV172" s="144">
        <f t="shared" ref="AV172:AV179" si="196">AU172+AT172+AS172+AR172+AQ172</f>
        <v>5.4109693199999995</v>
      </c>
      <c r="AW172" s="145">
        <f>AJ172*H172</f>
        <v>3.9999999999999998E-7</v>
      </c>
      <c r="AX172" s="145">
        <f>H172*AK172</f>
        <v>7.9999999999999996E-7</v>
      </c>
      <c r="AY172" s="145">
        <f>H172*AV172</f>
        <v>2.1643877279999995E-6</v>
      </c>
      <c r="AZ172" s="297">
        <f>AW172/DB!$B$23</f>
        <v>4.8192771084337344E-10</v>
      </c>
      <c r="BA172" s="297">
        <f>AX172/DB!$B$23</f>
        <v>9.6385542168674688E-10</v>
      </c>
    </row>
    <row r="173" spans="1:53" s="140" customFormat="1" x14ac:dyDescent="0.3">
      <c r="A173" s="131" t="s">
        <v>850</v>
      </c>
      <c r="B173" s="131" t="str">
        <f>B172</f>
        <v>Газосепаратор С-1/1 (С-1/2), попутный нефтяной газ</v>
      </c>
      <c r="C173" s="13" t="s">
        <v>107</v>
      </c>
      <c r="D173" s="133" t="s">
        <v>28</v>
      </c>
      <c r="E173" s="146">
        <f>E172</f>
        <v>9.9999999999999995E-7</v>
      </c>
      <c r="F173" s="147">
        <f>F172</f>
        <v>2</v>
      </c>
      <c r="G173" s="131">
        <v>0.1152</v>
      </c>
      <c r="H173" s="135">
        <f t="shared" ref="H173:H179" si="197">E173*F173*G173</f>
        <v>2.3039999999999997E-7</v>
      </c>
      <c r="I173" s="148">
        <f>I172</f>
        <v>0.1</v>
      </c>
      <c r="J173" s="193">
        <f>0.1*I172</f>
        <v>1.0000000000000002E-2</v>
      </c>
      <c r="K173" s="149" t="s">
        <v>123</v>
      </c>
      <c r="L173" s="150">
        <v>0</v>
      </c>
      <c r="M173" s="140" t="str">
        <f t="shared" si="193"/>
        <v>C123</v>
      </c>
      <c r="N173" s="140" t="str">
        <f t="shared" si="194"/>
        <v>Газосепаратор С-1/1 (С-1/2), попутный нефтяной газ</v>
      </c>
      <c r="O173" s="140" t="str">
        <f t="shared" si="195"/>
        <v>Полное-взрыв</v>
      </c>
      <c r="P173" s="140" t="s">
        <v>46</v>
      </c>
      <c r="Q173" s="140" t="s">
        <v>46</v>
      </c>
      <c r="R173" s="140" t="s">
        <v>46</v>
      </c>
      <c r="S173" s="140" t="s">
        <v>46</v>
      </c>
      <c r="T173" s="140">
        <v>0</v>
      </c>
      <c r="U173" s="140">
        <v>0</v>
      </c>
      <c r="V173" s="140">
        <v>16.100000000000001</v>
      </c>
      <c r="W173" s="140">
        <v>54.6</v>
      </c>
      <c r="X173" s="140">
        <v>79.599999999999994</v>
      </c>
      <c r="Y173" s="140" t="s">
        <v>46</v>
      </c>
      <c r="Z173" s="140" t="s">
        <v>46</v>
      </c>
      <c r="AA173" s="140" t="s">
        <v>46</v>
      </c>
      <c r="AB173" s="140" t="s">
        <v>46</v>
      </c>
      <c r="AC173" s="140" t="s">
        <v>46</v>
      </c>
      <c r="AD173" s="140" t="s">
        <v>46</v>
      </c>
      <c r="AE173" s="140" t="s">
        <v>46</v>
      </c>
      <c r="AF173" s="140" t="s">
        <v>46</v>
      </c>
      <c r="AG173" s="140" t="s">
        <v>46</v>
      </c>
      <c r="AH173" s="140" t="s">
        <v>46</v>
      </c>
      <c r="AI173" s="140" t="s">
        <v>46</v>
      </c>
      <c r="AJ173" s="141">
        <v>1</v>
      </c>
      <c r="AK173" s="141">
        <v>2</v>
      </c>
      <c r="AL173" s="140">
        <f>AL172</f>
        <v>0.75</v>
      </c>
      <c r="AM173" s="140">
        <f>AM172</f>
        <v>2.7E-2</v>
      </c>
      <c r="AN173" s="140">
        <f>AN172</f>
        <v>3</v>
      </c>
      <c r="AQ173" s="143">
        <f>AM173*I173+AL173</f>
        <v>0.75270000000000004</v>
      </c>
      <c r="AR173" s="143">
        <f t="shared" ref="AR173:AR179" si="198">0.1*AQ173</f>
        <v>7.5270000000000004E-2</v>
      </c>
      <c r="AS173" s="144">
        <f t="shared" ref="AS173:AS179" si="199">AJ173*3+0.25*AK173</f>
        <v>3.5</v>
      </c>
      <c r="AT173" s="144">
        <f t="shared" ref="AT173:AT179" si="200">SUM(AQ173:AS173)/4</f>
        <v>1.0819925000000001</v>
      </c>
      <c r="AU173" s="143">
        <f>10068.2*J173*POWER(10,-6)*10</f>
        <v>1.0068200000000003E-3</v>
      </c>
      <c r="AV173" s="144">
        <f t="shared" si="196"/>
        <v>5.4109693199999995</v>
      </c>
      <c r="AW173" s="145">
        <f t="shared" ref="AW173:AW179" si="201">AJ173*H173</f>
        <v>2.3039999999999997E-7</v>
      </c>
      <c r="AX173" s="145">
        <f t="shared" ref="AX173:AX179" si="202">H173*AK173</f>
        <v>4.6079999999999994E-7</v>
      </c>
      <c r="AY173" s="145">
        <f t="shared" ref="AY173:AY179" si="203">H173*AV173</f>
        <v>1.2466873313279997E-6</v>
      </c>
      <c r="AZ173" s="297">
        <f>AW173/DB!$B$23</f>
        <v>2.7759036144578311E-10</v>
      </c>
      <c r="BA173" s="297">
        <f>AX173/DB!$B$23</f>
        <v>5.5518072289156621E-10</v>
      </c>
    </row>
    <row r="174" spans="1:53" s="140" customFormat="1" x14ac:dyDescent="0.3">
      <c r="A174" s="131" t="s">
        <v>851</v>
      </c>
      <c r="B174" s="131" t="str">
        <f>B172</f>
        <v>Газосепаратор С-1/1 (С-1/2), попутный нефтяной газ</v>
      </c>
      <c r="C174" s="13" t="s">
        <v>242</v>
      </c>
      <c r="D174" s="133" t="s">
        <v>241</v>
      </c>
      <c r="E174" s="146">
        <f>E172</f>
        <v>9.9999999999999995E-7</v>
      </c>
      <c r="F174" s="147">
        <f>F172</f>
        <v>2</v>
      </c>
      <c r="G174" s="131">
        <v>7.6799999999999993E-2</v>
      </c>
      <c r="H174" s="135">
        <f t="shared" si="197"/>
        <v>1.5359999999999997E-7</v>
      </c>
      <c r="I174" s="148">
        <f>I172</f>
        <v>0.1</v>
      </c>
      <c r="J174" s="137">
        <f>0.6*I172</f>
        <v>0.06</v>
      </c>
      <c r="K174" s="149" t="s">
        <v>124</v>
      </c>
      <c r="L174" s="150">
        <v>15</v>
      </c>
      <c r="M174" s="140" t="str">
        <f t="shared" si="193"/>
        <v>C124</v>
      </c>
      <c r="N174" s="140" t="str">
        <f t="shared" si="194"/>
        <v>Газосепаратор С-1/1 (С-1/2), попутный нефтяной газ</v>
      </c>
      <c r="O174" s="140" t="str">
        <f t="shared" si="195"/>
        <v>Полное-огненный шар</v>
      </c>
      <c r="P174" s="140" t="s">
        <v>46</v>
      </c>
      <c r="Q174" s="140" t="s">
        <v>46</v>
      </c>
      <c r="R174" s="140" t="s">
        <v>46</v>
      </c>
      <c r="S174" s="140" t="s">
        <v>46</v>
      </c>
      <c r="T174" s="140" t="s">
        <v>46</v>
      </c>
      <c r="U174" s="140" t="s">
        <v>46</v>
      </c>
      <c r="V174" s="140" t="s">
        <v>46</v>
      </c>
      <c r="W174" s="140" t="s">
        <v>46</v>
      </c>
      <c r="X174" s="140" t="s">
        <v>46</v>
      </c>
      <c r="Y174" s="140" t="s">
        <v>46</v>
      </c>
      <c r="Z174" s="140" t="s">
        <v>46</v>
      </c>
      <c r="AA174" s="140" t="s">
        <v>46</v>
      </c>
      <c r="AB174" s="140" t="s">
        <v>46</v>
      </c>
      <c r="AC174" s="140" t="s">
        <v>46</v>
      </c>
      <c r="AD174" s="140" t="s">
        <v>46</v>
      </c>
      <c r="AE174" s="140">
        <v>1</v>
      </c>
      <c r="AF174" s="140">
        <v>1</v>
      </c>
      <c r="AG174" s="140">
        <v>8.5</v>
      </c>
      <c r="AH174" s="140">
        <v>17.5</v>
      </c>
      <c r="AI174" s="140" t="s">
        <v>46</v>
      </c>
      <c r="AJ174" s="140">
        <v>0</v>
      </c>
      <c r="AK174" s="140">
        <v>0</v>
      </c>
      <c r="AL174" s="140">
        <f>AL172</f>
        <v>0.75</v>
      </c>
      <c r="AM174" s="140">
        <f>AM172</f>
        <v>2.7E-2</v>
      </c>
      <c r="AN174" s="140">
        <f>AN172</f>
        <v>3</v>
      </c>
      <c r="AQ174" s="143">
        <f>AM174*I174*0.1+AL174</f>
        <v>0.75026999999999999</v>
      </c>
      <c r="AR174" s="143">
        <f t="shared" si="198"/>
        <v>7.502700000000001E-2</v>
      </c>
      <c r="AS174" s="144">
        <f t="shared" si="199"/>
        <v>0</v>
      </c>
      <c r="AT174" s="144">
        <f t="shared" si="200"/>
        <v>0.20632424999999999</v>
      </c>
      <c r="AU174" s="143">
        <f>1333*J172*POWER(10,-6)</f>
        <v>1.3330000000000001E-4</v>
      </c>
      <c r="AV174" s="144">
        <f t="shared" si="196"/>
        <v>1.03175455</v>
      </c>
      <c r="AW174" s="145">
        <f t="shared" si="201"/>
        <v>0</v>
      </c>
      <c r="AX174" s="145">
        <f t="shared" si="202"/>
        <v>0</v>
      </c>
      <c r="AY174" s="145">
        <f t="shared" si="203"/>
        <v>1.5847749887999998E-7</v>
      </c>
      <c r="AZ174" s="297">
        <f>AW174/DB!$B$23</f>
        <v>0</v>
      </c>
      <c r="BA174" s="297">
        <f>AX174/DB!$B$23</f>
        <v>0</v>
      </c>
    </row>
    <row r="175" spans="1:53" s="140" customFormat="1" x14ac:dyDescent="0.3">
      <c r="A175" s="131" t="s">
        <v>852</v>
      </c>
      <c r="B175" s="131" t="str">
        <f>B172</f>
        <v>Газосепаратор С-1/1 (С-1/2), попутный нефтяной газ</v>
      </c>
      <c r="C175" s="13" t="s">
        <v>108</v>
      </c>
      <c r="D175" s="133" t="s">
        <v>26</v>
      </c>
      <c r="E175" s="146">
        <f>E172</f>
        <v>9.9999999999999995E-7</v>
      </c>
      <c r="F175" s="147">
        <f>F172</f>
        <v>2</v>
      </c>
      <c r="G175" s="131">
        <v>0.60799999999999998</v>
      </c>
      <c r="H175" s="135">
        <f t="shared" si="197"/>
        <v>1.2159999999999999E-6</v>
      </c>
      <c r="I175" s="148">
        <f>I172</f>
        <v>0.1</v>
      </c>
      <c r="J175" s="151">
        <v>0</v>
      </c>
      <c r="K175" s="149" t="s">
        <v>126</v>
      </c>
      <c r="L175" s="150">
        <v>45390</v>
      </c>
      <c r="M175" s="140" t="str">
        <f t="shared" si="193"/>
        <v>C125</v>
      </c>
      <c r="N175" s="140" t="str">
        <f t="shared" si="194"/>
        <v>Газосепаратор С-1/1 (С-1/2), попутный нефтяной газ</v>
      </c>
      <c r="O175" s="140" t="str">
        <f t="shared" si="195"/>
        <v>Полное-ликвидация</v>
      </c>
      <c r="P175" s="140" t="s">
        <v>46</v>
      </c>
      <c r="Q175" s="140" t="s">
        <v>46</v>
      </c>
      <c r="R175" s="140" t="s">
        <v>46</v>
      </c>
      <c r="S175" s="140" t="s">
        <v>46</v>
      </c>
      <c r="T175" s="140" t="s">
        <v>46</v>
      </c>
      <c r="U175" s="140" t="s">
        <v>46</v>
      </c>
      <c r="V175" s="140" t="s">
        <v>46</v>
      </c>
      <c r="W175" s="140" t="s">
        <v>46</v>
      </c>
      <c r="X175" s="140" t="s">
        <v>46</v>
      </c>
      <c r="Y175" s="140" t="s">
        <v>46</v>
      </c>
      <c r="Z175" s="140" t="s">
        <v>46</v>
      </c>
      <c r="AA175" s="140" t="s">
        <v>46</v>
      </c>
      <c r="AB175" s="140" t="s">
        <v>46</v>
      </c>
      <c r="AC175" s="140" t="s">
        <v>46</v>
      </c>
      <c r="AD175" s="140" t="s">
        <v>46</v>
      </c>
      <c r="AE175" s="140" t="s">
        <v>46</v>
      </c>
      <c r="AF175" s="140" t="s">
        <v>46</v>
      </c>
      <c r="AG175" s="140" t="s">
        <v>46</v>
      </c>
      <c r="AH175" s="140" t="s">
        <v>46</v>
      </c>
      <c r="AI175" s="140" t="s">
        <v>46</v>
      </c>
      <c r="AJ175" s="140">
        <v>0</v>
      </c>
      <c r="AK175" s="140">
        <v>0</v>
      </c>
      <c r="AL175" s="140">
        <f>AL172</f>
        <v>0.75</v>
      </c>
      <c r="AM175" s="140">
        <f>AM172</f>
        <v>2.7E-2</v>
      </c>
      <c r="AN175" s="140">
        <f>AN172</f>
        <v>3</v>
      </c>
      <c r="AQ175" s="143">
        <f>AM175*I175*0.1+AL175</f>
        <v>0.75026999999999999</v>
      </c>
      <c r="AR175" s="143">
        <f t="shared" si="198"/>
        <v>7.502700000000001E-2</v>
      </c>
      <c r="AS175" s="144">
        <f t="shared" si="199"/>
        <v>0</v>
      </c>
      <c r="AT175" s="144">
        <f t="shared" si="200"/>
        <v>0.20632424999999999</v>
      </c>
      <c r="AU175" s="143">
        <f>1333*J173*POWER(10,-6)</f>
        <v>1.3330000000000001E-5</v>
      </c>
      <c r="AV175" s="144">
        <f t="shared" si="196"/>
        <v>1.03163458</v>
      </c>
      <c r="AW175" s="145">
        <f t="shared" si="201"/>
        <v>0</v>
      </c>
      <c r="AX175" s="145">
        <f t="shared" si="202"/>
        <v>0</v>
      </c>
      <c r="AY175" s="145">
        <f t="shared" si="203"/>
        <v>1.2544676492799997E-6</v>
      </c>
      <c r="AZ175" s="297">
        <f>AW175/DB!$B$23</f>
        <v>0</v>
      </c>
      <c r="BA175" s="297">
        <f>AX175/DB!$B$23</f>
        <v>0</v>
      </c>
    </row>
    <row r="176" spans="1:53" s="140" customFormat="1" x14ac:dyDescent="0.3">
      <c r="A176" s="131" t="s">
        <v>853</v>
      </c>
      <c r="B176" s="131" t="str">
        <f>B172</f>
        <v>Газосепаратор С-1/1 (С-1/2), попутный нефтяной газ</v>
      </c>
      <c r="C176" s="13" t="s">
        <v>133</v>
      </c>
      <c r="D176" s="133" t="s">
        <v>134</v>
      </c>
      <c r="E176" s="134">
        <v>1.0000000000000001E-5</v>
      </c>
      <c r="F176" s="147">
        <f>F172</f>
        <v>2</v>
      </c>
      <c r="G176" s="131">
        <v>3.5000000000000003E-2</v>
      </c>
      <c r="H176" s="135">
        <f t="shared" si="197"/>
        <v>7.0000000000000007E-7</v>
      </c>
      <c r="I176" s="148">
        <f>0.15*I172</f>
        <v>1.4999999999999999E-2</v>
      </c>
      <c r="J176" s="137">
        <f>I176</f>
        <v>1.4999999999999999E-2</v>
      </c>
      <c r="K176" s="149" t="s">
        <v>127</v>
      </c>
      <c r="L176" s="150">
        <v>3</v>
      </c>
      <c r="M176" s="140" t="str">
        <f t="shared" si="193"/>
        <v>C126</v>
      </c>
      <c r="N176" s="140" t="str">
        <f t="shared" si="194"/>
        <v>Газосепаратор С-1/1 (С-1/2), попутный нефтяной газ</v>
      </c>
      <c r="O176" s="140" t="str">
        <f t="shared" si="195"/>
        <v>Частичное-факел</v>
      </c>
      <c r="P176" s="140" t="s">
        <v>46</v>
      </c>
      <c r="Q176" s="140" t="s">
        <v>46</v>
      </c>
      <c r="R176" s="140" t="s">
        <v>46</v>
      </c>
      <c r="S176" s="140" t="s">
        <v>46</v>
      </c>
      <c r="T176" s="140" t="s">
        <v>46</v>
      </c>
      <c r="U176" s="140" t="s">
        <v>46</v>
      </c>
      <c r="V176" s="140" t="s">
        <v>46</v>
      </c>
      <c r="W176" s="140" t="s">
        <v>46</v>
      </c>
      <c r="X176" s="140" t="s">
        <v>46</v>
      </c>
      <c r="Y176" s="140">
        <v>28</v>
      </c>
      <c r="Z176" s="140">
        <v>5</v>
      </c>
      <c r="AA176" s="140" t="s">
        <v>46</v>
      </c>
      <c r="AB176" s="140" t="s">
        <v>46</v>
      </c>
      <c r="AC176" s="140" t="s">
        <v>46</v>
      </c>
      <c r="AD176" s="140" t="s">
        <v>46</v>
      </c>
      <c r="AE176" s="140" t="s">
        <v>46</v>
      </c>
      <c r="AF176" s="140" t="s">
        <v>46</v>
      </c>
      <c r="AG176" s="140" t="s">
        <v>46</v>
      </c>
      <c r="AH176" s="140" t="s">
        <v>46</v>
      </c>
      <c r="AI176" s="140" t="s">
        <v>46</v>
      </c>
      <c r="AJ176" s="140">
        <v>0</v>
      </c>
      <c r="AK176" s="140">
        <v>2</v>
      </c>
      <c r="AL176" s="140">
        <f>0.1*$AL$2</f>
        <v>7.5000000000000011E-2</v>
      </c>
      <c r="AM176" s="140">
        <f>AM172</f>
        <v>2.7E-2</v>
      </c>
      <c r="AN176" s="140">
        <f>ROUNDUP(AN172/3,0)</f>
        <v>1</v>
      </c>
      <c r="AQ176" s="143">
        <f>AM176*I176+AL176</f>
        <v>7.5405000000000014E-2</v>
      </c>
      <c r="AR176" s="143">
        <f t="shared" si="198"/>
        <v>7.5405000000000021E-3</v>
      </c>
      <c r="AS176" s="144">
        <f t="shared" si="199"/>
        <v>0.5</v>
      </c>
      <c r="AT176" s="144">
        <f t="shared" si="200"/>
        <v>0.145736375</v>
      </c>
      <c r="AU176" s="143">
        <f>10068.2*J176*POWER(10,-6)</f>
        <v>1.5102299999999999E-4</v>
      </c>
      <c r="AV176" s="144">
        <f t="shared" si="196"/>
        <v>0.72883289799999995</v>
      </c>
      <c r="AW176" s="145">
        <f t="shared" si="201"/>
        <v>0</v>
      </c>
      <c r="AX176" s="145">
        <f t="shared" si="202"/>
        <v>1.4000000000000001E-6</v>
      </c>
      <c r="AY176" s="145">
        <f t="shared" si="203"/>
        <v>5.1018302859999998E-7</v>
      </c>
      <c r="AZ176" s="297">
        <f>AW176/DB!$B$23</f>
        <v>0</v>
      </c>
      <c r="BA176" s="297">
        <f>AX176/DB!$B$23</f>
        <v>1.6867469879518074E-9</v>
      </c>
    </row>
    <row r="177" spans="1:53" s="140" customFormat="1" x14ac:dyDescent="0.3">
      <c r="A177" s="131" t="s">
        <v>854</v>
      </c>
      <c r="B177" s="131" t="str">
        <f>B172</f>
        <v>Газосепаратор С-1/1 (С-1/2), попутный нефтяной газ</v>
      </c>
      <c r="C177" s="13" t="s">
        <v>135</v>
      </c>
      <c r="D177" s="133" t="s">
        <v>136</v>
      </c>
      <c r="E177" s="146">
        <f>E176</f>
        <v>1.0000000000000001E-5</v>
      </c>
      <c r="F177" s="147">
        <v>1</v>
      </c>
      <c r="G177" s="131">
        <v>8.3000000000000001E-3</v>
      </c>
      <c r="H177" s="135">
        <f t="shared" si="197"/>
        <v>8.3000000000000002E-8</v>
      </c>
      <c r="I177" s="148">
        <f>I176</f>
        <v>1.4999999999999999E-2</v>
      </c>
      <c r="J177" s="137">
        <v>0.01</v>
      </c>
      <c r="K177" s="152" t="s">
        <v>138</v>
      </c>
      <c r="L177" s="153">
        <v>19</v>
      </c>
      <c r="M177" s="140" t="str">
        <f t="shared" si="193"/>
        <v>C127</v>
      </c>
      <c r="N177" s="140" t="str">
        <f t="shared" si="194"/>
        <v>Газосепаратор С-1/1 (С-1/2), попутный нефтяной газ</v>
      </c>
      <c r="O177" s="140" t="str">
        <f t="shared" si="195"/>
        <v>Частичное-взрыв</v>
      </c>
      <c r="P177" s="140" t="s">
        <v>46</v>
      </c>
      <c r="Q177" s="140" t="s">
        <v>46</v>
      </c>
      <c r="R177" s="140" t="s">
        <v>46</v>
      </c>
      <c r="S177" s="140" t="s">
        <v>46</v>
      </c>
      <c r="T177" s="140">
        <v>0</v>
      </c>
      <c r="U177" s="140">
        <v>0</v>
      </c>
      <c r="V177" s="140">
        <v>16.100000000000001</v>
      </c>
      <c r="W177" s="140">
        <v>54.6</v>
      </c>
      <c r="X177" s="140">
        <v>79.599999999999994</v>
      </c>
      <c r="Y177" s="140" t="s">
        <v>46</v>
      </c>
      <c r="Z177" s="140" t="s">
        <v>46</v>
      </c>
      <c r="AA177" s="140" t="s">
        <v>46</v>
      </c>
      <c r="AB177" s="140" t="s">
        <v>46</v>
      </c>
      <c r="AC177" s="140" t="s">
        <v>46</v>
      </c>
      <c r="AD177" s="140" t="s">
        <v>46</v>
      </c>
      <c r="AE177" s="140" t="s">
        <v>46</v>
      </c>
      <c r="AF177" s="140" t="s">
        <v>46</v>
      </c>
      <c r="AG177" s="140" t="s">
        <v>46</v>
      </c>
      <c r="AH177" s="140" t="s">
        <v>46</v>
      </c>
      <c r="AI177" s="140" t="s">
        <v>46</v>
      </c>
      <c r="AJ177" s="140">
        <v>0</v>
      </c>
      <c r="AK177" s="140">
        <v>1</v>
      </c>
      <c r="AL177" s="140">
        <f>0.1*$AL$2</f>
        <v>7.5000000000000011E-2</v>
      </c>
      <c r="AM177" s="140">
        <f>AM172</f>
        <v>2.7E-2</v>
      </c>
      <c r="AN177" s="140">
        <f>AN176</f>
        <v>1</v>
      </c>
      <c r="AQ177" s="143">
        <f>AM177*I177+AL177</f>
        <v>7.5405000000000014E-2</v>
      </c>
      <c r="AR177" s="143">
        <f t="shared" si="198"/>
        <v>7.5405000000000021E-3</v>
      </c>
      <c r="AS177" s="144">
        <f t="shared" si="199"/>
        <v>0.25</v>
      </c>
      <c r="AT177" s="144">
        <f t="shared" si="200"/>
        <v>8.3236375000000001E-2</v>
      </c>
      <c r="AU177" s="143">
        <f>10068.2*J177*POWER(10,-6)*10</f>
        <v>1.0068200000000001E-3</v>
      </c>
      <c r="AV177" s="144">
        <f t="shared" si="196"/>
        <v>0.417188695</v>
      </c>
      <c r="AW177" s="145">
        <f t="shared" si="201"/>
        <v>0</v>
      </c>
      <c r="AX177" s="145">
        <f t="shared" si="202"/>
        <v>8.3000000000000002E-8</v>
      </c>
      <c r="AY177" s="145">
        <f t="shared" si="203"/>
        <v>3.4626661685000002E-8</v>
      </c>
      <c r="AZ177" s="297">
        <f>AW177/DB!$B$23</f>
        <v>0</v>
      </c>
      <c r="BA177" s="297">
        <f>AX177/DB!$B$23</f>
        <v>1E-10</v>
      </c>
    </row>
    <row r="178" spans="1:53" s="140" customFormat="1" x14ac:dyDescent="0.3">
      <c r="A178" s="131" t="s">
        <v>855</v>
      </c>
      <c r="B178" s="131" t="str">
        <f>B172</f>
        <v>Газосепаратор С-1/1 (С-1/2), попутный нефтяной газ</v>
      </c>
      <c r="C178" s="13" t="s">
        <v>110</v>
      </c>
      <c r="D178" s="133" t="s">
        <v>112</v>
      </c>
      <c r="E178" s="146">
        <f>E176</f>
        <v>1.0000000000000001E-5</v>
      </c>
      <c r="F178" s="147">
        <f>F172</f>
        <v>2</v>
      </c>
      <c r="G178" s="131">
        <v>2.64E-2</v>
      </c>
      <c r="H178" s="135">
        <f t="shared" si="197"/>
        <v>5.2800000000000007E-7</v>
      </c>
      <c r="I178" s="148">
        <f>0.15*I172</f>
        <v>1.4999999999999999E-2</v>
      </c>
      <c r="J178" s="137">
        <f>J174*0.15</f>
        <v>8.9999999999999993E-3</v>
      </c>
      <c r="K178" s="207" t="s">
        <v>468</v>
      </c>
      <c r="L178" s="295" t="s">
        <v>726</v>
      </c>
      <c r="M178" s="140" t="str">
        <f t="shared" si="193"/>
        <v>C128</v>
      </c>
      <c r="N178" s="140" t="str">
        <f t="shared" si="194"/>
        <v>Газосепаратор С-1/1 (С-1/2), попутный нефтяной газ</v>
      </c>
      <c r="O178" s="140" t="str">
        <f t="shared" si="195"/>
        <v>Частичное-пожар-вспышка</v>
      </c>
      <c r="P178" s="140" t="s">
        <v>46</v>
      </c>
      <c r="Q178" s="140" t="s">
        <v>46</v>
      </c>
      <c r="R178" s="140" t="s">
        <v>46</v>
      </c>
      <c r="S178" s="140" t="s">
        <v>46</v>
      </c>
      <c r="T178" s="140" t="s">
        <v>46</v>
      </c>
      <c r="U178" s="140" t="s">
        <v>46</v>
      </c>
      <c r="V178" s="140" t="s">
        <v>46</v>
      </c>
      <c r="W178" s="140" t="s">
        <v>46</v>
      </c>
      <c r="X178" s="140" t="s">
        <v>46</v>
      </c>
      <c r="Y178" s="140" t="s">
        <v>46</v>
      </c>
      <c r="Z178" s="140" t="s">
        <v>46</v>
      </c>
      <c r="AA178" s="140">
        <v>7.08</v>
      </c>
      <c r="AB178" s="140">
        <v>8.5</v>
      </c>
      <c r="AC178" s="140" t="s">
        <v>46</v>
      </c>
      <c r="AD178" s="140" t="s">
        <v>46</v>
      </c>
      <c r="AE178" s="140" t="s">
        <v>46</v>
      </c>
      <c r="AF178" s="140" t="s">
        <v>46</v>
      </c>
      <c r="AG178" s="140" t="s">
        <v>46</v>
      </c>
      <c r="AH178" s="140" t="s">
        <v>46</v>
      </c>
      <c r="AI178" s="140" t="s">
        <v>46</v>
      </c>
      <c r="AJ178" s="140">
        <v>0</v>
      </c>
      <c r="AK178" s="140">
        <v>1</v>
      </c>
      <c r="AL178" s="140">
        <f>0.1*$AL$2</f>
        <v>7.5000000000000011E-2</v>
      </c>
      <c r="AM178" s="140">
        <f>AM172</f>
        <v>2.7E-2</v>
      </c>
      <c r="AN178" s="140">
        <f>ROUNDUP(AN172/3,0)</f>
        <v>1</v>
      </c>
      <c r="AQ178" s="143">
        <f>AM178*I178+AL178</f>
        <v>7.5405000000000014E-2</v>
      </c>
      <c r="AR178" s="143">
        <f t="shared" si="198"/>
        <v>7.5405000000000021E-3</v>
      </c>
      <c r="AS178" s="144">
        <f t="shared" si="199"/>
        <v>0.25</v>
      </c>
      <c r="AT178" s="144">
        <f t="shared" si="200"/>
        <v>8.3236375000000001E-2</v>
      </c>
      <c r="AU178" s="143">
        <f>10068.2*J178*POWER(10,-6)*10</f>
        <v>9.0613799999999991E-4</v>
      </c>
      <c r="AV178" s="144">
        <f t="shared" si="196"/>
        <v>0.41708801299999998</v>
      </c>
      <c r="AW178" s="145">
        <f t="shared" si="201"/>
        <v>0</v>
      </c>
      <c r="AX178" s="145">
        <f t="shared" si="202"/>
        <v>5.2800000000000007E-7</v>
      </c>
      <c r="AY178" s="145">
        <f t="shared" si="203"/>
        <v>2.2022247086400001E-7</v>
      </c>
      <c r="AZ178" s="297">
        <f>AW178/DB!$B$23</f>
        <v>0</v>
      </c>
      <c r="BA178" s="297">
        <f>AX178/DB!$B$23</f>
        <v>6.3614457831325307E-10</v>
      </c>
    </row>
    <row r="179" spans="1:53" s="140" customFormat="1" ht="15" thickBot="1" x14ac:dyDescent="0.35">
      <c r="A179" s="131" t="s">
        <v>856</v>
      </c>
      <c r="B179" s="131" t="str">
        <f>B172</f>
        <v>Газосепаратор С-1/1 (С-1/2), попутный нефтяной газ</v>
      </c>
      <c r="C179" s="13" t="s">
        <v>111</v>
      </c>
      <c r="D179" s="133" t="s">
        <v>27</v>
      </c>
      <c r="E179" s="146">
        <f>E176</f>
        <v>1.0000000000000001E-5</v>
      </c>
      <c r="F179" s="147">
        <f>F172</f>
        <v>2</v>
      </c>
      <c r="G179" s="131">
        <v>0.93030000000000002</v>
      </c>
      <c r="H179" s="135">
        <f t="shared" si="197"/>
        <v>1.8606000000000001E-5</v>
      </c>
      <c r="I179" s="148">
        <f>0.15*I172</f>
        <v>1.4999999999999999E-2</v>
      </c>
      <c r="J179" s="151">
        <v>0</v>
      </c>
      <c r="K179" s="154"/>
      <c r="L179" s="155"/>
      <c r="M179" s="140" t="str">
        <f t="shared" si="193"/>
        <v>C129</v>
      </c>
      <c r="N179" s="140" t="str">
        <f t="shared" si="194"/>
        <v>Газосепаратор С-1/1 (С-1/2), попутный нефтяной газ</v>
      </c>
      <c r="O179" s="140" t="str">
        <f t="shared" si="195"/>
        <v>Частичное-ликвидация</v>
      </c>
      <c r="P179" s="140" t="s">
        <v>46</v>
      </c>
      <c r="Q179" s="140" t="s">
        <v>46</v>
      </c>
      <c r="R179" s="140" t="s">
        <v>46</v>
      </c>
      <c r="S179" s="140" t="s">
        <v>46</v>
      </c>
      <c r="T179" s="140" t="s">
        <v>46</v>
      </c>
      <c r="U179" s="140" t="s">
        <v>46</v>
      </c>
      <c r="V179" s="140" t="s">
        <v>46</v>
      </c>
      <c r="W179" s="140" t="s">
        <v>46</v>
      </c>
      <c r="X179" s="140" t="s">
        <v>46</v>
      </c>
      <c r="Y179" s="140" t="s">
        <v>46</v>
      </c>
      <c r="Z179" s="140" t="s">
        <v>46</v>
      </c>
      <c r="AA179" s="140" t="s">
        <v>46</v>
      </c>
      <c r="AB179" s="140" t="s">
        <v>46</v>
      </c>
      <c r="AC179" s="140" t="s">
        <v>46</v>
      </c>
      <c r="AD179" s="140" t="s">
        <v>46</v>
      </c>
      <c r="AE179" s="140" t="s">
        <v>46</v>
      </c>
      <c r="AF179" s="140" t="s">
        <v>46</v>
      </c>
      <c r="AG179" s="140" t="s">
        <v>46</v>
      </c>
      <c r="AH179" s="140" t="s">
        <v>46</v>
      </c>
      <c r="AI179" s="140" t="s">
        <v>46</v>
      </c>
      <c r="AJ179" s="140">
        <v>0</v>
      </c>
      <c r="AK179" s="140">
        <v>0</v>
      </c>
      <c r="AL179" s="140">
        <f>0.1*$AL$2</f>
        <v>7.5000000000000011E-2</v>
      </c>
      <c r="AM179" s="140">
        <f>AM172</f>
        <v>2.7E-2</v>
      </c>
      <c r="AN179" s="140">
        <f>ROUNDUP(AN172/3,0)</f>
        <v>1</v>
      </c>
      <c r="AQ179" s="143">
        <f>AM179*I179*0.1+AL179</f>
        <v>7.504050000000001E-2</v>
      </c>
      <c r="AR179" s="143">
        <f t="shared" si="198"/>
        <v>7.5040500000000017E-3</v>
      </c>
      <c r="AS179" s="144">
        <f t="shared" si="199"/>
        <v>0</v>
      </c>
      <c r="AT179" s="144">
        <f t="shared" si="200"/>
        <v>2.0636137500000002E-2</v>
      </c>
      <c r="AU179" s="143">
        <f>1333*J178*POWER(10,-6)</f>
        <v>1.1996999999999999E-5</v>
      </c>
      <c r="AV179" s="144">
        <f t="shared" si="196"/>
        <v>0.10319268450000002</v>
      </c>
      <c r="AW179" s="145">
        <f t="shared" si="201"/>
        <v>0</v>
      </c>
      <c r="AX179" s="145">
        <f t="shared" si="202"/>
        <v>0</v>
      </c>
      <c r="AY179" s="145">
        <f t="shared" si="203"/>
        <v>1.9200030878070006E-6</v>
      </c>
      <c r="AZ179" s="297">
        <f>AW179/DB!$B$23</f>
        <v>0</v>
      </c>
      <c r="BA179" s="297">
        <f>AX179/DB!$B$23</f>
        <v>0</v>
      </c>
    </row>
    <row r="180" spans="1:53" s="140" customFormat="1" x14ac:dyDescent="0.3">
      <c r="A180" s="131"/>
      <c r="B180" s="194"/>
      <c r="C180" s="194"/>
      <c r="D180" s="194"/>
      <c r="E180" s="195"/>
      <c r="F180" s="147"/>
      <c r="G180" s="194"/>
      <c r="H180" s="196"/>
      <c r="I180" s="197"/>
      <c r="J180" s="197"/>
      <c r="K180" s="194"/>
      <c r="L180" s="194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  <c r="X180" s="198"/>
      <c r="Y180" s="198"/>
      <c r="Z180" s="198"/>
      <c r="AA180" s="198"/>
      <c r="AB180" s="198"/>
      <c r="AC180" s="198"/>
      <c r="AD180" s="198"/>
      <c r="AE180" s="198"/>
      <c r="AF180" s="198"/>
      <c r="AG180" s="198"/>
      <c r="AH180" s="198"/>
      <c r="AI180" s="198"/>
      <c r="AJ180" s="198"/>
      <c r="AK180" s="198"/>
      <c r="AL180" s="198"/>
      <c r="AM180" s="198"/>
      <c r="AN180" s="198"/>
      <c r="AO180" s="198"/>
      <c r="AP180" s="198"/>
      <c r="AQ180" s="199"/>
      <c r="AR180" s="199"/>
      <c r="AS180" s="200"/>
      <c r="AT180" s="200"/>
      <c r="AU180" s="199"/>
      <c r="AV180" s="200"/>
      <c r="AW180" s="201"/>
      <c r="AX180" s="201"/>
      <c r="AY180" s="201"/>
      <c r="AZ180" s="297"/>
      <c r="BA180" s="297"/>
    </row>
    <row r="181" spans="1:53" ht="15" thickBot="1" x14ac:dyDescent="0.35"/>
    <row r="182" spans="1:53" s="140" customFormat="1" ht="18" customHeight="1" x14ac:dyDescent="0.3">
      <c r="A182" s="131" t="s">
        <v>857</v>
      </c>
      <c r="B182" s="132" t="s">
        <v>728</v>
      </c>
      <c r="C182" s="13" t="s">
        <v>129</v>
      </c>
      <c r="D182" s="133" t="s">
        <v>243</v>
      </c>
      <c r="E182" s="134">
        <v>9.9999999999999995E-7</v>
      </c>
      <c r="F182" s="132">
        <v>2</v>
      </c>
      <c r="G182" s="131">
        <v>0.2</v>
      </c>
      <c r="H182" s="135">
        <f>E182*F182*G182</f>
        <v>3.9999999999999998E-7</v>
      </c>
      <c r="I182" s="136">
        <v>0.1</v>
      </c>
      <c r="J182" s="137">
        <f>I182</f>
        <v>0.1</v>
      </c>
      <c r="K182" s="138" t="s">
        <v>122</v>
      </c>
      <c r="L182" s="139">
        <v>0</v>
      </c>
      <c r="M182" s="140" t="str">
        <f t="shared" ref="M182:M189" si="204">A182</f>
        <v>C130</v>
      </c>
      <c r="N182" s="140" t="str">
        <f t="shared" ref="N182:N189" si="205">B182</f>
        <v>Газосепаратор С-2/1 (С-2/2), попутный нефтяной газ</v>
      </c>
      <c r="O182" s="140" t="str">
        <f t="shared" ref="O182:O189" si="206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0.75270000000000004</v>
      </c>
      <c r="AR182" s="143">
        <f>0.1*AQ182</f>
        <v>7.5270000000000004E-2</v>
      </c>
      <c r="AS182" s="144">
        <f>AJ182*3+0.25*AK182</f>
        <v>3.5</v>
      </c>
      <c r="AT182" s="144">
        <f>SUM(AQ182:AS182)/4</f>
        <v>1.0819925000000001</v>
      </c>
      <c r="AU182" s="143">
        <f>10068.2*J182*POWER(10,-6)</f>
        <v>1.0068200000000001E-3</v>
      </c>
      <c r="AV182" s="144">
        <f t="shared" ref="AV182:AV189" si="207">AU182+AT182+AS182+AR182+AQ182</f>
        <v>5.4109693199999995</v>
      </c>
      <c r="AW182" s="145">
        <f>AJ182*H182</f>
        <v>3.9999999999999998E-7</v>
      </c>
      <c r="AX182" s="145">
        <f>H182*AK182</f>
        <v>7.9999999999999996E-7</v>
      </c>
      <c r="AY182" s="145">
        <f>H182*AV182</f>
        <v>2.1643877279999995E-6</v>
      </c>
      <c r="AZ182" s="297">
        <f>AW182/DB!$B$23</f>
        <v>4.8192771084337344E-10</v>
      </c>
      <c r="BA182" s="297">
        <f>AX182/DB!$B$23</f>
        <v>9.6385542168674688E-10</v>
      </c>
    </row>
    <row r="183" spans="1:53" s="140" customFormat="1" x14ac:dyDescent="0.3">
      <c r="A183" s="131" t="s">
        <v>858</v>
      </c>
      <c r="B183" s="131" t="str">
        <f>B182</f>
        <v>Газосепаратор С-2/1 (С-2/2), попутный нефтяной газ</v>
      </c>
      <c r="C183" s="13" t="s">
        <v>107</v>
      </c>
      <c r="D183" s="133" t="s">
        <v>28</v>
      </c>
      <c r="E183" s="146">
        <f>E182</f>
        <v>9.9999999999999995E-7</v>
      </c>
      <c r="F183" s="147">
        <f>F182</f>
        <v>2</v>
      </c>
      <c r="G183" s="131">
        <v>0.1152</v>
      </c>
      <c r="H183" s="135">
        <f t="shared" ref="H183:H189" si="208">E183*F183*G183</f>
        <v>2.3039999999999997E-7</v>
      </c>
      <c r="I183" s="148">
        <f>I182</f>
        <v>0.1</v>
      </c>
      <c r="J183" s="193">
        <f>0.1*I182</f>
        <v>1.0000000000000002E-2</v>
      </c>
      <c r="K183" s="149" t="s">
        <v>123</v>
      </c>
      <c r="L183" s="150">
        <v>0</v>
      </c>
      <c r="M183" s="140" t="str">
        <f t="shared" si="204"/>
        <v>C131</v>
      </c>
      <c r="N183" s="140" t="str">
        <f t="shared" si="205"/>
        <v>Газосепаратор С-2/1 (С-2/2), попутный нефтяной газ</v>
      </c>
      <c r="O183" s="140" t="str">
        <f t="shared" si="206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16.100000000000001</v>
      </c>
      <c r="W183" s="140">
        <v>54.6</v>
      </c>
      <c r="X183" s="140">
        <v>79.599999999999994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1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0.75270000000000004</v>
      </c>
      <c r="AR183" s="143">
        <f t="shared" ref="AR183:AR189" si="209">0.1*AQ183</f>
        <v>7.5270000000000004E-2</v>
      </c>
      <c r="AS183" s="144">
        <f t="shared" ref="AS183:AS189" si="210">AJ183*3+0.25*AK183</f>
        <v>3.5</v>
      </c>
      <c r="AT183" s="144">
        <f t="shared" ref="AT183:AT189" si="211">SUM(AQ183:AS183)/4</f>
        <v>1.0819925000000001</v>
      </c>
      <c r="AU183" s="143">
        <f>10068.2*J183*POWER(10,-6)*10</f>
        <v>1.0068200000000003E-3</v>
      </c>
      <c r="AV183" s="144">
        <f t="shared" si="207"/>
        <v>5.4109693199999995</v>
      </c>
      <c r="AW183" s="145">
        <f t="shared" ref="AW183:AW189" si="212">AJ183*H183</f>
        <v>2.3039999999999997E-7</v>
      </c>
      <c r="AX183" s="145">
        <f t="shared" ref="AX183:AX189" si="213">H183*AK183</f>
        <v>4.6079999999999994E-7</v>
      </c>
      <c r="AY183" s="145">
        <f t="shared" ref="AY183:AY189" si="214">H183*AV183</f>
        <v>1.2466873313279997E-6</v>
      </c>
      <c r="AZ183" s="297">
        <f>AW183/DB!$B$23</f>
        <v>2.7759036144578311E-10</v>
      </c>
      <c r="BA183" s="297">
        <f>AX183/DB!$B$23</f>
        <v>5.5518072289156621E-10</v>
      </c>
    </row>
    <row r="184" spans="1:53" s="140" customFormat="1" x14ac:dyDescent="0.3">
      <c r="A184" s="131" t="s">
        <v>859</v>
      </c>
      <c r="B184" s="131" t="str">
        <f>B182</f>
        <v>Газосепаратор С-2/1 (С-2/2), попутный нефтяной газ</v>
      </c>
      <c r="C184" s="13" t="s">
        <v>242</v>
      </c>
      <c r="D184" s="133" t="s">
        <v>241</v>
      </c>
      <c r="E184" s="146">
        <f>E182</f>
        <v>9.9999999999999995E-7</v>
      </c>
      <c r="F184" s="147">
        <f>F182</f>
        <v>2</v>
      </c>
      <c r="G184" s="131">
        <v>7.6799999999999993E-2</v>
      </c>
      <c r="H184" s="135">
        <f t="shared" si="208"/>
        <v>1.5359999999999997E-7</v>
      </c>
      <c r="I184" s="148">
        <f>I182</f>
        <v>0.1</v>
      </c>
      <c r="J184" s="137">
        <f>0.6*I182</f>
        <v>0.06</v>
      </c>
      <c r="K184" s="149" t="s">
        <v>124</v>
      </c>
      <c r="L184" s="150">
        <v>15</v>
      </c>
      <c r="M184" s="140" t="str">
        <f t="shared" si="204"/>
        <v>C132</v>
      </c>
      <c r="N184" s="140" t="str">
        <f t="shared" si="205"/>
        <v>Газосепаратор С-2/1 (С-2/2), попутный нефтяной газ</v>
      </c>
      <c r="O184" s="140" t="str">
        <f t="shared" si="206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1</v>
      </c>
      <c r="AG184" s="140">
        <v>8.5</v>
      </c>
      <c r="AH184" s="140">
        <v>17.5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0.75026999999999999</v>
      </c>
      <c r="AR184" s="143">
        <f t="shared" si="209"/>
        <v>7.502700000000001E-2</v>
      </c>
      <c r="AS184" s="144">
        <f t="shared" si="210"/>
        <v>0</v>
      </c>
      <c r="AT184" s="144">
        <f t="shared" si="211"/>
        <v>0.20632424999999999</v>
      </c>
      <c r="AU184" s="143">
        <f>1333*J182*POWER(10,-6)</f>
        <v>1.3330000000000001E-4</v>
      </c>
      <c r="AV184" s="144">
        <f t="shared" si="207"/>
        <v>1.03175455</v>
      </c>
      <c r="AW184" s="145">
        <f t="shared" si="212"/>
        <v>0</v>
      </c>
      <c r="AX184" s="145">
        <f t="shared" si="213"/>
        <v>0</v>
      </c>
      <c r="AY184" s="145">
        <f t="shared" si="214"/>
        <v>1.5847749887999998E-7</v>
      </c>
      <c r="AZ184" s="297">
        <f>AW184/DB!$B$23</f>
        <v>0</v>
      </c>
      <c r="BA184" s="297">
        <f>AX184/DB!$B$23</f>
        <v>0</v>
      </c>
    </row>
    <row r="185" spans="1:53" s="140" customFormat="1" x14ac:dyDescent="0.3">
      <c r="A185" s="131" t="s">
        <v>860</v>
      </c>
      <c r="B185" s="131" t="str">
        <f>B182</f>
        <v>Газосепаратор С-2/1 (С-2/2), попутный нефтяной газ</v>
      </c>
      <c r="C185" s="13" t="s">
        <v>108</v>
      </c>
      <c r="D185" s="133" t="s">
        <v>26</v>
      </c>
      <c r="E185" s="146">
        <f>E182</f>
        <v>9.9999999999999995E-7</v>
      </c>
      <c r="F185" s="147">
        <f>F182</f>
        <v>2</v>
      </c>
      <c r="G185" s="131">
        <v>0.60799999999999998</v>
      </c>
      <c r="H185" s="135">
        <f t="shared" si="208"/>
        <v>1.2159999999999999E-6</v>
      </c>
      <c r="I185" s="148">
        <f>I182</f>
        <v>0.1</v>
      </c>
      <c r="J185" s="151">
        <v>0</v>
      </c>
      <c r="K185" s="149" t="s">
        <v>126</v>
      </c>
      <c r="L185" s="150">
        <v>45390</v>
      </c>
      <c r="M185" s="140" t="str">
        <f t="shared" si="204"/>
        <v>C133</v>
      </c>
      <c r="N185" s="140" t="str">
        <f t="shared" si="205"/>
        <v>Газосепаратор С-2/1 (С-2/2), попутный нефтяной газ</v>
      </c>
      <c r="O185" s="140" t="str">
        <f t="shared" si="206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0.75026999999999999</v>
      </c>
      <c r="AR185" s="143">
        <f t="shared" si="209"/>
        <v>7.502700000000001E-2</v>
      </c>
      <c r="AS185" s="144">
        <f t="shared" si="210"/>
        <v>0</v>
      </c>
      <c r="AT185" s="144">
        <f t="shared" si="211"/>
        <v>0.20632424999999999</v>
      </c>
      <c r="AU185" s="143">
        <f>1333*J183*POWER(10,-6)</f>
        <v>1.3330000000000001E-5</v>
      </c>
      <c r="AV185" s="144">
        <f t="shared" si="207"/>
        <v>1.03163458</v>
      </c>
      <c r="AW185" s="145">
        <f t="shared" si="212"/>
        <v>0</v>
      </c>
      <c r="AX185" s="145">
        <f t="shared" si="213"/>
        <v>0</v>
      </c>
      <c r="AY185" s="145">
        <f t="shared" si="214"/>
        <v>1.2544676492799997E-6</v>
      </c>
      <c r="AZ185" s="297">
        <f>AW185/DB!$B$23</f>
        <v>0</v>
      </c>
      <c r="BA185" s="297">
        <f>AX185/DB!$B$23</f>
        <v>0</v>
      </c>
    </row>
    <row r="186" spans="1:53" s="140" customFormat="1" x14ac:dyDescent="0.3">
      <c r="A186" s="131" t="s">
        <v>861</v>
      </c>
      <c r="B186" s="131" t="str">
        <f>B182</f>
        <v>Газосепаратор С-2/1 (С-2/2), попутный нефтяной газ</v>
      </c>
      <c r="C186" s="13" t="s">
        <v>133</v>
      </c>
      <c r="D186" s="133" t="s">
        <v>134</v>
      </c>
      <c r="E186" s="134">
        <v>1.0000000000000001E-5</v>
      </c>
      <c r="F186" s="147">
        <f>F182</f>
        <v>2</v>
      </c>
      <c r="G186" s="131">
        <v>3.5000000000000003E-2</v>
      </c>
      <c r="H186" s="135">
        <f t="shared" si="208"/>
        <v>7.0000000000000007E-7</v>
      </c>
      <c r="I186" s="148">
        <f>0.15*I182</f>
        <v>1.4999999999999999E-2</v>
      </c>
      <c r="J186" s="137">
        <f>I186</f>
        <v>1.4999999999999999E-2</v>
      </c>
      <c r="K186" s="149" t="s">
        <v>127</v>
      </c>
      <c r="L186" s="150">
        <v>3</v>
      </c>
      <c r="M186" s="140" t="str">
        <f t="shared" si="204"/>
        <v>C134</v>
      </c>
      <c r="N186" s="140" t="str">
        <f t="shared" si="205"/>
        <v>Газосепаратор С-2/1 (С-2/2), попутный нефтяной газ</v>
      </c>
      <c r="O186" s="140" t="str">
        <f t="shared" si="206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7.5405000000000014E-2</v>
      </c>
      <c r="AR186" s="143">
        <f t="shared" si="209"/>
        <v>7.5405000000000021E-3</v>
      </c>
      <c r="AS186" s="144">
        <f t="shared" si="210"/>
        <v>0.5</v>
      </c>
      <c r="AT186" s="144">
        <f t="shared" si="211"/>
        <v>0.145736375</v>
      </c>
      <c r="AU186" s="143">
        <f>10068.2*J186*POWER(10,-6)</f>
        <v>1.5102299999999999E-4</v>
      </c>
      <c r="AV186" s="144">
        <f t="shared" si="207"/>
        <v>0.72883289799999995</v>
      </c>
      <c r="AW186" s="145">
        <f t="shared" si="212"/>
        <v>0</v>
      </c>
      <c r="AX186" s="145">
        <f t="shared" si="213"/>
        <v>1.4000000000000001E-6</v>
      </c>
      <c r="AY186" s="145">
        <f t="shared" si="214"/>
        <v>5.1018302859999998E-7</v>
      </c>
      <c r="AZ186" s="297">
        <f>AW186/DB!$B$23</f>
        <v>0</v>
      </c>
      <c r="BA186" s="297">
        <f>AX186/DB!$B$23</f>
        <v>1.6867469879518074E-9</v>
      </c>
    </row>
    <row r="187" spans="1:53" s="140" customFormat="1" x14ac:dyDescent="0.3">
      <c r="A187" s="131" t="s">
        <v>862</v>
      </c>
      <c r="B187" s="131" t="str">
        <f>B182</f>
        <v>Газосепаратор С-2/1 (С-2/2), попутный нефтяной газ</v>
      </c>
      <c r="C187" s="13" t="s">
        <v>135</v>
      </c>
      <c r="D187" s="133" t="s">
        <v>136</v>
      </c>
      <c r="E187" s="146">
        <f>E186</f>
        <v>1.0000000000000001E-5</v>
      </c>
      <c r="F187" s="147">
        <v>1</v>
      </c>
      <c r="G187" s="131">
        <v>8.3000000000000001E-3</v>
      </c>
      <c r="H187" s="135">
        <f t="shared" si="208"/>
        <v>8.3000000000000002E-8</v>
      </c>
      <c r="I187" s="148">
        <f>I186</f>
        <v>1.4999999999999999E-2</v>
      </c>
      <c r="J187" s="137">
        <v>0.01</v>
      </c>
      <c r="K187" s="152" t="s">
        <v>138</v>
      </c>
      <c r="L187" s="153">
        <v>19</v>
      </c>
      <c r="M187" s="140" t="str">
        <f t="shared" si="204"/>
        <v>C135</v>
      </c>
      <c r="N187" s="140" t="str">
        <f t="shared" si="205"/>
        <v>Газосепаратор С-2/1 (С-2/2), попутный нефтяной газ</v>
      </c>
      <c r="O187" s="140" t="str">
        <f t="shared" si="206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16.100000000000001</v>
      </c>
      <c r="W187" s="140">
        <v>54.6</v>
      </c>
      <c r="X187" s="140">
        <v>79.599999999999994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7.5405000000000014E-2</v>
      </c>
      <c r="AR187" s="143">
        <f t="shared" si="209"/>
        <v>7.5405000000000021E-3</v>
      </c>
      <c r="AS187" s="144">
        <f t="shared" si="210"/>
        <v>0.25</v>
      </c>
      <c r="AT187" s="144">
        <f t="shared" si="211"/>
        <v>8.3236375000000001E-2</v>
      </c>
      <c r="AU187" s="143">
        <f>10068.2*J187*POWER(10,-6)*10</f>
        <v>1.0068200000000001E-3</v>
      </c>
      <c r="AV187" s="144">
        <f t="shared" si="207"/>
        <v>0.417188695</v>
      </c>
      <c r="AW187" s="145">
        <f t="shared" si="212"/>
        <v>0</v>
      </c>
      <c r="AX187" s="145">
        <f t="shared" si="213"/>
        <v>8.3000000000000002E-8</v>
      </c>
      <c r="AY187" s="145">
        <f t="shared" si="214"/>
        <v>3.4626661685000002E-8</v>
      </c>
      <c r="AZ187" s="297">
        <f>AW187/DB!$B$23</f>
        <v>0</v>
      </c>
      <c r="BA187" s="297">
        <f>AX187/DB!$B$23</f>
        <v>1E-10</v>
      </c>
    </row>
    <row r="188" spans="1:53" s="140" customFormat="1" x14ac:dyDescent="0.3">
      <c r="A188" s="131" t="s">
        <v>863</v>
      </c>
      <c r="B188" s="131" t="str">
        <f>B182</f>
        <v>Газосепаратор С-2/1 (С-2/2), попутный нефтяной газ</v>
      </c>
      <c r="C188" s="13" t="s">
        <v>110</v>
      </c>
      <c r="D188" s="133" t="s">
        <v>112</v>
      </c>
      <c r="E188" s="146">
        <f>E186</f>
        <v>1.0000000000000001E-5</v>
      </c>
      <c r="F188" s="147">
        <f>F182</f>
        <v>2</v>
      </c>
      <c r="G188" s="131">
        <v>2.64E-2</v>
      </c>
      <c r="H188" s="135">
        <f t="shared" si="208"/>
        <v>5.2800000000000007E-7</v>
      </c>
      <c r="I188" s="148">
        <f>0.15*I182</f>
        <v>1.4999999999999999E-2</v>
      </c>
      <c r="J188" s="137">
        <f>J184*0.15</f>
        <v>8.9999999999999993E-3</v>
      </c>
      <c r="K188" s="207" t="s">
        <v>468</v>
      </c>
      <c r="L188" s="295" t="s">
        <v>726</v>
      </c>
      <c r="M188" s="140" t="str">
        <f t="shared" si="204"/>
        <v>C136</v>
      </c>
      <c r="N188" s="140" t="str">
        <f t="shared" si="205"/>
        <v>Газосепаратор С-2/1 (С-2/2), попутный нефтяной газ</v>
      </c>
      <c r="O188" s="140" t="str">
        <f t="shared" si="206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7.08</v>
      </c>
      <c r="AB188" s="140">
        <v>8.5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7.5405000000000014E-2</v>
      </c>
      <c r="AR188" s="143">
        <f t="shared" si="209"/>
        <v>7.5405000000000021E-3</v>
      </c>
      <c r="AS188" s="144">
        <f t="shared" si="210"/>
        <v>0.25</v>
      </c>
      <c r="AT188" s="144">
        <f t="shared" si="211"/>
        <v>8.3236375000000001E-2</v>
      </c>
      <c r="AU188" s="143">
        <f>10068.2*J188*POWER(10,-6)*10</f>
        <v>9.0613799999999991E-4</v>
      </c>
      <c r="AV188" s="144">
        <f t="shared" si="207"/>
        <v>0.41708801299999998</v>
      </c>
      <c r="AW188" s="145">
        <f t="shared" si="212"/>
        <v>0</v>
      </c>
      <c r="AX188" s="145">
        <f t="shared" si="213"/>
        <v>5.2800000000000007E-7</v>
      </c>
      <c r="AY188" s="145">
        <f t="shared" si="214"/>
        <v>2.2022247086400001E-7</v>
      </c>
      <c r="AZ188" s="297">
        <f>AW188/DB!$B$23</f>
        <v>0</v>
      </c>
      <c r="BA188" s="297">
        <f>AX188/DB!$B$23</f>
        <v>6.3614457831325307E-10</v>
      </c>
    </row>
    <row r="189" spans="1:53" s="140" customFormat="1" ht="15" thickBot="1" x14ac:dyDescent="0.35">
      <c r="A189" s="131" t="s">
        <v>864</v>
      </c>
      <c r="B189" s="131" t="str">
        <f>B182</f>
        <v>Газосепаратор С-2/1 (С-2/2), попутный нефтяной газ</v>
      </c>
      <c r="C189" s="13" t="s">
        <v>111</v>
      </c>
      <c r="D189" s="133" t="s">
        <v>27</v>
      </c>
      <c r="E189" s="146">
        <f>E186</f>
        <v>1.0000000000000001E-5</v>
      </c>
      <c r="F189" s="147">
        <f>F182</f>
        <v>2</v>
      </c>
      <c r="G189" s="131">
        <v>0.93030000000000002</v>
      </c>
      <c r="H189" s="135">
        <f t="shared" si="208"/>
        <v>1.8606000000000001E-5</v>
      </c>
      <c r="I189" s="148">
        <f>0.15*I182</f>
        <v>1.4999999999999999E-2</v>
      </c>
      <c r="J189" s="151">
        <v>0</v>
      </c>
      <c r="K189" s="154"/>
      <c r="L189" s="155"/>
      <c r="M189" s="140" t="str">
        <f t="shared" si="204"/>
        <v>C137</v>
      </c>
      <c r="N189" s="140" t="str">
        <f t="shared" si="205"/>
        <v>Газосепаратор С-2/1 (С-2/2), попутный нефтяной газ</v>
      </c>
      <c r="O189" s="140" t="str">
        <f t="shared" si="206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7.504050000000001E-2</v>
      </c>
      <c r="AR189" s="143">
        <f t="shared" si="209"/>
        <v>7.5040500000000017E-3</v>
      </c>
      <c r="AS189" s="144">
        <f t="shared" si="210"/>
        <v>0</v>
      </c>
      <c r="AT189" s="144">
        <f t="shared" si="211"/>
        <v>2.0636137500000002E-2</v>
      </c>
      <c r="AU189" s="143">
        <f>1333*J188*POWER(10,-6)</f>
        <v>1.1996999999999999E-5</v>
      </c>
      <c r="AV189" s="144">
        <f t="shared" si="207"/>
        <v>0.10319268450000002</v>
      </c>
      <c r="AW189" s="145">
        <f t="shared" si="212"/>
        <v>0</v>
      </c>
      <c r="AX189" s="145">
        <f t="shared" si="213"/>
        <v>0</v>
      </c>
      <c r="AY189" s="145">
        <f t="shared" si="214"/>
        <v>1.9200030878070006E-6</v>
      </c>
      <c r="AZ189" s="297">
        <f>AW189/DB!$B$23</f>
        <v>0</v>
      </c>
      <c r="BA189" s="297">
        <f>AX189/DB!$B$23</f>
        <v>0</v>
      </c>
    </row>
    <row r="190" spans="1:53" s="140" customFormat="1" x14ac:dyDescent="0.3">
      <c r="A190" s="131"/>
      <c r="B190" s="194"/>
      <c r="C190" s="194"/>
      <c r="D190" s="194"/>
      <c r="E190" s="195"/>
      <c r="F190" s="147"/>
      <c r="G190" s="194"/>
      <c r="H190" s="196"/>
      <c r="I190" s="197"/>
      <c r="J190" s="197"/>
      <c r="K190" s="194"/>
      <c r="L190" s="194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9"/>
      <c r="AR190" s="199"/>
      <c r="AS190" s="200"/>
      <c r="AT190" s="200"/>
      <c r="AU190" s="199"/>
      <c r="AV190" s="200"/>
      <c r="AW190" s="201"/>
      <c r="AX190" s="201"/>
      <c r="AY190" s="201"/>
      <c r="AZ190" s="297"/>
      <c r="BA190" s="297"/>
    </row>
    <row r="191" spans="1:53" ht="15" thickBot="1" x14ac:dyDescent="0.35"/>
    <row r="192" spans="1:53" s="92" customFormat="1" ht="15" thickBot="1" x14ac:dyDescent="0.35">
      <c r="A192" s="82" t="s">
        <v>865</v>
      </c>
      <c r="B192" s="83" t="s">
        <v>729</v>
      </c>
      <c r="C192" s="84" t="s">
        <v>143</v>
      </c>
      <c r="D192" s="85" t="s">
        <v>25</v>
      </c>
      <c r="E192" s="86">
        <v>9.9999999999999995E-7</v>
      </c>
      <c r="F192" s="83">
        <v>1</v>
      </c>
      <c r="G192" s="82">
        <v>0.1</v>
      </c>
      <c r="H192" s="87">
        <f t="shared" ref="H192:H197" si="215">E192*F192*G192</f>
        <v>9.9999999999999995E-8</v>
      </c>
      <c r="I192" s="88">
        <v>7</v>
      </c>
      <c r="J192" s="100">
        <f>I192</f>
        <v>7</v>
      </c>
      <c r="K192" s="90" t="s">
        <v>122</v>
      </c>
      <c r="L192" s="91">
        <v>120</v>
      </c>
      <c r="M192" s="92" t="str">
        <f t="shared" ref="M192:N197" si="216">A192</f>
        <v>C138</v>
      </c>
      <c r="N192" s="92" t="str">
        <f t="shared" si="216"/>
        <v>Емкость ЕМ-2, технологическое масло</v>
      </c>
      <c r="O192" s="92" t="str">
        <f t="shared" ref="O192:O197" si="217">D192</f>
        <v>Полное-пожар</v>
      </c>
      <c r="P192" s="92">
        <v>8.9</v>
      </c>
      <c r="Q192" s="92">
        <v>12.6</v>
      </c>
      <c r="R192" s="92">
        <v>18.600000000000001</v>
      </c>
      <c r="S192" s="92">
        <v>36.299999999999997</v>
      </c>
      <c r="T192" s="92" t="s">
        <v>46</v>
      </c>
      <c r="U192" s="92" t="s">
        <v>46</v>
      </c>
      <c r="V192" s="92" t="s">
        <v>46</v>
      </c>
      <c r="W192" s="92" t="s">
        <v>46</v>
      </c>
      <c r="X192" s="92" t="s">
        <v>46</v>
      </c>
      <c r="Y192" s="92" t="s">
        <v>46</v>
      </c>
      <c r="Z192" s="92" t="s">
        <v>46</v>
      </c>
      <c r="AA192" s="92" t="s">
        <v>46</v>
      </c>
      <c r="AB192" s="92" t="s">
        <v>46</v>
      </c>
      <c r="AC192" s="92" t="s">
        <v>46</v>
      </c>
      <c r="AD192" s="92" t="s">
        <v>46</v>
      </c>
      <c r="AE192" s="92" t="s">
        <v>46</v>
      </c>
      <c r="AF192" s="92" t="s">
        <v>46</v>
      </c>
      <c r="AG192" s="92" t="s">
        <v>46</v>
      </c>
      <c r="AH192" s="92" t="s">
        <v>46</v>
      </c>
      <c r="AI192" s="92" t="s">
        <v>46</v>
      </c>
      <c r="AJ192" s="93">
        <v>1</v>
      </c>
      <c r="AK192" s="93">
        <v>2</v>
      </c>
      <c r="AL192" s="94">
        <v>0.75</v>
      </c>
      <c r="AM192" s="94">
        <v>2.7E-2</v>
      </c>
      <c r="AN192" s="94">
        <v>3</v>
      </c>
      <c r="AQ192" s="95">
        <f>AM192*I192+AL192</f>
        <v>0.93900000000000006</v>
      </c>
      <c r="AR192" s="95">
        <f t="shared" ref="AR192:AR197" si="218">0.1*AQ192</f>
        <v>9.3900000000000011E-2</v>
      </c>
      <c r="AS192" s="96">
        <f t="shared" ref="AS192:AS197" si="219">AJ192*3+0.25*AK192</f>
        <v>3.5</v>
      </c>
      <c r="AT192" s="96">
        <f t="shared" ref="AT192:AT197" si="220">SUM(AQ192:AS192)/4</f>
        <v>1.1332249999999999</v>
      </c>
      <c r="AU192" s="95">
        <f>10068.2*J192*POWER(10,-6)</f>
        <v>7.0477400000000009E-2</v>
      </c>
      <c r="AV192" s="96">
        <f t="shared" ref="AV192:AV197" si="221">AU192+AT192+AS192+AR192+AQ192</f>
        <v>5.7366023999999998</v>
      </c>
      <c r="AW192" s="97">
        <f t="shared" ref="AW192:AW197" si="222">AJ192*H192</f>
        <v>9.9999999999999995E-8</v>
      </c>
      <c r="AX192" s="97">
        <f t="shared" ref="AX192:AX197" si="223">H192*AK192</f>
        <v>1.9999999999999999E-7</v>
      </c>
      <c r="AY192" s="97">
        <f t="shared" ref="AY192:AY197" si="224">H192*AV192</f>
        <v>5.7366023999999999E-7</v>
      </c>
      <c r="AZ192" s="297">
        <f>AW192/DB!$B$23</f>
        <v>1.2048192771084336E-10</v>
      </c>
      <c r="BA192" s="297">
        <f>AX192/DB!$B$23</f>
        <v>2.4096385542168672E-10</v>
      </c>
    </row>
    <row r="193" spans="1:53" s="92" customFormat="1" ht="15" thickBot="1" x14ac:dyDescent="0.35">
      <c r="A193" s="82" t="s">
        <v>866</v>
      </c>
      <c r="B193" s="82" t="str">
        <f>B192</f>
        <v>Емкость ЕМ-2, технологическое масло</v>
      </c>
      <c r="C193" s="84" t="s">
        <v>152</v>
      </c>
      <c r="D193" s="85" t="s">
        <v>25</v>
      </c>
      <c r="E193" s="98">
        <f>E192</f>
        <v>9.9999999999999995E-7</v>
      </c>
      <c r="F193" s="99">
        <f>F192</f>
        <v>1</v>
      </c>
      <c r="G193" s="82">
        <v>0.18000000000000002</v>
      </c>
      <c r="H193" s="87">
        <f t="shared" si="215"/>
        <v>1.8000000000000002E-7</v>
      </c>
      <c r="I193" s="100">
        <f>I192</f>
        <v>7</v>
      </c>
      <c r="J193" s="100">
        <f>I192</f>
        <v>7</v>
      </c>
      <c r="K193" s="90" t="s">
        <v>123</v>
      </c>
      <c r="L193" s="91">
        <v>0</v>
      </c>
      <c r="M193" s="92" t="str">
        <f t="shared" si="216"/>
        <v>C139</v>
      </c>
      <c r="N193" s="92" t="str">
        <f t="shared" si="216"/>
        <v>Емкость ЕМ-2, технологическое масло</v>
      </c>
      <c r="O193" s="92" t="str">
        <f t="shared" si="217"/>
        <v>Полное-пожар</v>
      </c>
      <c r="P193" s="92">
        <v>8.9</v>
      </c>
      <c r="Q193" s="92">
        <v>12.6</v>
      </c>
      <c r="R193" s="92">
        <v>18.600000000000001</v>
      </c>
      <c r="S193" s="92">
        <v>36.299999999999997</v>
      </c>
      <c r="T193" s="92" t="s">
        <v>46</v>
      </c>
      <c r="U193" s="92" t="s">
        <v>46</v>
      </c>
      <c r="V193" s="92" t="s">
        <v>46</v>
      </c>
      <c r="W193" s="92" t="s">
        <v>46</v>
      </c>
      <c r="X193" s="92" t="s">
        <v>46</v>
      </c>
      <c r="Y193" s="92" t="s">
        <v>46</v>
      </c>
      <c r="Z193" s="92" t="s">
        <v>46</v>
      </c>
      <c r="AA193" s="92" t="s">
        <v>46</v>
      </c>
      <c r="AB193" s="92" t="s">
        <v>46</v>
      </c>
      <c r="AC193" s="92" t="s">
        <v>46</v>
      </c>
      <c r="AD193" s="92" t="s">
        <v>46</v>
      </c>
      <c r="AE193" s="92" t="s">
        <v>46</v>
      </c>
      <c r="AF193" s="92" t="s">
        <v>46</v>
      </c>
      <c r="AG193" s="92" t="s">
        <v>46</v>
      </c>
      <c r="AH193" s="92" t="s">
        <v>46</v>
      </c>
      <c r="AI193" s="92" t="s">
        <v>46</v>
      </c>
      <c r="AJ193" s="93">
        <v>1</v>
      </c>
      <c r="AK193" s="93">
        <v>2</v>
      </c>
      <c r="AL193" s="92">
        <f>AL192</f>
        <v>0.75</v>
      </c>
      <c r="AM193" s="92">
        <f>AM192</f>
        <v>2.7E-2</v>
      </c>
      <c r="AN193" s="92">
        <f>AN192</f>
        <v>3</v>
      </c>
      <c r="AQ193" s="95">
        <f>AM193*I193+AL193</f>
        <v>0.93900000000000006</v>
      </c>
      <c r="AR193" s="95">
        <f t="shared" si="218"/>
        <v>9.3900000000000011E-2</v>
      </c>
      <c r="AS193" s="96">
        <f t="shared" si="219"/>
        <v>3.5</v>
      </c>
      <c r="AT193" s="96">
        <f t="shared" si="220"/>
        <v>1.1332249999999999</v>
      </c>
      <c r="AU193" s="95">
        <f>10068.2*J193*POWER(10,-6)*10</f>
        <v>0.70477400000000012</v>
      </c>
      <c r="AV193" s="96">
        <f t="shared" si="221"/>
        <v>6.3708989999999996</v>
      </c>
      <c r="AW193" s="97">
        <f t="shared" si="222"/>
        <v>1.8000000000000002E-7</v>
      </c>
      <c r="AX193" s="97">
        <f t="shared" si="223"/>
        <v>3.6000000000000005E-7</v>
      </c>
      <c r="AY193" s="97">
        <f t="shared" si="224"/>
        <v>1.1467618200000002E-6</v>
      </c>
      <c r="AZ193" s="297">
        <f>AW193/DB!$B$23</f>
        <v>2.1686746987951809E-10</v>
      </c>
      <c r="BA193" s="297">
        <f>AX193/DB!$B$23</f>
        <v>4.3373493975903618E-10</v>
      </c>
    </row>
    <row r="194" spans="1:53" s="92" customFormat="1" x14ac:dyDescent="0.3">
      <c r="A194" s="82" t="s">
        <v>867</v>
      </c>
      <c r="B194" s="82" t="str">
        <f>B192</f>
        <v>Емкость ЕМ-2, технологическое масло</v>
      </c>
      <c r="C194" s="84" t="s">
        <v>145</v>
      </c>
      <c r="D194" s="85" t="s">
        <v>26</v>
      </c>
      <c r="E194" s="98">
        <f>E192</f>
        <v>9.9999999999999995E-7</v>
      </c>
      <c r="F194" s="99">
        <f>F192</f>
        <v>1</v>
      </c>
      <c r="G194" s="82">
        <v>0.72000000000000008</v>
      </c>
      <c r="H194" s="87">
        <f t="shared" si="215"/>
        <v>7.2000000000000009E-7</v>
      </c>
      <c r="I194" s="100">
        <f>I192</f>
        <v>7</v>
      </c>
      <c r="J194" s="82">
        <v>0</v>
      </c>
      <c r="K194" s="90" t="s">
        <v>124</v>
      </c>
      <c r="L194" s="91">
        <v>0</v>
      </c>
      <c r="M194" s="92" t="str">
        <f t="shared" si="216"/>
        <v>C140</v>
      </c>
      <c r="N194" s="92" t="str">
        <f t="shared" si="216"/>
        <v>Емкость ЕМ-2, технологическое масло</v>
      </c>
      <c r="O194" s="92" t="str">
        <f t="shared" si="217"/>
        <v>Полное-ликвидация</v>
      </c>
      <c r="P194" s="92" t="s">
        <v>46</v>
      </c>
      <c r="Q194" s="92" t="s">
        <v>46</v>
      </c>
      <c r="R194" s="92" t="s">
        <v>46</v>
      </c>
      <c r="S194" s="92" t="s">
        <v>46</v>
      </c>
      <c r="T194" s="92" t="s">
        <v>46</v>
      </c>
      <c r="U194" s="92" t="s">
        <v>46</v>
      </c>
      <c r="V194" s="92" t="s">
        <v>46</v>
      </c>
      <c r="W194" s="92" t="s">
        <v>46</v>
      </c>
      <c r="X194" s="92" t="s">
        <v>46</v>
      </c>
      <c r="Y194" s="92" t="s">
        <v>46</v>
      </c>
      <c r="Z194" s="92" t="s">
        <v>46</v>
      </c>
      <c r="AA194" s="92" t="s">
        <v>46</v>
      </c>
      <c r="AB194" s="92" t="s">
        <v>46</v>
      </c>
      <c r="AC194" s="92" t="s">
        <v>46</v>
      </c>
      <c r="AD194" s="92" t="s">
        <v>46</v>
      </c>
      <c r="AE194" s="92" t="s">
        <v>46</v>
      </c>
      <c r="AF194" s="92" t="s">
        <v>46</v>
      </c>
      <c r="AG194" s="92" t="s">
        <v>46</v>
      </c>
      <c r="AH194" s="92" t="s">
        <v>46</v>
      </c>
      <c r="AI194" s="92" t="s">
        <v>46</v>
      </c>
      <c r="AJ194" s="92">
        <v>0</v>
      </c>
      <c r="AK194" s="92">
        <v>0</v>
      </c>
      <c r="AL194" s="92">
        <f>AL192</f>
        <v>0.75</v>
      </c>
      <c r="AM194" s="92">
        <f>AM192</f>
        <v>2.7E-2</v>
      </c>
      <c r="AN194" s="92">
        <f>AN192</f>
        <v>3</v>
      </c>
      <c r="AQ194" s="95">
        <f>AM194*I194*0.1+AL194</f>
        <v>0.76890000000000003</v>
      </c>
      <c r="AR194" s="95">
        <f t="shared" si="218"/>
        <v>7.6890000000000014E-2</v>
      </c>
      <c r="AS194" s="96">
        <f t="shared" si="219"/>
        <v>0</v>
      </c>
      <c r="AT194" s="96">
        <f t="shared" si="220"/>
        <v>0.21144750000000001</v>
      </c>
      <c r="AU194" s="95">
        <f>1333*J193*POWER(10,-6)</f>
        <v>9.330999999999999E-3</v>
      </c>
      <c r="AV194" s="96">
        <f t="shared" si="221"/>
        <v>1.0665685</v>
      </c>
      <c r="AW194" s="97">
        <f t="shared" si="222"/>
        <v>0</v>
      </c>
      <c r="AX194" s="97">
        <f t="shared" si="223"/>
        <v>0</v>
      </c>
      <c r="AY194" s="97">
        <f t="shared" si="224"/>
        <v>7.6792932000000015E-7</v>
      </c>
      <c r="AZ194" s="297">
        <f>AW194/DB!$B$23</f>
        <v>0</v>
      </c>
      <c r="BA194" s="297">
        <f>AX194/DB!$B$23</f>
        <v>0</v>
      </c>
    </row>
    <row r="195" spans="1:53" s="92" customFormat="1" x14ac:dyDescent="0.3">
      <c r="A195" s="82" t="s">
        <v>868</v>
      </c>
      <c r="B195" s="82" t="str">
        <f>B192</f>
        <v>Емкость ЕМ-2, технологическое масло</v>
      </c>
      <c r="C195" s="84" t="s">
        <v>146</v>
      </c>
      <c r="D195" s="85" t="s">
        <v>47</v>
      </c>
      <c r="E195" s="86">
        <v>1.0000000000000001E-5</v>
      </c>
      <c r="F195" s="99">
        <f>F192</f>
        <v>1</v>
      </c>
      <c r="G195" s="82">
        <v>0.1</v>
      </c>
      <c r="H195" s="87">
        <f t="shared" si="215"/>
        <v>1.0000000000000002E-6</v>
      </c>
      <c r="I195" s="100">
        <f>0.15*I192</f>
        <v>1.05</v>
      </c>
      <c r="J195" s="100">
        <f>I195</f>
        <v>1.05</v>
      </c>
      <c r="K195" s="103" t="s">
        <v>126</v>
      </c>
      <c r="L195" s="104">
        <v>45390</v>
      </c>
      <c r="M195" s="92" t="str">
        <f t="shared" si="216"/>
        <v>C141</v>
      </c>
      <c r="N195" s="92" t="str">
        <f t="shared" si="216"/>
        <v>Емкость ЕМ-2, технологическое масло</v>
      </c>
      <c r="O195" s="92" t="str">
        <f t="shared" si="217"/>
        <v>Частичное-пожар</v>
      </c>
      <c r="P195" s="92">
        <v>4</v>
      </c>
      <c r="Q195" s="92">
        <v>5.8</v>
      </c>
      <c r="R195" s="92">
        <v>8.6</v>
      </c>
      <c r="S195" s="92">
        <v>15.7</v>
      </c>
      <c r="T195" s="92" t="s">
        <v>46</v>
      </c>
      <c r="U195" s="92" t="s">
        <v>46</v>
      </c>
      <c r="V195" s="92" t="s">
        <v>46</v>
      </c>
      <c r="W195" s="92" t="s">
        <v>46</v>
      </c>
      <c r="X195" s="92" t="s">
        <v>46</v>
      </c>
      <c r="Y195" s="92" t="s">
        <v>46</v>
      </c>
      <c r="Z195" s="92" t="s">
        <v>46</v>
      </c>
      <c r="AA195" s="92" t="s">
        <v>46</v>
      </c>
      <c r="AB195" s="92" t="s">
        <v>46</v>
      </c>
      <c r="AC195" s="92" t="s">
        <v>46</v>
      </c>
      <c r="AD195" s="92" t="s">
        <v>46</v>
      </c>
      <c r="AE195" s="92" t="s">
        <v>46</v>
      </c>
      <c r="AF195" s="92" t="s">
        <v>46</v>
      </c>
      <c r="AG195" s="92" t="s">
        <v>46</v>
      </c>
      <c r="AH195" s="92" t="s">
        <v>46</v>
      </c>
      <c r="AI195" s="92" t="s">
        <v>46</v>
      </c>
      <c r="AJ195" s="92">
        <v>0</v>
      </c>
      <c r="AK195" s="92">
        <v>2</v>
      </c>
      <c r="AL195" s="92">
        <f>0.1*$AL$2</f>
        <v>7.5000000000000011E-2</v>
      </c>
      <c r="AM195" s="92">
        <f>AM192</f>
        <v>2.7E-2</v>
      </c>
      <c r="AN195" s="92">
        <f>ROUNDUP(AN192/3,0)</f>
        <v>1</v>
      </c>
      <c r="AQ195" s="95">
        <f>AM195*I195+AL195</f>
        <v>0.10335000000000001</v>
      </c>
      <c r="AR195" s="95">
        <f t="shared" si="218"/>
        <v>1.0335000000000002E-2</v>
      </c>
      <c r="AS195" s="96">
        <f t="shared" si="219"/>
        <v>0.5</v>
      </c>
      <c r="AT195" s="96">
        <f t="shared" si="220"/>
        <v>0.15342125000000001</v>
      </c>
      <c r="AU195" s="95">
        <f>10068.2*J195*POWER(10,-6)</f>
        <v>1.057161E-2</v>
      </c>
      <c r="AV195" s="96">
        <f t="shared" si="221"/>
        <v>0.77767786000000005</v>
      </c>
      <c r="AW195" s="97">
        <f t="shared" si="222"/>
        <v>0</v>
      </c>
      <c r="AX195" s="97">
        <f t="shared" si="223"/>
        <v>2.0000000000000003E-6</v>
      </c>
      <c r="AY195" s="97">
        <f t="shared" si="224"/>
        <v>7.7767786000000014E-7</v>
      </c>
      <c r="AZ195" s="297">
        <f>AW195/DB!$B$23</f>
        <v>0</v>
      </c>
      <c r="BA195" s="297">
        <f>AX195/DB!$B$23</f>
        <v>2.4096385542168678E-9</v>
      </c>
    </row>
    <row r="196" spans="1:53" s="92" customFormat="1" x14ac:dyDescent="0.3">
      <c r="A196" s="82" t="s">
        <v>869</v>
      </c>
      <c r="B196" s="82" t="str">
        <f>B192</f>
        <v>Емкость ЕМ-2, технологическое масло</v>
      </c>
      <c r="C196" s="84" t="s">
        <v>153</v>
      </c>
      <c r="D196" s="85" t="s">
        <v>47</v>
      </c>
      <c r="E196" s="98">
        <f>E195</f>
        <v>1.0000000000000001E-5</v>
      </c>
      <c r="F196" s="99">
        <f>F192</f>
        <v>1</v>
      </c>
      <c r="G196" s="82">
        <v>4.5000000000000005E-2</v>
      </c>
      <c r="H196" s="87">
        <f t="shared" si="215"/>
        <v>4.5000000000000009E-7</v>
      </c>
      <c r="I196" s="100">
        <f>0.15*I192</f>
        <v>1.05</v>
      </c>
      <c r="J196" s="100">
        <f>I195</f>
        <v>1.05</v>
      </c>
      <c r="K196" s="103" t="s">
        <v>127</v>
      </c>
      <c r="L196" s="104">
        <v>3</v>
      </c>
      <c r="M196" s="92" t="str">
        <f t="shared" si="216"/>
        <v>C142</v>
      </c>
      <c r="N196" s="92" t="str">
        <f t="shared" si="216"/>
        <v>Емкость ЕМ-2, технологическое масло</v>
      </c>
      <c r="O196" s="92" t="str">
        <f t="shared" si="217"/>
        <v>Частичное-пожар</v>
      </c>
      <c r="P196" s="92">
        <v>4</v>
      </c>
      <c r="Q196" s="92">
        <v>5.8</v>
      </c>
      <c r="R196" s="92">
        <v>8.6</v>
      </c>
      <c r="S196" s="92">
        <v>15.7</v>
      </c>
      <c r="T196" s="92" t="s">
        <v>46</v>
      </c>
      <c r="U196" s="92" t="s">
        <v>46</v>
      </c>
      <c r="V196" s="92" t="s">
        <v>46</v>
      </c>
      <c r="W196" s="92" t="s">
        <v>46</v>
      </c>
      <c r="X196" s="92" t="s">
        <v>46</v>
      </c>
      <c r="Y196" s="92" t="s">
        <v>46</v>
      </c>
      <c r="Z196" s="92" t="s">
        <v>46</v>
      </c>
      <c r="AA196" s="92" t="s">
        <v>46</v>
      </c>
      <c r="AB196" s="92" t="s">
        <v>46</v>
      </c>
      <c r="AC196" s="92" t="s">
        <v>46</v>
      </c>
      <c r="AD196" s="92" t="s">
        <v>46</v>
      </c>
      <c r="AE196" s="92" t="s">
        <v>46</v>
      </c>
      <c r="AF196" s="92" t="s">
        <v>46</v>
      </c>
      <c r="AG196" s="92" t="s">
        <v>46</v>
      </c>
      <c r="AH196" s="92" t="s">
        <v>46</v>
      </c>
      <c r="AI196" s="92" t="s">
        <v>46</v>
      </c>
      <c r="AJ196" s="92">
        <v>0</v>
      </c>
      <c r="AK196" s="92">
        <v>1</v>
      </c>
      <c r="AL196" s="92">
        <f>0.1*$AL$2</f>
        <v>7.5000000000000011E-2</v>
      </c>
      <c r="AM196" s="92">
        <f>AM192</f>
        <v>2.7E-2</v>
      </c>
      <c r="AN196" s="92">
        <f>ROUNDUP(AN192/3,0)</f>
        <v>1</v>
      </c>
      <c r="AQ196" s="95">
        <f>AM196*I196+AL196</f>
        <v>0.10335000000000001</v>
      </c>
      <c r="AR196" s="95">
        <f t="shared" si="218"/>
        <v>1.0335000000000002E-2</v>
      </c>
      <c r="AS196" s="96">
        <f t="shared" si="219"/>
        <v>0.25</v>
      </c>
      <c r="AT196" s="96">
        <f t="shared" si="220"/>
        <v>9.0921250000000009E-2</v>
      </c>
      <c r="AU196" s="95">
        <f>10068.2*J196*POWER(10,-6)*10</f>
        <v>0.10571610000000001</v>
      </c>
      <c r="AV196" s="96">
        <f t="shared" si="221"/>
        <v>0.56032235000000008</v>
      </c>
      <c r="AW196" s="97">
        <f t="shared" si="222"/>
        <v>0</v>
      </c>
      <c r="AX196" s="97">
        <f t="shared" si="223"/>
        <v>4.5000000000000009E-7</v>
      </c>
      <c r="AY196" s="97">
        <f t="shared" si="224"/>
        <v>2.5214505750000006E-7</v>
      </c>
      <c r="AZ196" s="297">
        <f>AW196/DB!$B$23</f>
        <v>0</v>
      </c>
      <c r="BA196" s="297">
        <f>AX196/DB!$B$23</f>
        <v>5.421686746987953E-10</v>
      </c>
    </row>
    <row r="197" spans="1:53" s="92" customFormat="1" ht="15" thickBot="1" x14ac:dyDescent="0.35">
      <c r="A197" s="82" t="s">
        <v>870</v>
      </c>
      <c r="B197" s="82" t="str">
        <f>B192</f>
        <v>Емкость ЕМ-2, технологическое масло</v>
      </c>
      <c r="C197" s="84" t="s">
        <v>148</v>
      </c>
      <c r="D197" s="85" t="s">
        <v>27</v>
      </c>
      <c r="E197" s="98">
        <f>E195</f>
        <v>1.0000000000000001E-5</v>
      </c>
      <c r="F197" s="99">
        <f>F192</f>
        <v>1</v>
      </c>
      <c r="G197" s="82">
        <v>0.85499999999999998</v>
      </c>
      <c r="H197" s="87">
        <f t="shared" si="215"/>
        <v>8.5500000000000011E-6</v>
      </c>
      <c r="I197" s="100">
        <f>0.15*I192</f>
        <v>1.05</v>
      </c>
      <c r="J197" s="82">
        <v>0</v>
      </c>
      <c r="K197" s="105" t="s">
        <v>138</v>
      </c>
      <c r="L197" s="105">
        <v>11</v>
      </c>
      <c r="M197" s="92" t="str">
        <f t="shared" si="216"/>
        <v>C143</v>
      </c>
      <c r="N197" s="92" t="str">
        <f t="shared" si="216"/>
        <v>Емкость ЕМ-2, технологическое масло</v>
      </c>
      <c r="O197" s="92" t="str">
        <f t="shared" si="217"/>
        <v>Частичное-ликвидация</v>
      </c>
      <c r="P197" s="92" t="s">
        <v>46</v>
      </c>
      <c r="Q197" s="92" t="s">
        <v>46</v>
      </c>
      <c r="R197" s="92" t="s">
        <v>46</v>
      </c>
      <c r="S197" s="92" t="s">
        <v>46</v>
      </c>
      <c r="T197" s="92" t="s">
        <v>46</v>
      </c>
      <c r="U197" s="92" t="s">
        <v>46</v>
      </c>
      <c r="V197" s="92" t="s">
        <v>46</v>
      </c>
      <c r="W197" s="92" t="s">
        <v>46</v>
      </c>
      <c r="X197" s="92" t="s">
        <v>46</v>
      </c>
      <c r="Y197" s="92" t="s">
        <v>46</v>
      </c>
      <c r="Z197" s="92" t="s">
        <v>46</v>
      </c>
      <c r="AA197" s="92" t="s">
        <v>46</v>
      </c>
      <c r="AB197" s="92" t="s">
        <v>46</v>
      </c>
      <c r="AC197" s="92" t="s">
        <v>46</v>
      </c>
      <c r="AD197" s="92" t="s">
        <v>46</v>
      </c>
      <c r="AE197" s="92" t="s">
        <v>46</v>
      </c>
      <c r="AF197" s="92" t="s">
        <v>46</v>
      </c>
      <c r="AG197" s="92" t="s">
        <v>46</v>
      </c>
      <c r="AH197" s="92" t="s">
        <v>46</v>
      </c>
      <c r="AI197" s="92" t="s">
        <v>46</v>
      </c>
      <c r="AJ197" s="92">
        <v>0</v>
      </c>
      <c r="AK197" s="92">
        <v>0</v>
      </c>
      <c r="AL197" s="92">
        <f>0.1*$AL$2</f>
        <v>7.5000000000000011E-2</v>
      </c>
      <c r="AM197" s="92">
        <f>AM192</f>
        <v>2.7E-2</v>
      </c>
      <c r="AN197" s="92">
        <f>ROUNDUP(AN192/3,0)</f>
        <v>1</v>
      </c>
      <c r="AQ197" s="95">
        <f>AM197*I197*0.1+AL197</f>
        <v>7.7835000000000015E-2</v>
      </c>
      <c r="AR197" s="95">
        <f t="shared" si="218"/>
        <v>7.7835000000000022E-3</v>
      </c>
      <c r="AS197" s="96">
        <f t="shared" si="219"/>
        <v>0</v>
      </c>
      <c r="AT197" s="96">
        <f t="shared" si="220"/>
        <v>2.1404625000000004E-2</v>
      </c>
      <c r="AU197" s="95">
        <f>1333*J196*POWER(10,-6)</f>
        <v>1.3996500000000001E-3</v>
      </c>
      <c r="AV197" s="96">
        <f t="shared" si="221"/>
        <v>0.10842277500000003</v>
      </c>
      <c r="AW197" s="97">
        <f t="shared" si="222"/>
        <v>0</v>
      </c>
      <c r="AX197" s="97">
        <f t="shared" si="223"/>
        <v>0</v>
      </c>
      <c r="AY197" s="97">
        <f t="shared" si="224"/>
        <v>9.2701472625000032E-7</v>
      </c>
      <c r="AZ197" s="297">
        <f>AW197/DB!$B$23</f>
        <v>0</v>
      </c>
      <c r="BA197" s="297">
        <f>AX197/DB!$B$23</f>
        <v>0</v>
      </c>
    </row>
    <row r="198" spans="1:53" s="92" customFormat="1" x14ac:dyDescent="0.3">
      <c r="A198" s="93"/>
      <c r="B198" s="93"/>
      <c r="D198" s="184"/>
      <c r="E198" s="185"/>
      <c r="F198" s="186"/>
      <c r="G198" s="93"/>
      <c r="H198" s="97"/>
      <c r="I198" s="96"/>
      <c r="J198" s="93"/>
      <c r="K198" s="207" t="s">
        <v>468</v>
      </c>
      <c r="L198" s="295" t="s">
        <v>726</v>
      </c>
      <c r="AQ198" s="95"/>
      <c r="AR198" s="95"/>
      <c r="AS198" s="96"/>
      <c r="AT198" s="96"/>
      <c r="AU198" s="95"/>
      <c r="AV198" s="96"/>
      <c r="AW198" s="97"/>
      <c r="AX198" s="97"/>
      <c r="AY198" s="97"/>
    </row>
    <row r="199" spans="1:53" s="92" customFormat="1" x14ac:dyDescent="0.3">
      <c r="A199" s="93"/>
      <c r="B199" s="93"/>
      <c r="D199" s="184"/>
      <c r="E199" s="185"/>
      <c r="F199" s="186"/>
      <c r="G199" s="93"/>
      <c r="H199" s="97"/>
      <c r="I199" s="96"/>
      <c r="J199" s="93"/>
      <c r="K199" s="93"/>
      <c r="L199" s="93"/>
      <c r="AQ199" s="95"/>
      <c r="AR199" s="95"/>
      <c r="AS199" s="96"/>
      <c r="AT199" s="96"/>
      <c r="AU199" s="95"/>
      <c r="AV199" s="96"/>
      <c r="AW199" s="97"/>
      <c r="AX199" s="97"/>
      <c r="AY199" s="97"/>
    </row>
    <row r="200" spans="1:53" s="92" customFormat="1" x14ac:dyDescent="0.3">
      <c r="A200" s="93"/>
      <c r="B200" s="93"/>
      <c r="D200" s="184"/>
      <c r="E200" s="185"/>
      <c r="F200" s="186"/>
      <c r="G200" s="93"/>
      <c r="H200" s="97"/>
      <c r="I200" s="96"/>
      <c r="J200" s="93"/>
      <c r="K200" s="93"/>
      <c r="L200" s="93"/>
      <c r="AQ200" s="95"/>
      <c r="AR200" s="95"/>
      <c r="AS200" s="96"/>
      <c r="AT200" s="96"/>
      <c r="AU200" s="95"/>
      <c r="AV200" s="96"/>
      <c r="AW200" s="97"/>
      <c r="AX200" s="97"/>
      <c r="AY200" s="97"/>
    </row>
    <row r="201" spans="1:53" ht="15" thickBot="1" x14ac:dyDescent="0.35"/>
    <row r="202" spans="1:53" s="92" customFormat="1" ht="15" thickBot="1" x14ac:dyDescent="0.35">
      <c r="A202" s="82" t="s">
        <v>871</v>
      </c>
      <c r="B202" s="83" t="s">
        <v>730</v>
      </c>
      <c r="C202" s="84" t="s">
        <v>143</v>
      </c>
      <c r="D202" s="85" t="s">
        <v>25</v>
      </c>
      <c r="E202" s="86">
        <v>9.9999999999999995E-7</v>
      </c>
      <c r="F202" s="83">
        <v>1</v>
      </c>
      <c r="G202" s="82">
        <v>0.1</v>
      </c>
      <c r="H202" s="87">
        <f t="shared" ref="H202:H207" si="225">E202*F202*G202</f>
        <v>9.9999999999999995E-8</v>
      </c>
      <c r="I202" s="88">
        <v>4.8</v>
      </c>
      <c r="J202" s="100">
        <f>I202</f>
        <v>4.8</v>
      </c>
      <c r="K202" s="90" t="s">
        <v>122</v>
      </c>
      <c r="L202" s="91">
        <v>90</v>
      </c>
      <c r="M202" s="92" t="str">
        <f t="shared" ref="M202:M207" si="226">A202</f>
        <v>C144</v>
      </c>
      <c r="N202" s="92" t="str">
        <f t="shared" ref="N202:N207" si="227">B202</f>
        <v>Емкость Е-5, технологическое масло</v>
      </c>
      <c r="O202" s="92" t="str">
        <f t="shared" ref="O202:O207" si="228">D202</f>
        <v>Полное-пожар</v>
      </c>
      <c r="P202" s="92">
        <v>7.7</v>
      </c>
      <c r="Q202" s="92">
        <v>10.9</v>
      </c>
      <c r="R202" s="92">
        <v>16.2</v>
      </c>
      <c r="S202" s="92">
        <v>32</v>
      </c>
      <c r="T202" s="92" t="s">
        <v>46</v>
      </c>
      <c r="U202" s="92" t="s">
        <v>46</v>
      </c>
      <c r="V202" s="92" t="s">
        <v>46</v>
      </c>
      <c r="W202" s="92" t="s">
        <v>46</v>
      </c>
      <c r="X202" s="92" t="s">
        <v>46</v>
      </c>
      <c r="Y202" s="92" t="s">
        <v>46</v>
      </c>
      <c r="Z202" s="92" t="s">
        <v>46</v>
      </c>
      <c r="AA202" s="92" t="s">
        <v>46</v>
      </c>
      <c r="AB202" s="92" t="s">
        <v>46</v>
      </c>
      <c r="AC202" s="92" t="s">
        <v>46</v>
      </c>
      <c r="AD202" s="92" t="s">
        <v>46</v>
      </c>
      <c r="AE202" s="92" t="s">
        <v>46</v>
      </c>
      <c r="AF202" s="92" t="s">
        <v>46</v>
      </c>
      <c r="AG202" s="92" t="s">
        <v>46</v>
      </c>
      <c r="AH202" s="92" t="s">
        <v>46</v>
      </c>
      <c r="AI202" s="92" t="s">
        <v>46</v>
      </c>
      <c r="AJ202" s="93">
        <v>1</v>
      </c>
      <c r="AK202" s="93">
        <v>2</v>
      </c>
      <c r="AL202" s="94">
        <v>0.75</v>
      </c>
      <c r="AM202" s="94">
        <v>2.7E-2</v>
      </c>
      <c r="AN202" s="94">
        <v>3</v>
      </c>
      <c r="AQ202" s="95">
        <f>AM202*I202+AL202</f>
        <v>0.87959999999999994</v>
      </c>
      <c r="AR202" s="95">
        <f t="shared" ref="AR202:AR207" si="229">0.1*AQ202</f>
        <v>8.7959999999999997E-2</v>
      </c>
      <c r="AS202" s="96">
        <f t="shared" ref="AS202:AS207" si="230">AJ202*3+0.25*AK202</f>
        <v>3.5</v>
      </c>
      <c r="AT202" s="96">
        <f t="shared" ref="AT202:AT207" si="231">SUM(AQ202:AS202)/4</f>
        <v>1.1168899999999999</v>
      </c>
      <c r="AU202" s="95">
        <f>10068.2*J202*POWER(10,-6)</f>
        <v>4.832736E-2</v>
      </c>
      <c r="AV202" s="96">
        <f t="shared" ref="AV202:AV207" si="232">AU202+AT202+AS202+AR202+AQ202</f>
        <v>5.6327773599999995</v>
      </c>
      <c r="AW202" s="97">
        <f t="shared" ref="AW202:AW207" si="233">AJ202*H202</f>
        <v>9.9999999999999995E-8</v>
      </c>
      <c r="AX202" s="97">
        <f t="shared" ref="AX202:AX207" si="234">H202*AK202</f>
        <v>1.9999999999999999E-7</v>
      </c>
      <c r="AY202" s="97">
        <f t="shared" ref="AY202:AY207" si="235">H202*AV202</f>
        <v>5.6327773599999989E-7</v>
      </c>
      <c r="AZ202" s="297">
        <f>AW202/DB!$B$23</f>
        <v>1.2048192771084336E-10</v>
      </c>
      <c r="BA202" s="297">
        <f>AX202/DB!$B$23</f>
        <v>2.4096385542168672E-10</v>
      </c>
    </row>
    <row r="203" spans="1:53" s="92" customFormat="1" ht="15" thickBot="1" x14ac:dyDescent="0.35">
      <c r="A203" s="82" t="s">
        <v>872</v>
      </c>
      <c r="B203" s="82" t="str">
        <f>B202</f>
        <v>Емкость Е-5, технологическое масло</v>
      </c>
      <c r="C203" s="84" t="s">
        <v>152</v>
      </c>
      <c r="D203" s="85" t="s">
        <v>25</v>
      </c>
      <c r="E203" s="98">
        <f>E202</f>
        <v>9.9999999999999995E-7</v>
      </c>
      <c r="F203" s="99">
        <f>F202</f>
        <v>1</v>
      </c>
      <c r="G203" s="82">
        <v>0.18000000000000002</v>
      </c>
      <c r="H203" s="87">
        <f t="shared" si="225"/>
        <v>1.8000000000000002E-7</v>
      </c>
      <c r="I203" s="100">
        <f>I202</f>
        <v>4.8</v>
      </c>
      <c r="J203" s="100">
        <f>I202</f>
        <v>4.8</v>
      </c>
      <c r="K203" s="90" t="s">
        <v>123</v>
      </c>
      <c r="L203" s="91">
        <v>0</v>
      </c>
      <c r="M203" s="92" t="str">
        <f t="shared" si="226"/>
        <v>C145</v>
      </c>
      <c r="N203" s="92" t="str">
        <f t="shared" si="227"/>
        <v>Емкость Е-5, технологическое масло</v>
      </c>
      <c r="O203" s="92" t="str">
        <f t="shared" si="228"/>
        <v>Полное-пожар</v>
      </c>
      <c r="P203" s="92">
        <v>7.7</v>
      </c>
      <c r="Q203" s="92">
        <v>10.9</v>
      </c>
      <c r="R203" s="92">
        <v>16.2</v>
      </c>
      <c r="S203" s="92">
        <v>32</v>
      </c>
      <c r="T203" s="92" t="s">
        <v>46</v>
      </c>
      <c r="U203" s="92" t="s">
        <v>46</v>
      </c>
      <c r="V203" s="92" t="s">
        <v>46</v>
      </c>
      <c r="W203" s="92" t="s">
        <v>46</v>
      </c>
      <c r="X203" s="92" t="s">
        <v>46</v>
      </c>
      <c r="Y203" s="92" t="s">
        <v>46</v>
      </c>
      <c r="Z203" s="92" t="s">
        <v>46</v>
      </c>
      <c r="AA203" s="92" t="s">
        <v>46</v>
      </c>
      <c r="AB203" s="92" t="s">
        <v>46</v>
      </c>
      <c r="AC203" s="92" t="s">
        <v>46</v>
      </c>
      <c r="AD203" s="92" t="s">
        <v>46</v>
      </c>
      <c r="AE203" s="92" t="s">
        <v>46</v>
      </c>
      <c r="AF203" s="92" t="s">
        <v>46</v>
      </c>
      <c r="AG203" s="92" t="s">
        <v>46</v>
      </c>
      <c r="AH203" s="92" t="s">
        <v>46</v>
      </c>
      <c r="AI203" s="92" t="s">
        <v>46</v>
      </c>
      <c r="AJ203" s="93">
        <v>1</v>
      </c>
      <c r="AK203" s="93">
        <v>2</v>
      </c>
      <c r="AL203" s="92">
        <f>AL202</f>
        <v>0.75</v>
      </c>
      <c r="AM203" s="92">
        <f>AM202</f>
        <v>2.7E-2</v>
      </c>
      <c r="AN203" s="92">
        <f>AN202</f>
        <v>3</v>
      </c>
      <c r="AQ203" s="95">
        <f>AM203*I203+AL203</f>
        <v>0.87959999999999994</v>
      </c>
      <c r="AR203" s="95">
        <f t="shared" si="229"/>
        <v>8.7959999999999997E-2</v>
      </c>
      <c r="AS203" s="96">
        <f t="shared" si="230"/>
        <v>3.5</v>
      </c>
      <c r="AT203" s="96">
        <f t="shared" si="231"/>
        <v>1.1168899999999999</v>
      </c>
      <c r="AU203" s="95">
        <f>10068.2*J203*POWER(10,-6)*10</f>
        <v>0.48327359999999997</v>
      </c>
      <c r="AV203" s="96">
        <f t="shared" si="232"/>
        <v>6.0677235999999999</v>
      </c>
      <c r="AW203" s="97">
        <f t="shared" si="233"/>
        <v>1.8000000000000002E-7</v>
      </c>
      <c r="AX203" s="97">
        <f t="shared" si="234"/>
        <v>3.6000000000000005E-7</v>
      </c>
      <c r="AY203" s="97">
        <f t="shared" si="235"/>
        <v>1.0921902480000001E-6</v>
      </c>
      <c r="AZ203" s="297">
        <f>AW203/DB!$B$23</f>
        <v>2.1686746987951809E-10</v>
      </c>
      <c r="BA203" s="297">
        <f>AX203/DB!$B$23</f>
        <v>4.3373493975903618E-10</v>
      </c>
    </row>
    <row r="204" spans="1:53" s="92" customFormat="1" x14ac:dyDescent="0.3">
      <c r="A204" s="82" t="s">
        <v>873</v>
      </c>
      <c r="B204" s="82" t="str">
        <f>B202</f>
        <v>Емкость Е-5, технологическое масло</v>
      </c>
      <c r="C204" s="84" t="s">
        <v>145</v>
      </c>
      <c r="D204" s="85" t="s">
        <v>26</v>
      </c>
      <c r="E204" s="98">
        <f>E202</f>
        <v>9.9999999999999995E-7</v>
      </c>
      <c r="F204" s="99">
        <f>F202</f>
        <v>1</v>
      </c>
      <c r="G204" s="82">
        <v>0.72000000000000008</v>
      </c>
      <c r="H204" s="87">
        <f t="shared" si="225"/>
        <v>7.2000000000000009E-7</v>
      </c>
      <c r="I204" s="100">
        <f>I202</f>
        <v>4.8</v>
      </c>
      <c r="J204" s="82">
        <v>0</v>
      </c>
      <c r="K204" s="90" t="s">
        <v>124</v>
      </c>
      <c r="L204" s="91">
        <v>0</v>
      </c>
      <c r="M204" s="92" t="str">
        <f t="shared" si="226"/>
        <v>C146</v>
      </c>
      <c r="N204" s="92" t="str">
        <f t="shared" si="227"/>
        <v>Емкость Е-5, технологическое масло</v>
      </c>
      <c r="O204" s="92" t="str">
        <f t="shared" si="228"/>
        <v>Полное-ликвидация</v>
      </c>
      <c r="P204" s="92" t="s">
        <v>46</v>
      </c>
      <c r="Q204" s="92" t="s">
        <v>46</v>
      </c>
      <c r="R204" s="92" t="s">
        <v>46</v>
      </c>
      <c r="S204" s="92" t="s">
        <v>46</v>
      </c>
      <c r="T204" s="92" t="s">
        <v>46</v>
      </c>
      <c r="U204" s="92" t="s">
        <v>46</v>
      </c>
      <c r="V204" s="92" t="s">
        <v>46</v>
      </c>
      <c r="W204" s="92" t="s">
        <v>46</v>
      </c>
      <c r="X204" s="92" t="s">
        <v>46</v>
      </c>
      <c r="Y204" s="92" t="s">
        <v>46</v>
      </c>
      <c r="Z204" s="92" t="s">
        <v>46</v>
      </c>
      <c r="AA204" s="92" t="s">
        <v>46</v>
      </c>
      <c r="AB204" s="92" t="s">
        <v>46</v>
      </c>
      <c r="AC204" s="92" t="s">
        <v>46</v>
      </c>
      <c r="AD204" s="92" t="s">
        <v>46</v>
      </c>
      <c r="AE204" s="92" t="s">
        <v>46</v>
      </c>
      <c r="AF204" s="92" t="s">
        <v>46</v>
      </c>
      <c r="AG204" s="92" t="s">
        <v>46</v>
      </c>
      <c r="AH204" s="92" t="s">
        <v>46</v>
      </c>
      <c r="AI204" s="92" t="s">
        <v>46</v>
      </c>
      <c r="AJ204" s="92">
        <v>0</v>
      </c>
      <c r="AK204" s="92">
        <v>0</v>
      </c>
      <c r="AL204" s="92">
        <f>AL202</f>
        <v>0.75</v>
      </c>
      <c r="AM204" s="92">
        <f>AM202</f>
        <v>2.7E-2</v>
      </c>
      <c r="AN204" s="92">
        <f>AN202</f>
        <v>3</v>
      </c>
      <c r="AQ204" s="95">
        <f>AM204*I204*0.1+AL204</f>
        <v>0.76295999999999997</v>
      </c>
      <c r="AR204" s="95">
        <f t="shared" si="229"/>
        <v>7.6296000000000003E-2</v>
      </c>
      <c r="AS204" s="96">
        <f t="shared" si="230"/>
        <v>0</v>
      </c>
      <c r="AT204" s="96">
        <f t="shared" si="231"/>
        <v>0.209814</v>
      </c>
      <c r="AU204" s="95">
        <f>1333*J203*POWER(10,-6)</f>
        <v>6.3983999999999994E-3</v>
      </c>
      <c r="AV204" s="96">
        <f t="shared" si="232"/>
        <v>1.0554684000000001</v>
      </c>
      <c r="AW204" s="97">
        <f t="shared" si="233"/>
        <v>0</v>
      </c>
      <c r="AX204" s="97">
        <f t="shared" si="234"/>
        <v>0</v>
      </c>
      <c r="AY204" s="97">
        <f t="shared" si="235"/>
        <v>7.5993724800000014E-7</v>
      </c>
      <c r="AZ204" s="297">
        <f>AW204/DB!$B$23</f>
        <v>0</v>
      </c>
      <c r="BA204" s="297">
        <f>AX204/DB!$B$23</f>
        <v>0</v>
      </c>
    </row>
    <row r="205" spans="1:53" s="92" customFormat="1" x14ac:dyDescent="0.3">
      <c r="A205" s="82" t="s">
        <v>874</v>
      </c>
      <c r="B205" s="82" t="str">
        <f>B202</f>
        <v>Емкость Е-5, технологическое масло</v>
      </c>
      <c r="C205" s="84" t="s">
        <v>146</v>
      </c>
      <c r="D205" s="85" t="s">
        <v>47</v>
      </c>
      <c r="E205" s="86">
        <v>1.0000000000000001E-5</v>
      </c>
      <c r="F205" s="99">
        <f>F202</f>
        <v>1</v>
      </c>
      <c r="G205" s="82">
        <v>0.1</v>
      </c>
      <c r="H205" s="87">
        <f t="shared" si="225"/>
        <v>1.0000000000000002E-6</v>
      </c>
      <c r="I205" s="100">
        <f>0.15*I202</f>
        <v>0.72</v>
      </c>
      <c r="J205" s="100">
        <f>I205</f>
        <v>0.72</v>
      </c>
      <c r="K205" s="103" t="s">
        <v>126</v>
      </c>
      <c r="L205" s="104">
        <v>45390</v>
      </c>
      <c r="M205" s="92" t="str">
        <f t="shared" si="226"/>
        <v>C147</v>
      </c>
      <c r="N205" s="92" t="str">
        <f t="shared" si="227"/>
        <v>Емкость Е-5, технологическое масло</v>
      </c>
      <c r="O205" s="92" t="str">
        <f t="shared" si="228"/>
        <v>Частичное-пожар</v>
      </c>
      <c r="P205" s="92">
        <v>3.6</v>
      </c>
      <c r="Q205" s="92">
        <v>5.3</v>
      </c>
      <c r="R205" s="92">
        <v>7.8</v>
      </c>
      <c r="S205" s="92">
        <v>14.2</v>
      </c>
      <c r="T205" s="92" t="s">
        <v>46</v>
      </c>
      <c r="U205" s="92" t="s">
        <v>46</v>
      </c>
      <c r="V205" s="92" t="s">
        <v>46</v>
      </c>
      <c r="W205" s="92" t="s">
        <v>46</v>
      </c>
      <c r="X205" s="92" t="s">
        <v>46</v>
      </c>
      <c r="Y205" s="92" t="s">
        <v>46</v>
      </c>
      <c r="Z205" s="92" t="s">
        <v>46</v>
      </c>
      <c r="AA205" s="92" t="s">
        <v>46</v>
      </c>
      <c r="AB205" s="92" t="s">
        <v>46</v>
      </c>
      <c r="AC205" s="92" t="s">
        <v>46</v>
      </c>
      <c r="AD205" s="92" t="s">
        <v>46</v>
      </c>
      <c r="AE205" s="92" t="s">
        <v>46</v>
      </c>
      <c r="AF205" s="92" t="s">
        <v>46</v>
      </c>
      <c r="AG205" s="92" t="s">
        <v>46</v>
      </c>
      <c r="AH205" s="92" t="s">
        <v>46</v>
      </c>
      <c r="AI205" s="92" t="s">
        <v>46</v>
      </c>
      <c r="AJ205" s="92">
        <v>0</v>
      </c>
      <c r="AK205" s="92">
        <v>2</v>
      </c>
      <c r="AL205" s="92">
        <f>0.1*$AL$2</f>
        <v>7.5000000000000011E-2</v>
      </c>
      <c r="AM205" s="92">
        <f>AM202</f>
        <v>2.7E-2</v>
      </c>
      <c r="AN205" s="92">
        <f>ROUNDUP(AN202/3,0)</f>
        <v>1</v>
      </c>
      <c r="AQ205" s="95">
        <f>AM205*I205+AL205</f>
        <v>9.444000000000001E-2</v>
      </c>
      <c r="AR205" s="95">
        <f t="shared" si="229"/>
        <v>9.444000000000001E-3</v>
      </c>
      <c r="AS205" s="96">
        <f t="shared" si="230"/>
        <v>0.5</v>
      </c>
      <c r="AT205" s="96">
        <f t="shared" si="231"/>
        <v>0.15097099999999999</v>
      </c>
      <c r="AU205" s="95">
        <f>10068.2*J205*POWER(10,-6)</f>
        <v>7.2491040000000001E-3</v>
      </c>
      <c r="AV205" s="96">
        <f t="shared" si="232"/>
        <v>0.76210410399999995</v>
      </c>
      <c r="AW205" s="97">
        <f t="shared" si="233"/>
        <v>0</v>
      </c>
      <c r="AX205" s="97">
        <f t="shared" si="234"/>
        <v>2.0000000000000003E-6</v>
      </c>
      <c r="AY205" s="97">
        <f t="shared" si="235"/>
        <v>7.6210410400000004E-7</v>
      </c>
      <c r="AZ205" s="297">
        <f>AW205/DB!$B$23</f>
        <v>0</v>
      </c>
      <c r="BA205" s="297">
        <f>AX205/DB!$B$23</f>
        <v>2.4096385542168678E-9</v>
      </c>
    </row>
    <row r="206" spans="1:53" s="92" customFormat="1" x14ac:dyDescent="0.3">
      <c r="A206" s="82" t="s">
        <v>875</v>
      </c>
      <c r="B206" s="82" t="str">
        <f>B202</f>
        <v>Емкость Е-5, технологическое масло</v>
      </c>
      <c r="C206" s="84" t="s">
        <v>153</v>
      </c>
      <c r="D206" s="85" t="s">
        <v>47</v>
      </c>
      <c r="E206" s="98">
        <f>E205</f>
        <v>1.0000000000000001E-5</v>
      </c>
      <c r="F206" s="99">
        <f>F202</f>
        <v>1</v>
      </c>
      <c r="G206" s="82">
        <v>4.5000000000000005E-2</v>
      </c>
      <c r="H206" s="87">
        <f t="shared" si="225"/>
        <v>4.5000000000000009E-7</v>
      </c>
      <c r="I206" s="100">
        <f>0.15*I202</f>
        <v>0.72</v>
      </c>
      <c r="J206" s="100">
        <f>I205</f>
        <v>0.72</v>
      </c>
      <c r="K206" s="103" t="s">
        <v>127</v>
      </c>
      <c r="L206" s="104">
        <v>3</v>
      </c>
      <c r="M206" s="92" t="str">
        <f t="shared" si="226"/>
        <v>C148</v>
      </c>
      <c r="N206" s="92" t="str">
        <f t="shared" si="227"/>
        <v>Емкость Е-5, технологическое масло</v>
      </c>
      <c r="O206" s="92" t="str">
        <f t="shared" si="228"/>
        <v>Частичное-пожар</v>
      </c>
      <c r="P206" s="92">
        <v>3.6</v>
      </c>
      <c r="Q206" s="92">
        <v>5.3</v>
      </c>
      <c r="R206" s="92">
        <v>7.8</v>
      </c>
      <c r="S206" s="92">
        <v>14.2</v>
      </c>
      <c r="T206" s="92" t="s">
        <v>46</v>
      </c>
      <c r="U206" s="92" t="s">
        <v>46</v>
      </c>
      <c r="V206" s="92" t="s">
        <v>46</v>
      </c>
      <c r="W206" s="92" t="s">
        <v>46</v>
      </c>
      <c r="X206" s="92" t="s">
        <v>46</v>
      </c>
      <c r="Y206" s="92" t="s">
        <v>46</v>
      </c>
      <c r="Z206" s="92" t="s">
        <v>46</v>
      </c>
      <c r="AA206" s="92" t="s">
        <v>46</v>
      </c>
      <c r="AB206" s="92" t="s">
        <v>46</v>
      </c>
      <c r="AC206" s="92" t="s">
        <v>46</v>
      </c>
      <c r="AD206" s="92" t="s">
        <v>46</v>
      </c>
      <c r="AE206" s="92" t="s">
        <v>46</v>
      </c>
      <c r="AF206" s="92" t="s">
        <v>46</v>
      </c>
      <c r="AG206" s="92" t="s">
        <v>46</v>
      </c>
      <c r="AH206" s="92" t="s">
        <v>46</v>
      </c>
      <c r="AI206" s="92" t="s">
        <v>46</v>
      </c>
      <c r="AJ206" s="92">
        <v>0</v>
      </c>
      <c r="AK206" s="92">
        <v>1</v>
      </c>
      <c r="AL206" s="92">
        <f>0.1*$AL$2</f>
        <v>7.5000000000000011E-2</v>
      </c>
      <c r="AM206" s="92">
        <f>AM202</f>
        <v>2.7E-2</v>
      </c>
      <c r="AN206" s="92">
        <f>ROUNDUP(AN202/3,0)</f>
        <v>1</v>
      </c>
      <c r="AQ206" s="95">
        <f>AM206*I206+AL206</f>
        <v>9.444000000000001E-2</v>
      </c>
      <c r="AR206" s="95">
        <f t="shared" si="229"/>
        <v>9.444000000000001E-3</v>
      </c>
      <c r="AS206" s="96">
        <f t="shared" si="230"/>
        <v>0.25</v>
      </c>
      <c r="AT206" s="96">
        <f t="shared" si="231"/>
        <v>8.8470999999999994E-2</v>
      </c>
      <c r="AU206" s="95">
        <f>10068.2*J206*POWER(10,-6)*10</f>
        <v>7.2491040000000007E-2</v>
      </c>
      <c r="AV206" s="96">
        <f t="shared" si="232"/>
        <v>0.51484604</v>
      </c>
      <c r="AW206" s="97">
        <f t="shared" si="233"/>
        <v>0</v>
      </c>
      <c r="AX206" s="97">
        <f t="shared" si="234"/>
        <v>4.5000000000000009E-7</v>
      </c>
      <c r="AY206" s="97">
        <f t="shared" si="235"/>
        <v>2.3168071800000006E-7</v>
      </c>
      <c r="AZ206" s="297">
        <f>AW206/DB!$B$23</f>
        <v>0</v>
      </c>
      <c r="BA206" s="297">
        <f>AX206/DB!$B$23</f>
        <v>5.421686746987953E-10</v>
      </c>
    </row>
    <row r="207" spans="1:53" s="92" customFormat="1" ht="15" thickBot="1" x14ac:dyDescent="0.35">
      <c r="A207" s="82" t="s">
        <v>876</v>
      </c>
      <c r="B207" s="82" t="str">
        <f>B202</f>
        <v>Емкость Е-5, технологическое масло</v>
      </c>
      <c r="C207" s="84" t="s">
        <v>148</v>
      </c>
      <c r="D207" s="85" t="s">
        <v>27</v>
      </c>
      <c r="E207" s="98">
        <f>E205</f>
        <v>1.0000000000000001E-5</v>
      </c>
      <c r="F207" s="99">
        <f>F202</f>
        <v>1</v>
      </c>
      <c r="G207" s="82">
        <v>0.85499999999999998</v>
      </c>
      <c r="H207" s="87">
        <f t="shared" si="225"/>
        <v>8.5500000000000011E-6</v>
      </c>
      <c r="I207" s="100">
        <f>0.15*I202</f>
        <v>0.72</v>
      </c>
      <c r="J207" s="82">
        <v>0</v>
      </c>
      <c r="K207" s="105" t="s">
        <v>138</v>
      </c>
      <c r="L207" s="105">
        <v>11</v>
      </c>
      <c r="M207" s="92" t="str">
        <f t="shared" si="226"/>
        <v>C149</v>
      </c>
      <c r="N207" s="92" t="str">
        <f t="shared" si="227"/>
        <v>Емкость Е-5, технологическое масло</v>
      </c>
      <c r="O207" s="92" t="str">
        <f t="shared" si="228"/>
        <v>Частичное-ликвидация</v>
      </c>
      <c r="P207" s="92" t="s">
        <v>46</v>
      </c>
      <c r="Q207" s="92" t="s">
        <v>46</v>
      </c>
      <c r="R207" s="92" t="s">
        <v>46</v>
      </c>
      <c r="S207" s="92" t="s">
        <v>46</v>
      </c>
      <c r="T207" s="92" t="s">
        <v>46</v>
      </c>
      <c r="U207" s="92" t="s">
        <v>46</v>
      </c>
      <c r="V207" s="92" t="s">
        <v>46</v>
      </c>
      <c r="W207" s="92" t="s">
        <v>46</v>
      </c>
      <c r="X207" s="92" t="s">
        <v>46</v>
      </c>
      <c r="Y207" s="92" t="s">
        <v>46</v>
      </c>
      <c r="Z207" s="92" t="s">
        <v>46</v>
      </c>
      <c r="AA207" s="92" t="s">
        <v>46</v>
      </c>
      <c r="AB207" s="92" t="s">
        <v>46</v>
      </c>
      <c r="AC207" s="92" t="s">
        <v>46</v>
      </c>
      <c r="AD207" s="92" t="s">
        <v>46</v>
      </c>
      <c r="AE207" s="92" t="s">
        <v>46</v>
      </c>
      <c r="AF207" s="92" t="s">
        <v>46</v>
      </c>
      <c r="AG207" s="92" t="s">
        <v>46</v>
      </c>
      <c r="AH207" s="92" t="s">
        <v>46</v>
      </c>
      <c r="AI207" s="92" t="s">
        <v>46</v>
      </c>
      <c r="AJ207" s="92">
        <v>0</v>
      </c>
      <c r="AK207" s="92">
        <v>0</v>
      </c>
      <c r="AL207" s="92">
        <f>0.1*$AL$2</f>
        <v>7.5000000000000011E-2</v>
      </c>
      <c r="AM207" s="92">
        <f>AM202</f>
        <v>2.7E-2</v>
      </c>
      <c r="AN207" s="92">
        <f>ROUNDUP(AN202/3,0)</f>
        <v>1</v>
      </c>
      <c r="AQ207" s="95">
        <f>AM207*I207*0.1+AL207</f>
        <v>7.6944000000000012E-2</v>
      </c>
      <c r="AR207" s="95">
        <f t="shared" si="229"/>
        <v>7.6944000000000014E-3</v>
      </c>
      <c r="AS207" s="96">
        <f t="shared" si="230"/>
        <v>0</v>
      </c>
      <c r="AT207" s="96">
        <f t="shared" si="231"/>
        <v>2.1159600000000004E-2</v>
      </c>
      <c r="AU207" s="95">
        <f>1333*J206*POWER(10,-6)</f>
        <v>9.5975999999999993E-4</v>
      </c>
      <c r="AV207" s="96">
        <f t="shared" si="232"/>
        <v>0.10675776000000002</v>
      </c>
      <c r="AW207" s="97">
        <f t="shared" si="233"/>
        <v>0</v>
      </c>
      <c r="AX207" s="97">
        <f t="shared" si="234"/>
        <v>0</v>
      </c>
      <c r="AY207" s="97">
        <f t="shared" si="235"/>
        <v>9.1277884800000032E-7</v>
      </c>
      <c r="AZ207" s="297">
        <f>AW207/DB!$B$23</f>
        <v>0</v>
      </c>
      <c r="BA207" s="297">
        <f>AX207/DB!$B$23</f>
        <v>0</v>
      </c>
    </row>
    <row r="208" spans="1:53" s="92" customFormat="1" x14ac:dyDescent="0.3">
      <c r="A208" s="93"/>
      <c r="B208" s="93"/>
      <c r="D208" s="184"/>
      <c r="E208" s="185"/>
      <c r="F208" s="186"/>
      <c r="G208" s="93"/>
      <c r="H208" s="97"/>
      <c r="I208" s="96"/>
      <c r="J208" s="93"/>
      <c r="K208" s="207" t="s">
        <v>468</v>
      </c>
      <c r="L208" s="295" t="s">
        <v>726</v>
      </c>
      <c r="AQ208" s="95"/>
      <c r="AR208" s="95"/>
      <c r="AS208" s="96"/>
      <c r="AT208" s="96"/>
      <c r="AU208" s="95"/>
      <c r="AV208" s="96"/>
      <c r="AW208" s="97"/>
      <c r="AX208" s="97"/>
      <c r="AY208" s="97"/>
    </row>
    <row r="209" spans="1:53" s="92" customFormat="1" x14ac:dyDescent="0.3">
      <c r="A209" s="93"/>
      <c r="B209" s="93"/>
      <c r="D209" s="184"/>
      <c r="E209" s="185"/>
      <c r="F209" s="186"/>
      <c r="G209" s="93"/>
      <c r="H209" s="97"/>
      <c r="I209" s="96"/>
      <c r="J209" s="93"/>
      <c r="K209" s="93"/>
      <c r="L209" s="93"/>
      <c r="AQ209" s="95"/>
      <c r="AR209" s="95"/>
      <c r="AS209" s="96"/>
      <c r="AT209" s="96"/>
      <c r="AU209" s="95"/>
      <c r="AV209" s="96"/>
      <c r="AW209" s="97"/>
      <c r="AX209" s="97"/>
      <c r="AY209" s="97"/>
    </row>
    <row r="210" spans="1:53" s="92" customFormat="1" x14ac:dyDescent="0.3">
      <c r="A210" s="93"/>
      <c r="B210" s="93"/>
      <c r="D210" s="184"/>
      <c r="E210" s="185"/>
      <c r="F210" s="186"/>
      <c r="G210" s="93"/>
      <c r="H210" s="97"/>
      <c r="I210" s="96"/>
      <c r="J210" s="93"/>
      <c r="K210" s="93"/>
      <c r="L210" s="93"/>
      <c r="AQ210" s="95"/>
      <c r="AR210" s="95"/>
      <c r="AS210" s="96"/>
      <c r="AT210" s="96"/>
      <c r="AU210" s="95"/>
      <c r="AV210" s="96"/>
      <c r="AW210" s="97"/>
      <c r="AX210" s="97"/>
      <c r="AY210" s="97"/>
    </row>
    <row r="211" spans="1:53" ht="15" thickBot="1" x14ac:dyDescent="0.35"/>
    <row r="212" spans="1:53" ht="18" customHeight="1" x14ac:dyDescent="0.3">
      <c r="A212" s="8" t="s">
        <v>877</v>
      </c>
      <c r="B212" s="63" t="s">
        <v>731</v>
      </c>
      <c r="C212" s="79" t="s">
        <v>732</v>
      </c>
      <c r="D212" s="9" t="s">
        <v>130</v>
      </c>
      <c r="E212" s="66">
        <v>1E-4</v>
      </c>
      <c r="F212" s="63">
        <v>1</v>
      </c>
      <c r="G212" s="8">
        <v>0.2</v>
      </c>
      <c r="H212" s="10">
        <f>E212*F212*G212</f>
        <v>2.0000000000000002E-5</v>
      </c>
      <c r="I212" s="64">
        <v>0.15</v>
      </c>
      <c r="J212" s="69">
        <f>I212</f>
        <v>0.15</v>
      </c>
      <c r="K212" s="72" t="s">
        <v>122</v>
      </c>
      <c r="L212" s="77">
        <v>0</v>
      </c>
      <c r="M212" s="31" t="str">
        <f t="shared" ref="M212:N219" si="236">A212</f>
        <v>C150</v>
      </c>
      <c r="N212" s="31" t="str">
        <f t="shared" si="236"/>
        <v>Компрессор ГК№1-4, попутный нефтяной газ</v>
      </c>
      <c r="O212" s="31" t="str">
        <f t="shared" ref="O212:O219" si="237">D212</f>
        <v>Полное-факел</v>
      </c>
      <c r="P212" s="31" t="s">
        <v>46</v>
      </c>
      <c r="Q212" s="31" t="s">
        <v>46</v>
      </c>
      <c r="R212" s="31" t="s">
        <v>46</v>
      </c>
      <c r="S212" s="31" t="s">
        <v>46</v>
      </c>
      <c r="T212" s="31" t="s">
        <v>46</v>
      </c>
      <c r="U212" s="31" t="s">
        <v>46</v>
      </c>
      <c r="V212" s="31" t="s">
        <v>46</v>
      </c>
      <c r="W212" s="31" t="s">
        <v>46</v>
      </c>
      <c r="X212" s="31" t="s">
        <v>46</v>
      </c>
      <c r="Y212" s="31">
        <v>20</v>
      </c>
      <c r="Z212" s="31">
        <v>3</v>
      </c>
      <c r="AA212" s="31" t="s">
        <v>46</v>
      </c>
      <c r="AB212" s="31" t="s">
        <v>46</v>
      </c>
      <c r="AC212" s="31" t="s">
        <v>46</v>
      </c>
      <c r="AD212" s="31" t="s">
        <v>46</v>
      </c>
      <c r="AE212" s="31" t="s">
        <v>46</v>
      </c>
      <c r="AF212" s="31" t="s">
        <v>46</v>
      </c>
      <c r="AG212" s="31" t="s">
        <v>46</v>
      </c>
      <c r="AH212" s="31" t="s">
        <v>46</v>
      </c>
      <c r="AI212" s="31" t="s">
        <v>46</v>
      </c>
      <c r="AJ212" s="12">
        <v>1</v>
      </c>
      <c r="AK212" s="12">
        <v>2</v>
      </c>
      <c r="AL212" s="65">
        <v>0.75</v>
      </c>
      <c r="AM212" s="65">
        <v>2.7E-2</v>
      </c>
      <c r="AN212" s="65">
        <v>3</v>
      </c>
      <c r="AO212" s="31"/>
      <c r="AP212" s="31"/>
      <c r="AQ212" s="32">
        <f>AM212*I212+AL212</f>
        <v>0.75405</v>
      </c>
      <c r="AR212" s="32">
        <f>0.1*AQ212</f>
        <v>7.5405E-2</v>
      </c>
      <c r="AS212" s="33">
        <f>AJ212*3+0.25*AK212</f>
        <v>3.5</v>
      </c>
      <c r="AT212" s="33">
        <f>SUM(AQ212:AS212)/4</f>
        <v>1.0823637500000001</v>
      </c>
      <c r="AU212" s="32">
        <f>10068.2*J212*POWER(10,-6)</f>
        <v>1.51023E-3</v>
      </c>
      <c r="AV212" s="33">
        <f t="shared" ref="AV212:AV219" si="238">AU212+AT212+AS212+AR212+AQ212</f>
        <v>5.4133289800000002</v>
      </c>
      <c r="AW212" s="34">
        <f>AJ212*H212</f>
        <v>2.0000000000000002E-5</v>
      </c>
      <c r="AX212" s="34">
        <f>H212*AK212</f>
        <v>4.0000000000000003E-5</v>
      </c>
      <c r="AY212" s="34">
        <f>H212*AV212</f>
        <v>1.0826657960000002E-4</v>
      </c>
      <c r="AZ212" s="297">
        <f>AW212/DB!$B$23</f>
        <v>2.4096385542168677E-8</v>
      </c>
      <c r="BA212" s="297">
        <f>AX212/DB!$B$23</f>
        <v>4.8192771084337353E-8</v>
      </c>
    </row>
    <row r="213" spans="1:53" x14ac:dyDescent="0.3">
      <c r="A213" s="8" t="s">
        <v>878</v>
      </c>
      <c r="B213" s="8" t="str">
        <f>B212</f>
        <v>Компрессор ГК№1-4, попутный нефтяной газ</v>
      </c>
      <c r="C213" s="79" t="s">
        <v>733</v>
      </c>
      <c r="D213" s="9" t="s">
        <v>28</v>
      </c>
      <c r="E213" s="67">
        <f>E212</f>
        <v>1E-4</v>
      </c>
      <c r="F213" s="68">
        <f>F212</f>
        <v>1</v>
      </c>
      <c r="G213" s="8">
        <v>0.1152</v>
      </c>
      <c r="H213" s="10">
        <f t="shared" ref="H213:H219" si="239">E213*F213*G213</f>
        <v>1.152E-5</v>
      </c>
      <c r="I213" s="62">
        <f>I212</f>
        <v>0.15</v>
      </c>
      <c r="J213" s="80">
        <f>0.1*I212</f>
        <v>1.4999999999999999E-2</v>
      </c>
      <c r="K213" s="74" t="s">
        <v>123</v>
      </c>
      <c r="L213" s="78">
        <v>3</v>
      </c>
      <c r="M213" s="31" t="str">
        <f t="shared" si="236"/>
        <v>C151</v>
      </c>
      <c r="N213" s="31" t="str">
        <f t="shared" si="236"/>
        <v>Компрессор ГК№1-4, попутный нефтяной газ</v>
      </c>
      <c r="O213" s="31" t="str">
        <f t="shared" si="237"/>
        <v>Полное-взрыв</v>
      </c>
      <c r="P213" s="31" t="s">
        <v>46</v>
      </c>
      <c r="Q213" s="31" t="s">
        <v>46</v>
      </c>
      <c r="R213" s="31" t="s">
        <v>46</v>
      </c>
      <c r="S213" s="31" t="s">
        <v>46</v>
      </c>
      <c r="T213" s="31">
        <v>0</v>
      </c>
      <c r="U213" s="31">
        <v>0</v>
      </c>
      <c r="V213" s="31">
        <v>18.600000000000001</v>
      </c>
      <c r="W213" s="31">
        <v>62.1</v>
      </c>
      <c r="X213" s="31">
        <v>91.1</v>
      </c>
      <c r="Y213" s="31" t="s">
        <v>46</v>
      </c>
      <c r="Z213" s="31" t="s">
        <v>46</v>
      </c>
      <c r="AA213" s="31" t="s">
        <v>46</v>
      </c>
      <c r="AB213" s="31" t="s">
        <v>46</v>
      </c>
      <c r="AC213" s="31" t="s">
        <v>46</v>
      </c>
      <c r="AD213" s="31" t="s">
        <v>46</v>
      </c>
      <c r="AE213" s="31" t="s">
        <v>46</v>
      </c>
      <c r="AF213" s="31" t="s">
        <v>46</v>
      </c>
      <c r="AG213" s="31" t="s">
        <v>46</v>
      </c>
      <c r="AH213" s="31" t="s">
        <v>46</v>
      </c>
      <c r="AI213" s="31" t="s">
        <v>46</v>
      </c>
      <c r="AJ213" s="12">
        <v>2</v>
      </c>
      <c r="AK213" s="12">
        <v>2</v>
      </c>
      <c r="AL213" s="31">
        <f>AL212</f>
        <v>0.75</v>
      </c>
      <c r="AM213" s="31">
        <f>AM212</f>
        <v>2.7E-2</v>
      </c>
      <c r="AN213" s="31">
        <f>AN212</f>
        <v>3</v>
      </c>
      <c r="AO213" s="31"/>
      <c r="AP213" s="31"/>
      <c r="AQ213" s="32">
        <f>AM213*I213+AL213</f>
        <v>0.75405</v>
      </c>
      <c r="AR213" s="32">
        <f t="shared" ref="AR213:AR219" si="240">0.1*AQ213</f>
        <v>7.5405E-2</v>
      </c>
      <c r="AS213" s="33">
        <f t="shared" ref="AS213:AS219" si="241">AJ213*3+0.25*AK213</f>
        <v>6.5</v>
      </c>
      <c r="AT213" s="33">
        <f t="shared" ref="AT213:AT219" si="242">SUM(AQ213:AS213)/4</f>
        <v>1.8323637500000001</v>
      </c>
      <c r="AU213" s="32">
        <f>10068.2*J213*POWER(10,-6)*10</f>
        <v>1.51023E-3</v>
      </c>
      <c r="AV213" s="33">
        <f t="shared" si="238"/>
        <v>9.1633289799999993</v>
      </c>
      <c r="AW213" s="34">
        <f t="shared" ref="AW213:AW219" si="243">AJ213*H213</f>
        <v>2.304E-5</v>
      </c>
      <c r="AX213" s="34">
        <f t="shared" ref="AX213:AX219" si="244">H213*AK213</f>
        <v>2.304E-5</v>
      </c>
      <c r="AY213" s="34">
        <f t="shared" ref="AY213:AY219" si="245">H213*AV213</f>
        <v>1.0556154984959999E-4</v>
      </c>
      <c r="AZ213" s="297">
        <f>AW213/DB!$B$23</f>
        <v>2.7759036144578312E-8</v>
      </c>
      <c r="BA213" s="297">
        <f>AX213/DB!$B$23</f>
        <v>2.7759036144578312E-8</v>
      </c>
    </row>
    <row r="214" spans="1:53" x14ac:dyDescent="0.3">
      <c r="A214" s="8" t="s">
        <v>879</v>
      </c>
      <c r="B214" s="8" t="str">
        <f>B212</f>
        <v>Компрессор ГК№1-4, попутный нефтяной газ</v>
      </c>
      <c r="C214" s="79" t="s">
        <v>734</v>
      </c>
      <c r="D214" s="9" t="s">
        <v>132</v>
      </c>
      <c r="E214" s="67">
        <f>E212</f>
        <v>1E-4</v>
      </c>
      <c r="F214" s="68">
        <f>F212</f>
        <v>1</v>
      </c>
      <c r="G214" s="8">
        <v>7.6799999999999993E-2</v>
      </c>
      <c r="H214" s="10">
        <f>E214*F214*G214</f>
        <v>7.6799999999999993E-6</v>
      </c>
      <c r="I214" s="62">
        <f>I212</f>
        <v>0.15</v>
      </c>
      <c r="J214" s="69">
        <f>I212</f>
        <v>0.15</v>
      </c>
      <c r="K214" s="74" t="s">
        <v>124</v>
      </c>
      <c r="L214" s="78">
        <v>0</v>
      </c>
      <c r="M214" s="31" t="str">
        <f>A214</f>
        <v>C152</v>
      </c>
      <c r="N214" s="31" t="str">
        <f>B214</f>
        <v>Компрессор ГК№1-4, попутный нефтяной газ</v>
      </c>
      <c r="O214" s="31" t="str">
        <f>D214</f>
        <v>Полное-вспышка</v>
      </c>
      <c r="P214" s="31" t="s">
        <v>46</v>
      </c>
      <c r="Q214" s="31" t="s">
        <v>46</v>
      </c>
      <c r="R214" s="31" t="s">
        <v>46</v>
      </c>
      <c r="S214" s="31" t="s">
        <v>46</v>
      </c>
      <c r="T214" s="31" t="s">
        <v>46</v>
      </c>
      <c r="U214" s="31" t="s">
        <v>46</v>
      </c>
      <c r="V214" s="31" t="s">
        <v>46</v>
      </c>
      <c r="W214" s="31" t="s">
        <v>46</v>
      </c>
      <c r="X214" s="31" t="s">
        <v>46</v>
      </c>
      <c r="Y214" s="31" t="s">
        <v>46</v>
      </c>
      <c r="Z214" s="31" t="s">
        <v>46</v>
      </c>
      <c r="AA214" s="31">
        <v>17.920000000000002</v>
      </c>
      <c r="AB214" s="31">
        <v>21.5</v>
      </c>
      <c r="AC214" s="31" t="s">
        <v>46</v>
      </c>
      <c r="AD214" s="31" t="s">
        <v>46</v>
      </c>
      <c r="AE214" s="31" t="s">
        <v>46</v>
      </c>
      <c r="AF214" s="31" t="s">
        <v>46</v>
      </c>
      <c r="AG214" s="31" t="s">
        <v>46</v>
      </c>
      <c r="AH214" s="31" t="s">
        <v>46</v>
      </c>
      <c r="AI214" s="31" t="s">
        <v>46</v>
      </c>
      <c r="AJ214" s="31">
        <v>0</v>
      </c>
      <c r="AK214" s="31">
        <v>0</v>
      </c>
      <c r="AL214" s="31">
        <f>AL212</f>
        <v>0.75</v>
      </c>
      <c r="AM214" s="31">
        <f>AM212</f>
        <v>2.7E-2</v>
      </c>
      <c r="AN214" s="31">
        <f>AN212</f>
        <v>3</v>
      </c>
      <c r="AO214" s="31"/>
      <c r="AP214" s="31"/>
      <c r="AQ214" s="32">
        <f>AM214*I214*0.1+AL214</f>
        <v>0.75040499999999999</v>
      </c>
      <c r="AR214" s="32">
        <f>0.1*AQ214</f>
        <v>7.504050000000001E-2</v>
      </c>
      <c r="AS214" s="33">
        <f>AJ214*3+0.25*AK214</f>
        <v>0</v>
      </c>
      <c r="AT214" s="33">
        <f>SUM(AQ214:AS214)/4</f>
        <v>0.20636137500000001</v>
      </c>
      <c r="AU214" s="32">
        <f>1333*J212*POWER(10,-6)</f>
        <v>1.9994999999999998E-4</v>
      </c>
      <c r="AV214" s="33">
        <f>AU214+AT214+AS214+AR214+AQ214</f>
        <v>1.0320068250000001</v>
      </c>
      <c r="AW214" s="34">
        <f t="shared" si="243"/>
        <v>0</v>
      </c>
      <c r="AX214" s="34">
        <f t="shared" si="244"/>
        <v>0</v>
      </c>
      <c r="AY214" s="34">
        <f t="shared" si="245"/>
        <v>7.9258124160000006E-6</v>
      </c>
      <c r="AZ214" s="297">
        <f>AW214/DB!$B$23</f>
        <v>0</v>
      </c>
      <c r="BA214" s="297">
        <f>AX214/DB!$B$23</f>
        <v>0</v>
      </c>
    </row>
    <row r="215" spans="1:53" x14ac:dyDescent="0.3">
      <c r="A215" s="8" t="s">
        <v>880</v>
      </c>
      <c r="B215" s="8" t="str">
        <f>B212</f>
        <v>Компрессор ГК№1-4, попутный нефтяной газ</v>
      </c>
      <c r="C215" s="79" t="s">
        <v>735</v>
      </c>
      <c r="D215" s="9" t="s">
        <v>26</v>
      </c>
      <c r="E215" s="67">
        <f>E212</f>
        <v>1E-4</v>
      </c>
      <c r="F215" s="68">
        <f>F212</f>
        <v>1</v>
      </c>
      <c r="G215" s="8">
        <v>0.60799999999999998</v>
      </c>
      <c r="H215" s="10">
        <f t="shared" si="239"/>
        <v>6.0800000000000001E-5</v>
      </c>
      <c r="I215" s="62">
        <f>I212</f>
        <v>0.15</v>
      </c>
      <c r="J215" s="71">
        <v>0</v>
      </c>
      <c r="K215" s="74" t="s">
        <v>126</v>
      </c>
      <c r="L215" s="78">
        <v>45390</v>
      </c>
      <c r="M215" s="31" t="str">
        <f t="shared" si="236"/>
        <v>C153</v>
      </c>
      <c r="N215" s="31" t="str">
        <f t="shared" si="236"/>
        <v>Компрессор ГК№1-4, попутный нефтяной газ</v>
      </c>
      <c r="O215" s="31" t="str">
        <f t="shared" si="237"/>
        <v>Полное-ликвидация</v>
      </c>
      <c r="P215" s="31" t="s">
        <v>46</v>
      </c>
      <c r="Q215" s="31" t="s">
        <v>46</v>
      </c>
      <c r="R215" s="31" t="s">
        <v>46</v>
      </c>
      <c r="S215" s="31" t="s">
        <v>46</v>
      </c>
      <c r="T215" s="31" t="s">
        <v>46</v>
      </c>
      <c r="U215" s="31" t="s">
        <v>46</v>
      </c>
      <c r="V215" s="31" t="s">
        <v>46</v>
      </c>
      <c r="W215" s="31" t="s">
        <v>46</v>
      </c>
      <c r="X215" s="31" t="s">
        <v>46</v>
      </c>
      <c r="Y215" s="31" t="s">
        <v>46</v>
      </c>
      <c r="Z215" s="31" t="s">
        <v>46</v>
      </c>
      <c r="AA215" s="31" t="s">
        <v>46</v>
      </c>
      <c r="AB215" s="31" t="s">
        <v>46</v>
      </c>
      <c r="AC215" s="31" t="s">
        <v>46</v>
      </c>
      <c r="AD215" s="31" t="s">
        <v>46</v>
      </c>
      <c r="AE215" s="31" t="s">
        <v>46</v>
      </c>
      <c r="AF215" s="31" t="s">
        <v>46</v>
      </c>
      <c r="AG215" s="31" t="s">
        <v>46</v>
      </c>
      <c r="AH215" s="31" t="s">
        <v>46</v>
      </c>
      <c r="AI215" s="31" t="s">
        <v>46</v>
      </c>
      <c r="AJ215" s="31">
        <v>0</v>
      </c>
      <c r="AK215" s="31">
        <v>0</v>
      </c>
      <c r="AL215" s="31">
        <f>AL212</f>
        <v>0.75</v>
      </c>
      <c r="AM215" s="31">
        <f>AM212</f>
        <v>2.7E-2</v>
      </c>
      <c r="AN215" s="31">
        <f>AN212</f>
        <v>3</v>
      </c>
      <c r="AO215" s="31"/>
      <c r="AP215" s="31"/>
      <c r="AQ215" s="32">
        <f>AM215*I215*0.1+AL215</f>
        <v>0.75040499999999999</v>
      </c>
      <c r="AR215" s="32">
        <f t="shared" si="240"/>
        <v>7.504050000000001E-2</v>
      </c>
      <c r="AS215" s="33">
        <f t="shared" si="241"/>
        <v>0</v>
      </c>
      <c r="AT215" s="33">
        <f t="shared" si="242"/>
        <v>0.20636137500000001</v>
      </c>
      <c r="AU215" s="32">
        <f>1333*J213*POWER(10,-6)</f>
        <v>1.9995000000000001E-5</v>
      </c>
      <c r="AV215" s="33">
        <f t="shared" si="238"/>
        <v>1.03182687</v>
      </c>
      <c r="AW215" s="34">
        <f t="shared" si="243"/>
        <v>0</v>
      </c>
      <c r="AX215" s="34">
        <f t="shared" si="244"/>
        <v>0</v>
      </c>
      <c r="AY215" s="34">
        <f t="shared" si="245"/>
        <v>6.2735073696000001E-5</v>
      </c>
      <c r="AZ215" s="297">
        <f>AW215/DB!$B$23</f>
        <v>0</v>
      </c>
      <c r="BA215" s="297">
        <f>AX215/DB!$B$23</f>
        <v>0</v>
      </c>
    </row>
    <row r="216" spans="1:53" x14ac:dyDescent="0.3">
      <c r="A216" s="8" t="s">
        <v>881</v>
      </c>
      <c r="B216" s="8" t="str">
        <f>B212</f>
        <v>Компрессор ГК№1-4, попутный нефтяной газ</v>
      </c>
      <c r="C216" s="79" t="s">
        <v>736</v>
      </c>
      <c r="D216" s="9" t="s">
        <v>134</v>
      </c>
      <c r="E216" s="66">
        <v>4.4000000000000003E-3</v>
      </c>
      <c r="F216" s="68">
        <f t="shared" ref="F216:F218" si="246">F213</f>
        <v>1</v>
      </c>
      <c r="G216" s="8">
        <v>3.5000000000000003E-2</v>
      </c>
      <c r="H216" s="10">
        <f t="shared" si="239"/>
        <v>1.5400000000000003E-4</v>
      </c>
      <c r="I216" s="62">
        <f>0.15*I212</f>
        <v>2.2499999999999999E-2</v>
      </c>
      <c r="J216" s="69">
        <f>I216</f>
        <v>2.2499999999999999E-2</v>
      </c>
      <c r="K216" s="74" t="s">
        <v>127</v>
      </c>
      <c r="L216" s="78">
        <v>3</v>
      </c>
      <c r="M216" s="31" t="str">
        <f t="shared" si="236"/>
        <v>C154</v>
      </c>
      <c r="N216" s="31" t="str">
        <f t="shared" si="236"/>
        <v>Компрессор ГК№1-4, попутный нефтяной газ</v>
      </c>
      <c r="O216" s="31" t="str">
        <f t="shared" si="237"/>
        <v>Частичное-факел</v>
      </c>
      <c r="P216" s="31" t="s">
        <v>46</v>
      </c>
      <c r="Q216" s="31" t="s">
        <v>46</v>
      </c>
      <c r="R216" s="31" t="s">
        <v>46</v>
      </c>
      <c r="S216" s="31" t="s">
        <v>46</v>
      </c>
      <c r="T216" s="31" t="s">
        <v>46</v>
      </c>
      <c r="U216" s="31" t="s">
        <v>46</v>
      </c>
      <c r="V216" s="31" t="s">
        <v>46</v>
      </c>
      <c r="W216" s="31" t="s">
        <v>46</v>
      </c>
      <c r="X216" s="31" t="s">
        <v>46</v>
      </c>
      <c r="Y216" s="31">
        <v>13</v>
      </c>
      <c r="Z216" s="31">
        <v>2</v>
      </c>
      <c r="AA216" s="31" t="s">
        <v>46</v>
      </c>
      <c r="AB216" s="31" t="s">
        <v>46</v>
      </c>
      <c r="AC216" s="31" t="s">
        <v>46</v>
      </c>
      <c r="AD216" s="31" t="s">
        <v>46</v>
      </c>
      <c r="AE216" s="31" t="s">
        <v>46</v>
      </c>
      <c r="AF216" s="31" t="s">
        <v>46</v>
      </c>
      <c r="AG216" s="31" t="s">
        <v>46</v>
      </c>
      <c r="AH216" s="31" t="s">
        <v>46</v>
      </c>
      <c r="AI216" s="31" t="s">
        <v>46</v>
      </c>
      <c r="AJ216" s="31">
        <v>0</v>
      </c>
      <c r="AK216" s="31">
        <v>1</v>
      </c>
      <c r="AL216" s="31">
        <f>0.1*$AL$2</f>
        <v>7.5000000000000011E-2</v>
      </c>
      <c r="AM216" s="31">
        <f>AM212</f>
        <v>2.7E-2</v>
      </c>
      <c r="AN216" s="31">
        <f>ROUNDUP(AN212/3,0)</f>
        <v>1</v>
      </c>
      <c r="AO216" s="31"/>
      <c r="AP216" s="31"/>
      <c r="AQ216" s="32">
        <f>AM216*I216+AL216</f>
        <v>7.5607500000000008E-2</v>
      </c>
      <c r="AR216" s="32">
        <f t="shared" si="240"/>
        <v>7.5607500000000015E-3</v>
      </c>
      <c r="AS216" s="33">
        <f t="shared" si="241"/>
        <v>0.25</v>
      </c>
      <c r="AT216" s="33">
        <f t="shared" si="242"/>
        <v>8.32920625E-2</v>
      </c>
      <c r="AU216" s="32">
        <f>10068.2*J216*POWER(10,-6)</f>
        <v>2.265345E-4</v>
      </c>
      <c r="AV216" s="33">
        <f t="shared" si="238"/>
        <v>0.41668684699999997</v>
      </c>
      <c r="AW216" s="34">
        <f t="shared" si="243"/>
        <v>0</v>
      </c>
      <c r="AX216" s="34">
        <f t="shared" si="244"/>
        <v>1.5400000000000003E-4</v>
      </c>
      <c r="AY216" s="34">
        <f t="shared" si="245"/>
        <v>6.4169774438000004E-5</v>
      </c>
      <c r="AZ216" s="297">
        <f>AW216/DB!$B$23</f>
        <v>0</v>
      </c>
      <c r="BA216" s="297">
        <f>AX216/DB!$B$23</f>
        <v>1.8554216867469884E-7</v>
      </c>
    </row>
    <row r="217" spans="1:53" x14ac:dyDescent="0.3">
      <c r="A217" s="8" t="s">
        <v>882</v>
      </c>
      <c r="B217" s="8" t="str">
        <f>B212</f>
        <v>Компрессор ГК№1-4, попутный нефтяной газ</v>
      </c>
      <c r="C217" s="79" t="s">
        <v>737</v>
      </c>
      <c r="D217" s="9" t="s">
        <v>136</v>
      </c>
      <c r="E217" s="67">
        <f>E216</f>
        <v>4.4000000000000003E-3</v>
      </c>
      <c r="F217" s="68">
        <f t="shared" si="246"/>
        <v>1</v>
      </c>
      <c r="G217" s="8">
        <v>8.3000000000000001E-3</v>
      </c>
      <c r="H217" s="10">
        <f>E217*F217*G217</f>
        <v>3.6520000000000003E-5</v>
      </c>
      <c r="I217" s="62">
        <f>I216</f>
        <v>2.2499999999999999E-2</v>
      </c>
      <c r="J217" s="69">
        <f>J213*0.6</f>
        <v>8.9999999999999993E-3</v>
      </c>
      <c r="K217" s="73" t="s">
        <v>138</v>
      </c>
      <c r="L217" s="130">
        <v>4</v>
      </c>
      <c r="M217" s="31" t="str">
        <f>A217</f>
        <v>C155</v>
      </c>
      <c r="N217" s="31" t="str">
        <f>B217</f>
        <v>Компрессор ГК№1-4, попутный нефтяной газ</v>
      </c>
      <c r="O217" s="31" t="str">
        <f>D217</f>
        <v>Частичное-взрыв</v>
      </c>
      <c r="P217" s="31" t="s">
        <v>46</v>
      </c>
      <c r="Q217" s="31" t="s">
        <v>46</v>
      </c>
      <c r="R217" s="31" t="s">
        <v>46</v>
      </c>
      <c r="S217" s="31" t="s">
        <v>46</v>
      </c>
      <c r="T217" s="31">
        <v>0</v>
      </c>
      <c r="U217" s="31">
        <v>0</v>
      </c>
      <c r="V217" s="31">
        <v>15.6</v>
      </c>
      <c r="W217" s="31">
        <v>52.6</v>
      </c>
      <c r="X217" s="31">
        <v>76.599999999999994</v>
      </c>
      <c r="Y217" s="31" t="s">
        <v>46</v>
      </c>
      <c r="Z217" s="31" t="s">
        <v>46</v>
      </c>
      <c r="AA217" s="31" t="s">
        <v>46</v>
      </c>
      <c r="AB217" s="31" t="s">
        <v>46</v>
      </c>
      <c r="AC217" s="31" t="s">
        <v>46</v>
      </c>
      <c r="AD217" s="31" t="s">
        <v>46</v>
      </c>
      <c r="AE217" s="31" t="s">
        <v>46</v>
      </c>
      <c r="AF217" s="31" t="s">
        <v>46</v>
      </c>
      <c r="AG217" s="31" t="s">
        <v>46</v>
      </c>
      <c r="AH217" s="31" t="s">
        <v>46</v>
      </c>
      <c r="AI217" s="31" t="s">
        <v>46</v>
      </c>
      <c r="AJ217" s="31">
        <v>0</v>
      </c>
      <c r="AK217" s="31">
        <v>1</v>
      </c>
      <c r="AL217" s="31">
        <f>0.1*$AL$2</f>
        <v>7.5000000000000011E-2</v>
      </c>
      <c r="AM217" s="31">
        <f>AM212</f>
        <v>2.7E-2</v>
      </c>
      <c r="AN217" s="31">
        <f>AN216</f>
        <v>1</v>
      </c>
      <c r="AO217" s="31"/>
      <c r="AP217" s="31"/>
      <c r="AQ217" s="32">
        <f>AM217*I217+AL217</f>
        <v>7.5607500000000008E-2</v>
      </c>
      <c r="AR217" s="32">
        <f>0.1*AQ217</f>
        <v>7.5607500000000015E-3</v>
      </c>
      <c r="AS217" s="33">
        <f>AJ217*3+0.25*AK217</f>
        <v>0.25</v>
      </c>
      <c r="AT217" s="33">
        <f>SUM(AQ217:AS217)/4</f>
        <v>8.32920625E-2</v>
      </c>
      <c r="AU217" s="32">
        <f>10068.2*J217*POWER(10,-6)*10</f>
        <v>9.0613799999999991E-4</v>
      </c>
      <c r="AV217" s="33">
        <f>AU217+AT217+AS217+AR217+AQ217</f>
        <v>0.41736645049999999</v>
      </c>
      <c r="AW217" s="34">
        <f t="shared" si="243"/>
        <v>0</v>
      </c>
      <c r="AX217" s="34">
        <f t="shared" si="244"/>
        <v>3.6520000000000003E-5</v>
      </c>
      <c r="AY217" s="34">
        <f t="shared" si="245"/>
        <v>1.5242222772260001E-5</v>
      </c>
      <c r="AZ217" s="297">
        <f>AW217/DB!$B$23</f>
        <v>0</v>
      </c>
      <c r="BA217" s="297">
        <f>AX217/DB!$B$23</f>
        <v>4.4000000000000004E-8</v>
      </c>
    </row>
    <row r="218" spans="1:53" x14ac:dyDescent="0.3">
      <c r="A218" s="8" t="s">
        <v>883</v>
      </c>
      <c r="B218" s="8" t="str">
        <f>B212</f>
        <v>Компрессор ГК№1-4, попутный нефтяной газ</v>
      </c>
      <c r="C218" s="79" t="s">
        <v>738</v>
      </c>
      <c r="D218" s="9" t="s">
        <v>112</v>
      </c>
      <c r="E218" s="67">
        <f>E216</f>
        <v>4.4000000000000003E-3</v>
      </c>
      <c r="F218" s="68">
        <f t="shared" si="246"/>
        <v>1</v>
      </c>
      <c r="G218" s="8">
        <v>2.64E-2</v>
      </c>
      <c r="H218" s="10">
        <f t="shared" si="239"/>
        <v>1.1616000000000001E-4</v>
      </c>
      <c r="I218" s="62">
        <f>0.15*I212</f>
        <v>2.2499999999999999E-2</v>
      </c>
      <c r="J218" s="69">
        <f>J214*0.15</f>
        <v>2.2499999999999999E-2</v>
      </c>
      <c r="K218" s="207" t="s">
        <v>468</v>
      </c>
      <c r="L218" s="295" t="s">
        <v>726</v>
      </c>
      <c r="M218" s="31" t="str">
        <f t="shared" si="236"/>
        <v>C156</v>
      </c>
      <c r="N218" s="31" t="str">
        <f t="shared" si="236"/>
        <v>Компрессор ГК№1-4, попутный нефтяной газ</v>
      </c>
      <c r="O218" s="31" t="str">
        <f t="shared" si="237"/>
        <v>Частичное-пожар-вспышка</v>
      </c>
      <c r="P218" s="31" t="s">
        <v>46</v>
      </c>
      <c r="Q218" s="31" t="s">
        <v>46</v>
      </c>
      <c r="R218" s="31" t="s">
        <v>46</v>
      </c>
      <c r="S218" s="31" t="s">
        <v>46</v>
      </c>
      <c r="T218" s="31" t="s">
        <v>46</v>
      </c>
      <c r="U218" s="31" t="s">
        <v>46</v>
      </c>
      <c r="V218" s="31" t="s">
        <v>46</v>
      </c>
      <c r="W218" s="31" t="s">
        <v>46</v>
      </c>
      <c r="X218" s="31" t="s">
        <v>46</v>
      </c>
      <c r="Y218" s="31" t="s">
        <v>46</v>
      </c>
      <c r="Z218" s="31" t="s">
        <v>46</v>
      </c>
      <c r="AA218" s="31">
        <v>9.58</v>
      </c>
      <c r="AB218" s="31">
        <v>11.5</v>
      </c>
      <c r="AC218" s="31" t="s">
        <v>46</v>
      </c>
      <c r="AD218" s="31" t="s">
        <v>46</v>
      </c>
      <c r="AE218" s="31" t="s">
        <v>46</v>
      </c>
      <c r="AF218" s="31" t="s">
        <v>46</v>
      </c>
      <c r="AG218" s="31" t="s">
        <v>46</v>
      </c>
      <c r="AH218" s="31" t="s">
        <v>46</v>
      </c>
      <c r="AI218" s="31" t="s">
        <v>46</v>
      </c>
      <c r="AJ218" s="31">
        <v>0</v>
      </c>
      <c r="AK218" s="31">
        <v>1</v>
      </c>
      <c r="AL218" s="31">
        <f>0.1*$AL$2</f>
        <v>7.5000000000000011E-2</v>
      </c>
      <c r="AM218" s="31">
        <f>AM212</f>
        <v>2.7E-2</v>
      </c>
      <c r="AN218" s="31">
        <f>ROUNDUP(AN212/3,0)</f>
        <v>1</v>
      </c>
      <c r="AO218" s="31"/>
      <c r="AP218" s="31"/>
      <c r="AQ218" s="32">
        <f>AM218*I218+AL218</f>
        <v>7.5607500000000008E-2</v>
      </c>
      <c r="AR218" s="32">
        <f t="shared" si="240"/>
        <v>7.5607500000000015E-3</v>
      </c>
      <c r="AS218" s="33">
        <f t="shared" si="241"/>
        <v>0.25</v>
      </c>
      <c r="AT218" s="33">
        <f t="shared" si="242"/>
        <v>8.32920625E-2</v>
      </c>
      <c r="AU218" s="32">
        <f>10068.2*J218*POWER(10,-6)*10</f>
        <v>2.2653450000000002E-3</v>
      </c>
      <c r="AV218" s="33">
        <f t="shared" si="238"/>
        <v>0.41872565750000001</v>
      </c>
      <c r="AW218" s="34">
        <f t="shared" si="243"/>
        <v>0</v>
      </c>
      <c r="AX218" s="34">
        <f t="shared" si="244"/>
        <v>1.1616000000000001E-4</v>
      </c>
      <c r="AY218" s="34">
        <f t="shared" si="245"/>
        <v>4.863917237520001E-5</v>
      </c>
      <c r="AZ218" s="297">
        <f>AW218/DB!$B$23</f>
        <v>0</v>
      </c>
      <c r="BA218" s="297">
        <f>AX218/DB!$B$23</f>
        <v>1.3995180722891568E-7</v>
      </c>
    </row>
    <row r="219" spans="1:53" ht="15" thickBot="1" x14ac:dyDescent="0.35">
      <c r="A219" s="8" t="s">
        <v>884</v>
      </c>
      <c r="B219" s="8" t="str">
        <f>B212</f>
        <v>Компрессор ГК№1-4, попутный нефтяной газ</v>
      </c>
      <c r="C219" s="79" t="s">
        <v>739</v>
      </c>
      <c r="D219" s="9" t="s">
        <v>27</v>
      </c>
      <c r="E219" s="67">
        <f>E216</f>
        <v>4.4000000000000003E-3</v>
      </c>
      <c r="F219" s="68">
        <f>F212</f>
        <v>1</v>
      </c>
      <c r="G219" s="8">
        <v>0.93030000000000002</v>
      </c>
      <c r="H219" s="10">
        <f t="shared" si="239"/>
        <v>4.0933200000000001E-3</v>
      </c>
      <c r="I219" s="62">
        <f>0.15*I212</f>
        <v>2.2499999999999999E-2</v>
      </c>
      <c r="J219" s="71">
        <v>0</v>
      </c>
      <c r="K219" s="75"/>
      <c r="L219" s="76"/>
      <c r="M219" s="31" t="str">
        <f t="shared" si="236"/>
        <v>C157</v>
      </c>
      <c r="N219" s="31" t="str">
        <f t="shared" si="236"/>
        <v>Компрессор ГК№1-4, попутный нефтяной газ</v>
      </c>
      <c r="O219" s="31" t="str">
        <f t="shared" si="237"/>
        <v>Частичное-ликвидация</v>
      </c>
      <c r="P219" s="31" t="s">
        <v>46</v>
      </c>
      <c r="Q219" s="31" t="s">
        <v>46</v>
      </c>
      <c r="R219" s="31" t="s">
        <v>46</v>
      </c>
      <c r="S219" s="31" t="s">
        <v>46</v>
      </c>
      <c r="T219" s="31" t="s">
        <v>46</v>
      </c>
      <c r="U219" s="31" t="s">
        <v>46</v>
      </c>
      <c r="V219" s="31" t="s">
        <v>46</v>
      </c>
      <c r="W219" s="31" t="s">
        <v>46</v>
      </c>
      <c r="X219" s="31" t="s">
        <v>46</v>
      </c>
      <c r="Y219" s="31" t="s">
        <v>46</v>
      </c>
      <c r="Z219" s="31" t="s">
        <v>46</v>
      </c>
      <c r="AA219" s="31" t="s">
        <v>46</v>
      </c>
      <c r="AB219" s="31" t="s">
        <v>46</v>
      </c>
      <c r="AC219" s="31" t="s">
        <v>46</v>
      </c>
      <c r="AD219" s="31" t="s">
        <v>46</v>
      </c>
      <c r="AE219" s="31" t="s">
        <v>46</v>
      </c>
      <c r="AF219" s="31" t="s">
        <v>46</v>
      </c>
      <c r="AG219" s="31" t="s">
        <v>46</v>
      </c>
      <c r="AH219" s="31" t="s">
        <v>46</v>
      </c>
      <c r="AI219" s="31" t="s">
        <v>46</v>
      </c>
      <c r="AJ219" s="31">
        <v>0</v>
      </c>
      <c r="AK219" s="31">
        <v>0</v>
      </c>
      <c r="AL219" s="31">
        <f>0.1*$AL$2</f>
        <v>7.5000000000000011E-2</v>
      </c>
      <c r="AM219" s="31">
        <f>AM212</f>
        <v>2.7E-2</v>
      </c>
      <c r="AN219" s="31">
        <f>ROUNDUP(AN212/3,0)</f>
        <v>1</v>
      </c>
      <c r="AO219" s="31"/>
      <c r="AP219" s="31"/>
      <c r="AQ219" s="32">
        <f>AM219*I219*0.1+AL219</f>
        <v>7.5060750000000009E-2</v>
      </c>
      <c r="AR219" s="32">
        <f t="shared" si="240"/>
        <v>7.5060750000000009E-3</v>
      </c>
      <c r="AS219" s="33">
        <f t="shared" si="241"/>
        <v>0</v>
      </c>
      <c r="AT219" s="33">
        <f t="shared" si="242"/>
        <v>2.0641706250000003E-2</v>
      </c>
      <c r="AU219" s="32">
        <f>1333*J218*POWER(10,-6)</f>
        <v>2.9992499999999998E-5</v>
      </c>
      <c r="AV219" s="33">
        <f t="shared" si="238"/>
        <v>0.10323852375000001</v>
      </c>
      <c r="AW219" s="34">
        <f t="shared" si="243"/>
        <v>0</v>
      </c>
      <c r="AX219" s="34">
        <f t="shared" si="244"/>
        <v>0</v>
      </c>
      <c r="AY219" s="34">
        <f t="shared" si="245"/>
        <v>4.2258831403635004E-4</v>
      </c>
      <c r="AZ219" s="297">
        <f>AW219/DB!$B$23</f>
        <v>0</v>
      </c>
      <c r="BA219" s="297">
        <f>AX219/DB!$B$23</f>
        <v>0</v>
      </c>
    </row>
    <row r="220" spans="1:53" x14ac:dyDescent="0.3">
      <c r="A220" s="12"/>
      <c r="B220" s="12"/>
      <c r="C220" s="31"/>
      <c r="D220" s="167"/>
      <c r="E220" s="168"/>
      <c r="F220" s="169"/>
      <c r="G220" s="12"/>
      <c r="H220" s="34"/>
      <c r="I220" s="33"/>
      <c r="J220" s="12"/>
      <c r="K220" s="12"/>
      <c r="L220" s="12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2"/>
      <c r="AR220" s="32"/>
      <c r="AS220" s="33"/>
      <c r="AT220" s="33"/>
      <c r="AU220" s="32"/>
      <c r="AV220" s="33"/>
      <c r="AW220" s="34"/>
      <c r="AX220" s="34"/>
      <c r="AY220" s="34"/>
    </row>
    <row r="221" spans="1:53" ht="15" thickBot="1" x14ac:dyDescent="0.35"/>
    <row r="222" spans="1:53" ht="18" customHeight="1" x14ac:dyDescent="0.3">
      <c r="A222" s="8" t="s">
        <v>885</v>
      </c>
      <c r="B222" s="63" t="s">
        <v>740</v>
      </c>
      <c r="C222" s="79" t="s">
        <v>129</v>
      </c>
      <c r="D222" s="9" t="s">
        <v>130</v>
      </c>
      <c r="E222" s="66">
        <v>2.9999999999999999E-7</v>
      </c>
      <c r="F222" s="63">
        <f>50+210+16</f>
        <v>276</v>
      </c>
      <c r="G222" s="8">
        <v>0.2</v>
      </c>
      <c r="H222" s="10">
        <f>E222*F222*G222</f>
        <v>1.6560000000000001E-5</v>
      </c>
      <c r="I222" s="64">
        <v>0.05</v>
      </c>
      <c r="J222" s="69">
        <f>I222</f>
        <v>0.05</v>
      </c>
      <c r="K222" s="72" t="s">
        <v>122</v>
      </c>
      <c r="L222" s="77">
        <v>0</v>
      </c>
      <c r="M222" s="31" t="str">
        <f t="shared" ref="M222:N229" si="247">A222</f>
        <v>C158</v>
      </c>
      <c r="N222" s="31" t="str">
        <f t="shared" si="247"/>
        <v>Технологический трубопровод факельной линии, попутный нефтяной газ</v>
      </c>
      <c r="O222" s="31" t="str">
        <f t="shared" ref="O222:O229" si="248">D222</f>
        <v>Полное-факел</v>
      </c>
      <c r="P222" s="31" t="s">
        <v>46</v>
      </c>
      <c r="Q222" s="31" t="s">
        <v>46</v>
      </c>
      <c r="R222" s="31" t="s">
        <v>46</v>
      </c>
      <c r="S222" s="31" t="s">
        <v>46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>
        <v>13</v>
      </c>
      <c r="Z222" s="31">
        <v>2</v>
      </c>
      <c r="AA222" s="31" t="s">
        <v>46</v>
      </c>
      <c r="AB222" s="31" t="s">
        <v>46</v>
      </c>
      <c r="AC222" s="31" t="s">
        <v>46</v>
      </c>
      <c r="AD222" s="31" t="s">
        <v>46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0.75134999999999996</v>
      </c>
      <c r="AR222" s="32">
        <f>0.1*AQ222</f>
        <v>7.5135000000000007E-2</v>
      </c>
      <c r="AS222" s="33">
        <f>AJ222*3+0.25*AK222</f>
        <v>3.5</v>
      </c>
      <c r="AT222" s="33">
        <f>SUM(AQ222:AS222)/4</f>
        <v>1.08162125</v>
      </c>
      <c r="AU222" s="32">
        <f>10068.2*J222*POWER(10,-6)</f>
        <v>5.0341000000000003E-4</v>
      </c>
      <c r="AV222" s="33">
        <f t="shared" ref="AV222:AV229" si="249">AU222+AT222+AS222+AR222+AQ222</f>
        <v>5.4086096599999998</v>
      </c>
      <c r="AW222" s="34">
        <f>AJ222*H222</f>
        <v>1.6560000000000001E-5</v>
      </c>
      <c r="AX222" s="34">
        <f>H222*AK222</f>
        <v>3.3120000000000001E-5</v>
      </c>
      <c r="AY222" s="34">
        <f>H222*AV222</f>
        <v>8.9566575969600006E-5</v>
      </c>
      <c r="AZ222" s="297">
        <f>AW222/DB!$B$23</f>
        <v>1.9951807228915664E-8</v>
      </c>
      <c r="BA222" s="297">
        <f>AX222/DB!$B$23</f>
        <v>3.9903614457831327E-8</v>
      </c>
    </row>
    <row r="223" spans="1:53" x14ac:dyDescent="0.3">
      <c r="A223" s="8" t="s">
        <v>886</v>
      </c>
      <c r="B223" s="8" t="str">
        <f>B222</f>
        <v>Технологический трубопровод факельной линии, попутный нефтяной газ</v>
      </c>
      <c r="C223" s="79" t="s">
        <v>107</v>
      </c>
      <c r="D223" s="9" t="s">
        <v>28</v>
      </c>
      <c r="E223" s="67">
        <f>E222</f>
        <v>2.9999999999999999E-7</v>
      </c>
      <c r="F223" s="68">
        <f>F222</f>
        <v>276</v>
      </c>
      <c r="G223" s="8">
        <v>0.1152</v>
      </c>
      <c r="H223" s="10">
        <f t="shared" ref="H223:H229" si="250">E223*F223*G223</f>
        <v>9.5385599999999994E-6</v>
      </c>
      <c r="I223" s="62">
        <f>I222</f>
        <v>0.05</v>
      </c>
      <c r="J223" s="80">
        <f>0.1*I222</f>
        <v>5.000000000000001E-3</v>
      </c>
      <c r="K223" s="74" t="s">
        <v>123</v>
      </c>
      <c r="L223" s="78">
        <v>1</v>
      </c>
      <c r="M223" s="31" t="str">
        <f t="shared" si="247"/>
        <v>C159</v>
      </c>
      <c r="N223" s="31" t="str">
        <f t="shared" si="247"/>
        <v>Технологический трубопровод факельной линии, попутный нефтяной газ</v>
      </c>
      <c r="O223" s="31" t="str">
        <f t="shared" si="248"/>
        <v>Полное-взрыв</v>
      </c>
      <c r="P223" s="31" t="s">
        <v>46</v>
      </c>
      <c r="Q223" s="31" t="s">
        <v>46</v>
      </c>
      <c r="R223" s="31" t="s">
        <v>46</v>
      </c>
      <c r="S223" s="31" t="s">
        <v>46</v>
      </c>
      <c r="T223" s="31">
        <v>0</v>
      </c>
      <c r="U223" s="31">
        <v>0</v>
      </c>
      <c r="V223" s="31">
        <v>13.1</v>
      </c>
      <c r="W223" s="31">
        <v>43.1</v>
      </c>
      <c r="X223" s="31">
        <v>63.1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 t="s">
        <v>46</v>
      </c>
      <c r="AD223" s="31" t="s">
        <v>46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1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0.75134999999999996</v>
      </c>
      <c r="AR223" s="32">
        <f t="shared" ref="AR223:AR229" si="251">0.1*AQ223</f>
        <v>7.5135000000000007E-2</v>
      </c>
      <c r="AS223" s="33">
        <f t="shared" ref="AS223:AS229" si="252">AJ223*3+0.25*AK223</f>
        <v>3.5</v>
      </c>
      <c r="AT223" s="33">
        <f t="shared" ref="AT223:AT229" si="253">SUM(AQ223:AS223)/4</f>
        <v>1.08162125</v>
      </c>
      <c r="AU223" s="32">
        <f>10068.2*J223*POWER(10,-6)*10</f>
        <v>5.0341000000000014E-4</v>
      </c>
      <c r="AV223" s="33">
        <f t="shared" si="249"/>
        <v>5.4086096599999998</v>
      </c>
      <c r="AW223" s="34">
        <f t="shared" ref="AW223:AW229" si="254">AJ223*H223</f>
        <v>9.5385599999999994E-6</v>
      </c>
      <c r="AX223" s="34">
        <f t="shared" ref="AX223:AX229" si="255">H223*AK223</f>
        <v>1.9077119999999999E-5</v>
      </c>
      <c r="AY223" s="34">
        <f t="shared" ref="AY223:AY229" si="256">H223*AV223</f>
        <v>5.1590347758489593E-5</v>
      </c>
      <c r="AZ223" s="297">
        <f>AW223/DB!$B$23</f>
        <v>1.149224096385542E-8</v>
      </c>
      <c r="BA223" s="297">
        <f>AX223/DB!$B$23</f>
        <v>2.2984481927710841E-8</v>
      </c>
    </row>
    <row r="224" spans="1:53" x14ac:dyDescent="0.3">
      <c r="A224" s="8" t="s">
        <v>887</v>
      </c>
      <c r="B224" s="8" t="str">
        <f>B222</f>
        <v>Технологический трубопровод факельной линии, попутный нефтяной газ</v>
      </c>
      <c r="C224" s="79" t="s">
        <v>131</v>
      </c>
      <c r="D224" s="9" t="s">
        <v>132</v>
      </c>
      <c r="E224" s="67">
        <f>E222</f>
        <v>2.9999999999999999E-7</v>
      </c>
      <c r="F224" s="68">
        <f>F222</f>
        <v>276</v>
      </c>
      <c r="G224" s="8">
        <v>7.6799999999999993E-2</v>
      </c>
      <c r="H224" s="10">
        <f>E224*F224*G224</f>
        <v>6.359039999999999E-6</v>
      </c>
      <c r="I224" s="62">
        <f>I222</f>
        <v>0.05</v>
      </c>
      <c r="J224" s="69">
        <f>I222</f>
        <v>0.05</v>
      </c>
      <c r="K224" s="74" t="s">
        <v>124</v>
      </c>
      <c r="L224" s="78">
        <v>0</v>
      </c>
      <c r="M224" s="31" t="str">
        <f>A224</f>
        <v>C160</v>
      </c>
      <c r="N224" s="31" t="str">
        <f>B224</f>
        <v>Технологический трубопровод факельной линии, попутный нефтяной газ</v>
      </c>
      <c r="O224" s="31" t="str">
        <f>D224</f>
        <v>Полное-вспышка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>
        <v>12.47</v>
      </c>
      <c r="AB224" s="31">
        <v>14.96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0.750135</v>
      </c>
      <c r="AR224" s="32">
        <f>0.1*AQ224</f>
        <v>7.5013500000000011E-2</v>
      </c>
      <c r="AS224" s="33">
        <f>AJ224*3+0.25*AK224</f>
        <v>0</v>
      </c>
      <c r="AT224" s="33">
        <f>SUM(AQ224:AS224)/4</f>
        <v>0.20628712500000002</v>
      </c>
      <c r="AU224" s="32">
        <f>1333*J222*POWER(10,-6)</f>
        <v>6.6650000000000007E-5</v>
      </c>
      <c r="AV224" s="33">
        <f>AU224+AT224+AS224+AR224+AQ224</f>
        <v>1.031502275</v>
      </c>
      <c r="AW224" s="34">
        <f t="shared" si="254"/>
        <v>0</v>
      </c>
      <c r="AX224" s="34">
        <f t="shared" si="255"/>
        <v>0</v>
      </c>
      <c r="AY224" s="34">
        <f t="shared" si="256"/>
        <v>6.5593642268159992E-6</v>
      </c>
      <c r="AZ224" s="297">
        <f>AW224/DB!$B$23</f>
        <v>0</v>
      </c>
      <c r="BA224" s="297">
        <f>AX224/DB!$B$23</f>
        <v>0</v>
      </c>
    </row>
    <row r="225" spans="1:53" x14ac:dyDescent="0.3">
      <c r="A225" s="8" t="s">
        <v>888</v>
      </c>
      <c r="B225" s="8" t="str">
        <f>B222</f>
        <v>Технологический трубопровод факельной линии, попутный нефтяной газ</v>
      </c>
      <c r="C225" s="79" t="s">
        <v>108</v>
      </c>
      <c r="D225" s="9" t="s">
        <v>26</v>
      </c>
      <c r="E225" s="67">
        <f>E222</f>
        <v>2.9999999999999999E-7</v>
      </c>
      <c r="F225" s="68">
        <f>F222</f>
        <v>276</v>
      </c>
      <c r="G225" s="8">
        <v>0.60799999999999998</v>
      </c>
      <c r="H225" s="10">
        <f t="shared" si="250"/>
        <v>5.0342399999999994E-5</v>
      </c>
      <c r="I225" s="62">
        <f>I222</f>
        <v>0.05</v>
      </c>
      <c r="J225" s="71">
        <v>0</v>
      </c>
      <c r="K225" s="74" t="s">
        <v>126</v>
      </c>
      <c r="L225" s="78">
        <v>45390</v>
      </c>
      <c r="M225" s="31" t="str">
        <f t="shared" si="247"/>
        <v>C161</v>
      </c>
      <c r="N225" s="31" t="str">
        <f t="shared" si="247"/>
        <v>Технологический трубопровод факельной линии, попутный нефтяной газ</v>
      </c>
      <c r="O225" s="31" t="str">
        <f t="shared" si="248"/>
        <v>Полное-ликвидация</v>
      </c>
      <c r="P225" s="31" t="s">
        <v>46</v>
      </c>
      <c r="Q225" s="31" t="s">
        <v>46</v>
      </c>
      <c r="R225" s="31" t="s">
        <v>46</v>
      </c>
      <c r="S225" s="31" t="s">
        <v>46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 t="s">
        <v>46</v>
      </c>
      <c r="AD225" s="31" t="s">
        <v>46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0</v>
      </c>
      <c r="AL225" s="31">
        <f>AL222</f>
        <v>0.75</v>
      </c>
      <c r="AM225" s="31">
        <f>AM222</f>
        <v>2.7E-2</v>
      </c>
      <c r="AN225" s="31">
        <f>AN222</f>
        <v>3</v>
      </c>
      <c r="AO225" s="31"/>
      <c r="AP225" s="31"/>
      <c r="AQ225" s="32">
        <f>AM225*I225*0.1+AL225</f>
        <v>0.750135</v>
      </c>
      <c r="AR225" s="32">
        <f t="shared" si="251"/>
        <v>7.5013500000000011E-2</v>
      </c>
      <c r="AS225" s="33">
        <f t="shared" si="252"/>
        <v>0</v>
      </c>
      <c r="AT225" s="33">
        <f t="shared" si="253"/>
        <v>0.20628712500000002</v>
      </c>
      <c r="AU225" s="32">
        <f>1333*J223*POWER(10,-6)</f>
        <v>6.6650000000000006E-6</v>
      </c>
      <c r="AV225" s="33">
        <f t="shared" si="249"/>
        <v>1.03144229</v>
      </c>
      <c r="AW225" s="34">
        <f t="shared" si="254"/>
        <v>0</v>
      </c>
      <c r="AX225" s="34">
        <f t="shared" si="255"/>
        <v>0</v>
      </c>
      <c r="AY225" s="34">
        <f t="shared" si="256"/>
        <v>5.1925280340095994E-5</v>
      </c>
      <c r="AZ225" s="297">
        <f>AW225/DB!$B$23</f>
        <v>0</v>
      </c>
      <c r="BA225" s="297">
        <f>AX225/DB!$B$23</f>
        <v>0</v>
      </c>
    </row>
    <row r="226" spans="1:53" x14ac:dyDescent="0.3">
      <c r="A226" s="8" t="s">
        <v>889</v>
      </c>
      <c r="B226" s="8" t="str">
        <f>B222</f>
        <v>Технологический трубопровод факельной линии, попутный нефтяной газ</v>
      </c>
      <c r="C226" s="79" t="s">
        <v>133</v>
      </c>
      <c r="D226" s="9" t="s">
        <v>134</v>
      </c>
      <c r="E226" s="66">
        <v>1.9999999999999999E-6</v>
      </c>
      <c r="F226" s="68">
        <f>F222</f>
        <v>276</v>
      </c>
      <c r="G226" s="8">
        <v>3.5000000000000003E-2</v>
      </c>
      <c r="H226" s="10">
        <f t="shared" si="250"/>
        <v>1.9320000000000001E-5</v>
      </c>
      <c r="I226" s="62">
        <f>0.15*I222</f>
        <v>7.4999999999999997E-3</v>
      </c>
      <c r="J226" s="69">
        <f>I226</f>
        <v>7.4999999999999997E-3</v>
      </c>
      <c r="K226" s="74" t="s">
        <v>127</v>
      </c>
      <c r="L226" s="78">
        <v>3</v>
      </c>
      <c r="M226" s="31" t="str">
        <f t="shared" si="247"/>
        <v>C162</v>
      </c>
      <c r="N226" s="31" t="str">
        <f t="shared" si="247"/>
        <v>Технологический трубопровод факельной линии, попутный нефтяной газ</v>
      </c>
      <c r="O226" s="31" t="str">
        <f t="shared" si="248"/>
        <v>Частичное-факел</v>
      </c>
      <c r="P226" s="31" t="s">
        <v>46</v>
      </c>
      <c r="Q226" s="31" t="s">
        <v>46</v>
      </c>
      <c r="R226" s="31" t="s">
        <v>46</v>
      </c>
      <c r="S226" s="31" t="s">
        <v>46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>
        <v>8</v>
      </c>
      <c r="Z226" s="31">
        <v>2</v>
      </c>
      <c r="AA226" s="31" t="s">
        <v>46</v>
      </c>
      <c r="AB226" s="31" t="s">
        <v>46</v>
      </c>
      <c r="AC226" s="31" t="s">
        <v>46</v>
      </c>
      <c r="AD226" s="31" t="s">
        <v>46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2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7.5202500000000005E-2</v>
      </c>
      <c r="AR226" s="32">
        <f t="shared" si="251"/>
        <v>7.5202500000000009E-3</v>
      </c>
      <c r="AS226" s="33">
        <f t="shared" si="252"/>
        <v>0.5</v>
      </c>
      <c r="AT226" s="33">
        <f t="shared" si="253"/>
        <v>0.14568068750000002</v>
      </c>
      <c r="AU226" s="32">
        <f>10068.2*J226*POWER(10,-6)</f>
        <v>7.5511499999999997E-5</v>
      </c>
      <c r="AV226" s="33">
        <f t="shared" si="249"/>
        <v>0.7284789490000001</v>
      </c>
      <c r="AW226" s="34">
        <f t="shared" si="254"/>
        <v>0</v>
      </c>
      <c r="AX226" s="34">
        <f t="shared" si="255"/>
        <v>3.8640000000000003E-5</v>
      </c>
      <c r="AY226" s="34">
        <f t="shared" si="256"/>
        <v>1.4074213294680003E-5</v>
      </c>
      <c r="AZ226" s="297">
        <f>AW226/DB!$B$23</f>
        <v>0</v>
      </c>
      <c r="BA226" s="297">
        <f>AX226/DB!$B$23</f>
        <v>4.6554216867469884E-8</v>
      </c>
    </row>
    <row r="227" spans="1:53" x14ac:dyDescent="0.3">
      <c r="A227" s="8" t="s">
        <v>890</v>
      </c>
      <c r="B227" s="8" t="str">
        <f>B222</f>
        <v>Технологический трубопровод факельной линии, попутный нефтяной газ</v>
      </c>
      <c r="C227" s="79" t="s">
        <v>135</v>
      </c>
      <c r="D227" s="9" t="s">
        <v>136</v>
      </c>
      <c r="E227" s="67">
        <f>E226</f>
        <v>1.9999999999999999E-6</v>
      </c>
      <c r="F227" s="68">
        <f>F223</f>
        <v>276</v>
      </c>
      <c r="G227" s="8">
        <v>8.3000000000000001E-3</v>
      </c>
      <c r="H227" s="10">
        <f>E227*F227*G227</f>
        <v>4.5815999999999995E-6</v>
      </c>
      <c r="I227" s="62">
        <f>I226</f>
        <v>7.4999999999999997E-3</v>
      </c>
      <c r="J227" s="69">
        <f>I227</f>
        <v>7.4999999999999997E-3</v>
      </c>
      <c r="K227" s="73" t="s">
        <v>138</v>
      </c>
      <c r="L227" s="130">
        <v>4</v>
      </c>
      <c r="M227" s="31" t="str">
        <f>A227</f>
        <v>C163</v>
      </c>
      <c r="N227" s="31" t="str">
        <f>B227</f>
        <v>Технологический трубопровод факельной линии, попутный нефтяной газ</v>
      </c>
      <c r="O227" s="31" t="str">
        <f>D227</f>
        <v>Частичное-взрыв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>
        <v>0</v>
      </c>
      <c r="U227" s="31">
        <v>0</v>
      </c>
      <c r="V227" s="31">
        <v>14.6</v>
      </c>
      <c r="W227" s="31">
        <v>49.6</v>
      </c>
      <c r="X227" s="31">
        <v>72.099999999999994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1</v>
      </c>
      <c r="AL227" s="31">
        <f>0.1*$AL$2</f>
        <v>7.5000000000000011E-2</v>
      </c>
      <c r="AM227" s="31">
        <f>AM222</f>
        <v>2.7E-2</v>
      </c>
      <c r="AN227" s="31">
        <f>AN226</f>
        <v>1</v>
      </c>
      <c r="AO227" s="31"/>
      <c r="AP227" s="31"/>
      <c r="AQ227" s="32">
        <f>AM227*I227+AL227</f>
        <v>7.5202500000000005E-2</v>
      </c>
      <c r="AR227" s="32">
        <f>0.1*AQ227</f>
        <v>7.5202500000000009E-3</v>
      </c>
      <c r="AS227" s="33">
        <f>AJ227*3+0.25*AK227</f>
        <v>0.25</v>
      </c>
      <c r="AT227" s="33">
        <f>SUM(AQ227:AS227)/4</f>
        <v>8.3180687500000003E-2</v>
      </c>
      <c r="AU227" s="32">
        <f>10068.2*J227*POWER(10,-6)*10</f>
        <v>7.55115E-4</v>
      </c>
      <c r="AV227" s="33">
        <f>AU227+AT227+AS227+AR227+AQ227</f>
        <v>0.4166585525</v>
      </c>
      <c r="AW227" s="34">
        <f t="shared" si="254"/>
        <v>0</v>
      </c>
      <c r="AX227" s="34">
        <f t="shared" si="255"/>
        <v>4.5815999999999995E-6</v>
      </c>
      <c r="AY227" s="34">
        <f t="shared" si="256"/>
        <v>1.9089628241339999E-6</v>
      </c>
      <c r="AZ227" s="297">
        <f>AW227/DB!$B$23</f>
        <v>0</v>
      </c>
      <c r="BA227" s="297">
        <f>AX227/DB!$B$23</f>
        <v>5.5199999999999991E-9</v>
      </c>
    </row>
    <row r="228" spans="1:53" x14ac:dyDescent="0.3">
      <c r="A228" s="8" t="s">
        <v>891</v>
      </c>
      <c r="B228" s="8" t="str">
        <f>B222</f>
        <v>Технологический трубопровод факельной линии, попутный нефтяной газ</v>
      </c>
      <c r="C228" s="79" t="s">
        <v>110</v>
      </c>
      <c r="D228" s="9" t="s">
        <v>112</v>
      </c>
      <c r="E228" s="67">
        <f>E226</f>
        <v>1.9999999999999999E-6</v>
      </c>
      <c r="F228" s="68">
        <f>F222</f>
        <v>276</v>
      </c>
      <c r="G228" s="8">
        <v>2.64E-2</v>
      </c>
      <c r="H228" s="10">
        <f t="shared" si="250"/>
        <v>1.4572799999999999E-5</v>
      </c>
      <c r="I228" s="62">
        <f>0.15*I222</f>
        <v>7.4999999999999997E-3</v>
      </c>
      <c r="J228" s="69">
        <f>J224*0.15</f>
        <v>7.4999999999999997E-3</v>
      </c>
      <c r="K228" s="207" t="s">
        <v>468</v>
      </c>
      <c r="L228" s="295" t="s">
        <v>726</v>
      </c>
      <c r="M228" s="31" t="str">
        <f t="shared" si="247"/>
        <v>C164</v>
      </c>
      <c r="N228" s="31" t="str">
        <f t="shared" si="247"/>
        <v>Технологический трубопровод факельной линии, попутный нефтяной газ</v>
      </c>
      <c r="O228" s="31" t="str">
        <f t="shared" si="248"/>
        <v>Частичное-пожар-вспышка</v>
      </c>
      <c r="P228" s="31" t="s">
        <v>46</v>
      </c>
      <c r="Q228" s="31" t="s">
        <v>46</v>
      </c>
      <c r="R228" s="31" t="s">
        <v>46</v>
      </c>
      <c r="S228" s="31" t="s">
        <v>46</v>
      </c>
      <c r="T228" s="31" t="s">
        <v>46</v>
      </c>
      <c r="U228" s="31" t="s">
        <v>46</v>
      </c>
      <c r="V228" s="31" t="s">
        <v>46</v>
      </c>
      <c r="W228" s="31" t="s">
        <v>46</v>
      </c>
      <c r="X228" s="31" t="s">
        <v>46</v>
      </c>
      <c r="Y228" s="31" t="s">
        <v>46</v>
      </c>
      <c r="Z228" s="31" t="s">
        <v>46</v>
      </c>
      <c r="AA228" s="31">
        <v>6.67</v>
      </c>
      <c r="AB228" s="31">
        <v>8</v>
      </c>
      <c r="AC228" s="31" t="s">
        <v>46</v>
      </c>
      <c r="AD228" s="31" t="s">
        <v>46</v>
      </c>
      <c r="AE228" s="31" t="s">
        <v>46</v>
      </c>
      <c r="AF228" s="31" t="s">
        <v>46</v>
      </c>
      <c r="AG228" s="31" t="s">
        <v>46</v>
      </c>
      <c r="AH228" s="31" t="s">
        <v>46</v>
      </c>
      <c r="AI228" s="31" t="s">
        <v>46</v>
      </c>
      <c r="AJ228" s="31">
        <v>0</v>
      </c>
      <c r="AK228" s="31">
        <v>1</v>
      </c>
      <c r="AL228" s="31">
        <f>0.1*$AL$2</f>
        <v>7.5000000000000011E-2</v>
      </c>
      <c r="AM228" s="31">
        <f>AM222</f>
        <v>2.7E-2</v>
      </c>
      <c r="AN228" s="31">
        <f>ROUNDUP(AN222/3,0)</f>
        <v>1</v>
      </c>
      <c r="AO228" s="31"/>
      <c r="AP228" s="31"/>
      <c r="AQ228" s="32">
        <f>AM228*I228+AL228</f>
        <v>7.5202500000000005E-2</v>
      </c>
      <c r="AR228" s="32">
        <f t="shared" si="251"/>
        <v>7.5202500000000009E-3</v>
      </c>
      <c r="AS228" s="33">
        <f t="shared" si="252"/>
        <v>0.25</v>
      </c>
      <c r="AT228" s="33">
        <f t="shared" si="253"/>
        <v>8.3180687500000003E-2</v>
      </c>
      <c r="AU228" s="32">
        <f>10068.2*J228*POWER(10,-6)*10</f>
        <v>7.55115E-4</v>
      </c>
      <c r="AV228" s="33">
        <f t="shared" si="249"/>
        <v>0.4166585525</v>
      </c>
      <c r="AW228" s="34">
        <f t="shared" si="254"/>
        <v>0</v>
      </c>
      <c r="AX228" s="34">
        <f t="shared" si="255"/>
        <v>1.4572799999999999E-5</v>
      </c>
      <c r="AY228" s="34">
        <f t="shared" si="256"/>
        <v>6.0718817538719997E-6</v>
      </c>
      <c r="AZ228" s="297">
        <f>AW228/DB!$B$23</f>
        <v>0</v>
      </c>
      <c r="BA228" s="297">
        <f>AX228/DB!$B$23</f>
        <v>1.7557590361445783E-8</v>
      </c>
    </row>
    <row r="229" spans="1:53" ht="15" thickBot="1" x14ac:dyDescent="0.35">
      <c r="A229" s="8" t="s">
        <v>892</v>
      </c>
      <c r="B229" s="8" t="str">
        <f>B222</f>
        <v>Технологический трубопровод факельной линии, попутный нефтяной газ</v>
      </c>
      <c r="C229" s="79" t="s">
        <v>111</v>
      </c>
      <c r="D229" s="9" t="s">
        <v>27</v>
      </c>
      <c r="E229" s="67">
        <f>E226</f>
        <v>1.9999999999999999E-6</v>
      </c>
      <c r="F229" s="68">
        <f>F222</f>
        <v>276</v>
      </c>
      <c r="G229" s="8">
        <v>0.93030000000000002</v>
      </c>
      <c r="H229" s="10">
        <f t="shared" si="250"/>
        <v>5.1352560000000002E-4</v>
      </c>
      <c r="I229" s="62">
        <f>0.15*I222</f>
        <v>7.4999999999999997E-3</v>
      </c>
      <c r="J229" s="71">
        <v>0</v>
      </c>
      <c r="K229" s="75"/>
      <c r="L229" s="76"/>
      <c r="M229" s="31" t="str">
        <f t="shared" si="247"/>
        <v>C165</v>
      </c>
      <c r="N229" s="31" t="str">
        <f t="shared" si="247"/>
        <v>Технологический трубопровод факельной линии, попутный нефтяной газ</v>
      </c>
      <c r="O229" s="31" t="str">
        <f t="shared" si="248"/>
        <v>Частичное-ликвидация</v>
      </c>
      <c r="P229" s="31" t="s">
        <v>46</v>
      </c>
      <c r="Q229" s="31" t="s">
        <v>46</v>
      </c>
      <c r="R229" s="31" t="s">
        <v>46</v>
      </c>
      <c r="S229" s="31" t="s">
        <v>46</v>
      </c>
      <c r="T229" s="31" t="s">
        <v>46</v>
      </c>
      <c r="U229" s="31" t="s">
        <v>46</v>
      </c>
      <c r="V229" s="31" t="s">
        <v>46</v>
      </c>
      <c r="W229" s="31" t="s">
        <v>46</v>
      </c>
      <c r="X229" s="31" t="s">
        <v>46</v>
      </c>
      <c r="Y229" s="31" t="s">
        <v>46</v>
      </c>
      <c r="Z229" s="31" t="s">
        <v>46</v>
      </c>
      <c r="AA229" s="31" t="s">
        <v>46</v>
      </c>
      <c r="AB229" s="31" t="s">
        <v>46</v>
      </c>
      <c r="AC229" s="31" t="s">
        <v>46</v>
      </c>
      <c r="AD229" s="31" t="s">
        <v>46</v>
      </c>
      <c r="AE229" s="31" t="s">
        <v>46</v>
      </c>
      <c r="AF229" s="31" t="s">
        <v>46</v>
      </c>
      <c r="AG229" s="31" t="s">
        <v>46</v>
      </c>
      <c r="AH229" s="31" t="s">
        <v>46</v>
      </c>
      <c r="AI229" s="31" t="s">
        <v>46</v>
      </c>
      <c r="AJ229" s="31">
        <v>0</v>
      </c>
      <c r="AK229" s="31">
        <v>0</v>
      </c>
      <c r="AL229" s="31">
        <f>0.1*$AL$2</f>
        <v>7.5000000000000011E-2</v>
      </c>
      <c r="AM229" s="31">
        <f>AM222</f>
        <v>2.7E-2</v>
      </c>
      <c r="AN229" s="31">
        <f>ROUNDUP(AN222/3,0)</f>
        <v>1</v>
      </c>
      <c r="AO229" s="31"/>
      <c r="AP229" s="31"/>
      <c r="AQ229" s="32">
        <f>AM229*I229*0.1+AL229</f>
        <v>7.5020250000000011E-2</v>
      </c>
      <c r="AR229" s="32">
        <f t="shared" si="251"/>
        <v>7.5020250000000016E-3</v>
      </c>
      <c r="AS229" s="33">
        <f t="shared" si="252"/>
        <v>0</v>
      </c>
      <c r="AT229" s="33">
        <f t="shared" si="253"/>
        <v>2.0630568750000002E-2</v>
      </c>
      <c r="AU229" s="32">
        <f>1333*J228*POWER(10,-6)</f>
        <v>9.9975000000000004E-6</v>
      </c>
      <c r="AV229" s="33">
        <f t="shared" si="249"/>
        <v>0.10316284125000001</v>
      </c>
      <c r="AW229" s="34">
        <f t="shared" si="254"/>
        <v>0</v>
      </c>
      <c r="AX229" s="34">
        <f t="shared" si="255"/>
        <v>0</v>
      </c>
      <c r="AY229" s="34">
        <f t="shared" si="256"/>
        <v>5.2976759950611008E-5</v>
      </c>
      <c r="AZ229" s="297">
        <f>AW229/DB!$B$23</f>
        <v>0</v>
      </c>
      <c r="BA229" s="297">
        <f>AX229/DB!$B$23</f>
        <v>0</v>
      </c>
    </row>
    <row r="230" spans="1:53" x14ac:dyDescent="0.3">
      <c r="A230" s="12"/>
      <c r="B230" s="12"/>
      <c r="C230" s="31"/>
      <c r="D230" s="167"/>
      <c r="E230" s="168"/>
      <c r="F230" s="169"/>
      <c r="G230" s="12"/>
      <c r="H230" s="34"/>
      <c r="I230" s="33"/>
      <c r="J230" s="12"/>
      <c r="K230" s="12"/>
      <c r="L230" s="12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2"/>
      <c r="AR230" s="32"/>
      <c r="AS230" s="33"/>
      <c r="AT230" s="33"/>
      <c r="AU230" s="32"/>
      <c r="AV230" s="33"/>
      <c r="AW230" s="34"/>
      <c r="AX230" s="34"/>
      <c r="AY230" s="34"/>
    </row>
    <row r="231" spans="1:53" ht="15" thickBot="1" x14ac:dyDescent="0.35"/>
    <row r="232" spans="1:53" s="92" customFormat="1" ht="15" thickBot="1" x14ac:dyDescent="0.35">
      <c r="A232" s="82" t="s">
        <v>893</v>
      </c>
      <c r="B232" s="83" t="s">
        <v>742</v>
      </c>
      <c r="C232" s="84" t="s">
        <v>143</v>
      </c>
      <c r="D232" s="85" t="s">
        <v>25</v>
      </c>
      <c r="E232" s="86">
        <v>1.0000000000000001E-5</v>
      </c>
      <c r="F232" s="83">
        <v>4</v>
      </c>
      <c r="G232" s="82">
        <v>0.1</v>
      </c>
      <c r="H232" s="87">
        <f t="shared" ref="H232:H237" si="257">E232*F232*G232</f>
        <v>4.0000000000000007E-6</v>
      </c>
      <c r="I232" s="88">
        <v>0.1</v>
      </c>
      <c r="J232" s="89">
        <f>I232</f>
        <v>0.1</v>
      </c>
      <c r="K232" s="90" t="s">
        <v>122</v>
      </c>
      <c r="L232" s="91">
        <v>50</v>
      </c>
      <c r="M232" s="92" t="str">
        <f t="shared" ref="M232:M237" si="258">A232</f>
        <v>C166</v>
      </c>
      <c r="N232" s="92" t="str">
        <f t="shared" ref="N232:N237" si="259">B232</f>
        <v>Блочная установка для дозирования реагента, нефть</v>
      </c>
      <c r="O232" s="92" t="str">
        <f t="shared" ref="O232:O237" si="260">D232</f>
        <v>Полное-пожар</v>
      </c>
      <c r="P232" s="92">
        <v>5.8</v>
      </c>
      <c r="Q232" s="92">
        <v>8.1999999999999993</v>
      </c>
      <c r="R232" s="92">
        <v>12.3</v>
      </c>
      <c r="S232" s="92">
        <v>24.8</v>
      </c>
      <c r="T232" s="92" t="s">
        <v>46</v>
      </c>
      <c r="U232" s="92" t="s">
        <v>46</v>
      </c>
      <c r="V232" s="92" t="s">
        <v>46</v>
      </c>
      <c r="W232" s="92" t="s">
        <v>46</v>
      </c>
      <c r="X232" s="92" t="s">
        <v>46</v>
      </c>
      <c r="Y232" s="92" t="s">
        <v>46</v>
      </c>
      <c r="Z232" s="92" t="s">
        <v>46</v>
      </c>
      <c r="AA232" s="92" t="s">
        <v>46</v>
      </c>
      <c r="AB232" s="92" t="s">
        <v>46</v>
      </c>
      <c r="AC232" s="92" t="s">
        <v>46</v>
      </c>
      <c r="AD232" s="92" t="s">
        <v>46</v>
      </c>
      <c r="AE232" s="92" t="s">
        <v>46</v>
      </c>
      <c r="AF232" s="92" t="s">
        <v>46</v>
      </c>
      <c r="AG232" s="92" t="s">
        <v>46</v>
      </c>
      <c r="AH232" s="92" t="s">
        <v>46</v>
      </c>
      <c r="AI232" s="92" t="s">
        <v>46</v>
      </c>
      <c r="AJ232" s="93">
        <v>0</v>
      </c>
      <c r="AK232" s="93">
        <v>1</v>
      </c>
      <c r="AL232" s="94">
        <v>0.75</v>
      </c>
      <c r="AM232" s="94">
        <v>2.7E-2</v>
      </c>
      <c r="AN232" s="94">
        <v>3</v>
      </c>
      <c r="AQ232" s="95">
        <f>AM232*I232+AL232</f>
        <v>0.75270000000000004</v>
      </c>
      <c r="AR232" s="95">
        <f t="shared" ref="AR232:AR237" si="261">0.1*AQ232</f>
        <v>7.5270000000000004E-2</v>
      </c>
      <c r="AS232" s="96">
        <f t="shared" ref="AS232:AS237" si="262">AJ232*3+0.25*AK232</f>
        <v>0.25</v>
      </c>
      <c r="AT232" s="96">
        <f t="shared" ref="AT232:AT237" si="263">SUM(AQ232:AS232)/4</f>
        <v>0.26949250000000002</v>
      </c>
      <c r="AU232" s="95">
        <f>10068.2*J232*POWER(10,-6)</f>
        <v>1.0068200000000001E-3</v>
      </c>
      <c r="AV232" s="96">
        <f t="shared" ref="AV232:AV237" si="264">AU232+AT232+AS232+AR232+AQ232</f>
        <v>1.34846932</v>
      </c>
      <c r="AW232" s="97">
        <f t="shared" ref="AW232:AW237" si="265">AJ232*H232</f>
        <v>0</v>
      </c>
      <c r="AX232" s="97">
        <f>H232*AK232</f>
        <v>4.0000000000000007E-6</v>
      </c>
      <c r="AY232" s="97">
        <f t="shared" ref="AY232:AY237" si="266">H232*AV232</f>
        <v>5.3938772800000007E-6</v>
      </c>
      <c r="AZ232" s="297">
        <f>AW232/DB!$B$23</f>
        <v>0</v>
      </c>
      <c r="BA232" s="297">
        <f>AX232/100000</f>
        <v>4.0000000000000004E-11</v>
      </c>
    </row>
    <row r="233" spans="1:53" s="92" customFormat="1" ht="15" thickBot="1" x14ac:dyDescent="0.35">
      <c r="A233" s="82" t="s">
        <v>894</v>
      </c>
      <c r="B233" s="82" t="str">
        <f>B232</f>
        <v>Блочная установка для дозирования реагента, нефть</v>
      </c>
      <c r="C233" s="84" t="s">
        <v>144</v>
      </c>
      <c r="D233" s="85" t="s">
        <v>28</v>
      </c>
      <c r="E233" s="98">
        <f>E232</f>
        <v>1.0000000000000001E-5</v>
      </c>
      <c r="F233" s="99">
        <f>F232</f>
        <v>4</v>
      </c>
      <c r="G233" s="82">
        <v>0.18000000000000002</v>
      </c>
      <c r="H233" s="87">
        <f t="shared" si="257"/>
        <v>7.2000000000000014E-6</v>
      </c>
      <c r="I233" s="100">
        <f>I232</f>
        <v>0.1</v>
      </c>
      <c r="J233" s="190">
        <f>POWER(10,-6)*55*SQRT(100)*3600*L232/1000*0.1</f>
        <v>9.8999999999999991E-3</v>
      </c>
      <c r="K233" s="90" t="s">
        <v>123</v>
      </c>
      <c r="L233" s="91">
        <v>0</v>
      </c>
      <c r="M233" s="92" t="str">
        <f t="shared" si="258"/>
        <v>C167</v>
      </c>
      <c r="N233" s="92" t="str">
        <f t="shared" si="259"/>
        <v>Блочная установка для дозирования реагента, нефть</v>
      </c>
      <c r="O233" s="92" t="str">
        <f t="shared" si="260"/>
        <v>Полное-взрыв</v>
      </c>
      <c r="P233" s="92" t="s">
        <v>46</v>
      </c>
      <c r="Q233" s="92" t="s">
        <v>46</v>
      </c>
      <c r="R233" s="92" t="s">
        <v>46</v>
      </c>
      <c r="S233" s="92" t="s">
        <v>46</v>
      </c>
      <c r="T233" s="92">
        <v>0</v>
      </c>
      <c r="U233" s="92">
        <v>0</v>
      </c>
      <c r="V233" s="92">
        <v>16.100000000000001</v>
      </c>
      <c r="W233" s="92">
        <v>54.1</v>
      </c>
      <c r="X233" s="92">
        <v>79.099999999999994</v>
      </c>
      <c r="Y233" s="92" t="s">
        <v>46</v>
      </c>
      <c r="Z233" s="92" t="s">
        <v>46</v>
      </c>
      <c r="AA233" s="92" t="s">
        <v>46</v>
      </c>
      <c r="AB233" s="92" t="s">
        <v>46</v>
      </c>
      <c r="AC233" s="92" t="s">
        <v>46</v>
      </c>
      <c r="AD233" s="92" t="s">
        <v>46</v>
      </c>
      <c r="AE233" s="92" t="s">
        <v>46</v>
      </c>
      <c r="AF233" s="92" t="s">
        <v>46</v>
      </c>
      <c r="AG233" s="92" t="s">
        <v>46</v>
      </c>
      <c r="AH233" s="92" t="s">
        <v>46</v>
      </c>
      <c r="AI233" s="92" t="s">
        <v>46</v>
      </c>
      <c r="AJ233" s="93">
        <v>0</v>
      </c>
      <c r="AK233" s="93">
        <v>1</v>
      </c>
      <c r="AL233" s="92">
        <f>AL232</f>
        <v>0.75</v>
      </c>
      <c r="AM233" s="92">
        <f>AM232</f>
        <v>2.7E-2</v>
      </c>
      <c r="AN233" s="92">
        <f>AN232</f>
        <v>3</v>
      </c>
      <c r="AQ233" s="95">
        <f t="shared" ref="AQ233:AQ237" si="267">AM233*I233+AL233</f>
        <v>0.75270000000000004</v>
      </c>
      <c r="AR233" s="95">
        <f t="shared" si="261"/>
        <v>7.5270000000000004E-2</v>
      </c>
      <c r="AS233" s="96">
        <f t="shared" si="262"/>
        <v>0.25</v>
      </c>
      <c r="AT233" s="96">
        <f t="shared" si="263"/>
        <v>0.26949250000000002</v>
      </c>
      <c r="AU233" s="95">
        <f>10068.2*J233*POWER(10,-6)</f>
        <v>9.9675179999999996E-5</v>
      </c>
      <c r="AV233" s="96">
        <f t="shared" si="264"/>
        <v>1.3475621751800002</v>
      </c>
      <c r="AW233" s="97">
        <f t="shared" si="265"/>
        <v>0</v>
      </c>
      <c r="AX233" s="97">
        <f t="shared" ref="AX233:AX237" si="268">H233*AK233</f>
        <v>7.2000000000000014E-6</v>
      </c>
      <c r="AY233" s="97">
        <f t="shared" si="266"/>
        <v>9.7024476612960038E-6</v>
      </c>
      <c r="AZ233" s="297">
        <f>AW233/DB!$B$23</f>
        <v>0</v>
      </c>
      <c r="BA233" s="297">
        <f t="shared" ref="BA233:BA237" si="269">AX233/100000</f>
        <v>7.200000000000001E-11</v>
      </c>
    </row>
    <row r="234" spans="1:53" s="92" customFormat="1" x14ac:dyDescent="0.3">
      <c r="A234" s="82" t="s">
        <v>895</v>
      </c>
      <c r="B234" s="82" t="str">
        <f>B232</f>
        <v>Блочная установка для дозирования реагента, нефть</v>
      </c>
      <c r="C234" s="84" t="s">
        <v>145</v>
      </c>
      <c r="D234" s="85" t="s">
        <v>26</v>
      </c>
      <c r="E234" s="98">
        <f>E232</f>
        <v>1.0000000000000001E-5</v>
      </c>
      <c r="F234" s="99">
        <f>F232</f>
        <v>4</v>
      </c>
      <c r="G234" s="82">
        <v>0.72000000000000008</v>
      </c>
      <c r="H234" s="87">
        <f t="shared" si="257"/>
        <v>2.8800000000000005E-5</v>
      </c>
      <c r="I234" s="100">
        <f>I232</f>
        <v>0.1</v>
      </c>
      <c r="J234" s="102">
        <v>0</v>
      </c>
      <c r="K234" s="90" t="s">
        <v>124</v>
      </c>
      <c r="L234" s="91">
        <v>0</v>
      </c>
      <c r="M234" s="92" t="str">
        <f t="shared" si="258"/>
        <v>C168</v>
      </c>
      <c r="N234" s="92" t="str">
        <f t="shared" si="259"/>
        <v>Блочная установка для дозирования реагента, нефть</v>
      </c>
      <c r="O234" s="92" t="str">
        <f t="shared" si="260"/>
        <v>Полное-ликвидация</v>
      </c>
      <c r="P234" s="92" t="s">
        <v>46</v>
      </c>
      <c r="Q234" s="92" t="s">
        <v>46</v>
      </c>
      <c r="R234" s="92" t="s">
        <v>46</v>
      </c>
      <c r="S234" s="92" t="s">
        <v>46</v>
      </c>
      <c r="T234" s="92" t="s">
        <v>46</v>
      </c>
      <c r="U234" s="92" t="s">
        <v>46</v>
      </c>
      <c r="V234" s="92" t="s">
        <v>46</v>
      </c>
      <c r="W234" s="92" t="s">
        <v>46</v>
      </c>
      <c r="X234" s="92" t="s">
        <v>46</v>
      </c>
      <c r="Y234" s="92" t="s">
        <v>46</v>
      </c>
      <c r="Z234" s="92" t="s">
        <v>46</v>
      </c>
      <c r="AA234" s="92" t="s">
        <v>46</v>
      </c>
      <c r="AB234" s="92" t="s">
        <v>46</v>
      </c>
      <c r="AC234" s="92" t="s">
        <v>46</v>
      </c>
      <c r="AD234" s="92" t="s">
        <v>46</v>
      </c>
      <c r="AE234" s="92" t="s">
        <v>46</v>
      </c>
      <c r="AF234" s="92" t="s">
        <v>46</v>
      </c>
      <c r="AG234" s="92" t="s">
        <v>46</v>
      </c>
      <c r="AH234" s="92" t="s">
        <v>46</v>
      </c>
      <c r="AI234" s="92" t="s">
        <v>46</v>
      </c>
      <c r="AJ234" s="92">
        <v>0</v>
      </c>
      <c r="AK234" s="92">
        <v>0</v>
      </c>
      <c r="AL234" s="92">
        <f>AL232</f>
        <v>0.75</v>
      </c>
      <c r="AM234" s="92">
        <f>AM232</f>
        <v>2.7E-2</v>
      </c>
      <c r="AN234" s="92">
        <f>AN232</f>
        <v>3</v>
      </c>
      <c r="AQ234" s="95">
        <f t="shared" si="267"/>
        <v>0.75270000000000004</v>
      </c>
      <c r="AR234" s="95">
        <f t="shared" si="261"/>
        <v>7.5270000000000004E-2</v>
      </c>
      <c r="AS234" s="96">
        <f t="shared" si="262"/>
        <v>0</v>
      </c>
      <c r="AT234" s="96">
        <f t="shared" si="263"/>
        <v>0.20699250000000002</v>
      </c>
      <c r="AU234" s="95">
        <f>1333*J233*POWER(10,-6)</f>
        <v>1.3196699999999997E-5</v>
      </c>
      <c r="AV234" s="96">
        <f t="shared" si="264"/>
        <v>1.0349756967000001</v>
      </c>
      <c r="AW234" s="97">
        <f t="shared" si="265"/>
        <v>0</v>
      </c>
      <c r="AX234" s="97">
        <f t="shared" si="268"/>
        <v>0</v>
      </c>
      <c r="AY234" s="97">
        <f t="shared" si="266"/>
        <v>2.9807300064960009E-5</v>
      </c>
      <c r="AZ234" s="297">
        <f>AW234/DB!$B$23</f>
        <v>0</v>
      </c>
      <c r="BA234" s="297">
        <f t="shared" si="269"/>
        <v>0</v>
      </c>
    </row>
    <row r="235" spans="1:53" s="92" customFormat="1" x14ac:dyDescent="0.3">
      <c r="A235" s="82" t="s">
        <v>902</v>
      </c>
      <c r="B235" s="82" t="str">
        <f>B232</f>
        <v>Блочная установка для дозирования реагента, нефть</v>
      </c>
      <c r="C235" s="84" t="s">
        <v>146</v>
      </c>
      <c r="D235" s="85" t="s">
        <v>47</v>
      </c>
      <c r="E235" s="86">
        <v>1E-4</v>
      </c>
      <c r="F235" s="99">
        <f>F232</f>
        <v>4</v>
      </c>
      <c r="G235" s="82">
        <v>0.1</v>
      </c>
      <c r="H235" s="87">
        <f t="shared" si="257"/>
        <v>4.0000000000000003E-5</v>
      </c>
      <c r="I235" s="100">
        <f>0.15*I232</f>
        <v>1.4999999999999999E-2</v>
      </c>
      <c r="J235" s="89">
        <f>I235</f>
        <v>1.4999999999999999E-2</v>
      </c>
      <c r="K235" s="103" t="s">
        <v>126</v>
      </c>
      <c r="L235" s="104">
        <v>45390</v>
      </c>
      <c r="M235" s="92" t="str">
        <f t="shared" si="258"/>
        <v>C169</v>
      </c>
      <c r="N235" s="92" t="str">
        <f t="shared" si="259"/>
        <v>Блочная установка для дозирования реагента, нефть</v>
      </c>
      <c r="O235" s="92" t="str">
        <f t="shared" si="260"/>
        <v>Частичное-пожар</v>
      </c>
      <c r="P235" s="92">
        <v>2.9</v>
      </c>
      <c r="Q235" s="92">
        <v>4.3</v>
      </c>
      <c r="R235" s="92">
        <v>6.4</v>
      </c>
      <c r="S235" s="92">
        <v>11.5</v>
      </c>
      <c r="T235" s="92" t="s">
        <v>46</v>
      </c>
      <c r="U235" s="92" t="s">
        <v>46</v>
      </c>
      <c r="V235" s="92" t="s">
        <v>46</v>
      </c>
      <c r="W235" s="92" t="s">
        <v>46</v>
      </c>
      <c r="X235" s="92" t="s">
        <v>46</v>
      </c>
      <c r="Y235" s="92" t="s">
        <v>46</v>
      </c>
      <c r="Z235" s="92" t="s">
        <v>46</v>
      </c>
      <c r="AA235" s="92" t="s">
        <v>46</v>
      </c>
      <c r="AB235" s="92" t="s">
        <v>46</v>
      </c>
      <c r="AC235" s="92" t="s">
        <v>46</v>
      </c>
      <c r="AD235" s="92" t="s">
        <v>46</v>
      </c>
      <c r="AE235" s="92" t="s">
        <v>46</v>
      </c>
      <c r="AF235" s="92" t="s">
        <v>46</v>
      </c>
      <c r="AG235" s="92" t="s">
        <v>46</v>
      </c>
      <c r="AH235" s="92" t="s">
        <v>46</v>
      </c>
      <c r="AI235" s="92" t="s">
        <v>46</v>
      </c>
      <c r="AJ235" s="92">
        <v>0</v>
      </c>
      <c r="AK235" s="92">
        <v>0</v>
      </c>
      <c r="AL235" s="92">
        <f>0.1*$AL$2</f>
        <v>7.5000000000000011E-2</v>
      </c>
      <c r="AM235" s="92">
        <f>AM232</f>
        <v>2.7E-2</v>
      </c>
      <c r="AN235" s="92">
        <f>ROUNDUP(AN232/3,0)</f>
        <v>1</v>
      </c>
      <c r="AQ235" s="95">
        <f t="shared" si="267"/>
        <v>7.5405000000000014E-2</v>
      </c>
      <c r="AR235" s="95">
        <f t="shared" si="261"/>
        <v>7.5405000000000021E-3</v>
      </c>
      <c r="AS235" s="96">
        <f t="shared" si="262"/>
        <v>0</v>
      </c>
      <c r="AT235" s="96">
        <f t="shared" si="263"/>
        <v>2.0736375000000005E-2</v>
      </c>
      <c r="AU235" s="95">
        <f>10068.2*J235*POWER(10,-6)</f>
        <v>1.5102299999999999E-4</v>
      </c>
      <c r="AV235" s="96">
        <f t="shared" si="264"/>
        <v>0.10383289800000002</v>
      </c>
      <c r="AW235" s="97">
        <f t="shared" si="265"/>
        <v>0</v>
      </c>
      <c r="AX235" s="97">
        <f t="shared" si="268"/>
        <v>0</v>
      </c>
      <c r="AY235" s="97">
        <f t="shared" si="266"/>
        <v>4.1533159200000015E-6</v>
      </c>
      <c r="AZ235" s="297">
        <f>AW235/DB!$B$23</f>
        <v>0</v>
      </c>
      <c r="BA235" s="297">
        <f t="shared" si="269"/>
        <v>0</v>
      </c>
    </row>
    <row r="236" spans="1:53" s="92" customFormat="1" x14ac:dyDescent="0.3">
      <c r="A236" s="82" t="s">
        <v>903</v>
      </c>
      <c r="B236" s="82" t="str">
        <f>B232</f>
        <v>Блочная установка для дозирования реагента, нефть</v>
      </c>
      <c r="C236" s="84" t="s">
        <v>147</v>
      </c>
      <c r="D236" s="85" t="s">
        <v>112</v>
      </c>
      <c r="E236" s="98">
        <f>E235</f>
        <v>1E-4</v>
      </c>
      <c r="F236" s="99">
        <f>F232</f>
        <v>4</v>
      </c>
      <c r="G236" s="82">
        <v>4.5000000000000005E-2</v>
      </c>
      <c r="H236" s="87">
        <f t="shared" si="257"/>
        <v>1.8000000000000004E-5</v>
      </c>
      <c r="I236" s="100">
        <f>0.15*I232</f>
        <v>1.4999999999999999E-2</v>
      </c>
      <c r="J236" s="190">
        <f>0.7*J233</f>
        <v>6.9299999999999987E-3</v>
      </c>
      <c r="K236" s="103" t="s">
        <v>127</v>
      </c>
      <c r="L236" s="104">
        <v>3</v>
      </c>
      <c r="M236" s="92" t="str">
        <f t="shared" si="258"/>
        <v>C170</v>
      </c>
      <c r="N236" s="92" t="str">
        <f t="shared" si="259"/>
        <v>Блочная установка для дозирования реагента, нефть</v>
      </c>
      <c r="O236" s="92" t="str">
        <f t="shared" si="260"/>
        <v>Частичное-пожар-вспышка</v>
      </c>
      <c r="P236" s="92" t="s">
        <v>46</v>
      </c>
      <c r="Q236" s="92" t="s">
        <v>46</v>
      </c>
      <c r="R236" s="92" t="s">
        <v>46</v>
      </c>
      <c r="S236" s="92" t="s">
        <v>46</v>
      </c>
      <c r="T236" s="92" t="s">
        <v>46</v>
      </c>
      <c r="U236" s="92" t="s">
        <v>46</v>
      </c>
      <c r="V236" s="92" t="s">
        <v>46</v>
      </c>
      <c r="W236" s="92" t="s">
        <v>46</v>
      </c>
      <c r="X236" s="92" t="s">
        <v>46</v>
      </c>
      <c r="Y236" s="92" t="s">
        <v>46</v>
      </c>
      <c r="Z236" s="92" t="s">
        <v>46</v>
      </c>
      <c r="AA236" s="92">
        <v>6.5</v>
      </c>
      <c r="AB236" s="92">
        <v>7.8</v>
      </c>
      <c r="AC236" s="92" t="s">
        <v>46</v>
      </c>
      <c r="AD236" s="92" t="s">
        <v>46</v>
      </c>
      <c r="AE236" s="92" t="s">
        <v>46</v>
      </c>
      <c r="AF236" s="92" t="s">
        <v>46</v>
      </c>
      <c r="AG236" s="92" t="s">
        <v>46</v>
      </c>
      <c r="AH236" s="92" t="s">
        <v>46</v>
      </c>
      <c r="AI236" s="92" t="s">
        <v>46</v>
      </c>
      <c r="AJ236" s="92">
        <v>0</v>
      </c>
      <c r="AK236" s="92">
        <v>0</v>
      </c>
      <c r="AL236" s="92">
        <f>0.1*$AL$2</f>
        <v>7.5000000000000011E-2</v>
      </c>
      <c r="AM236" s="92">
        <f>AM232</f>
        <v>2.7E-2</v>
      </c>
      <c r="AN236" s="92">
        <f>ROUNDUP(AN232/3,0)</f>
        <v>1</v>
      </c>
      <c r="AQ236" s="95">
        <f t="shared" si="267"/>
        <v>7.5405000000000014E-2</v>
      </c>
      <c r="AR236" s="95">
        <f t="shared" si="261"/>
        <v>7.5405000000000021E-3</v>
      </c>
      <c r="AS236" s="96">
        <f t="shared" si="262"/>
        <v>0</v>
      </c>
      <c r="AT236" s="96">
        <f t="shared" si="263"/>
        <v>2.0736375000000005E-2</v>
      </c>
      <c r="AU236" s="95">
        <f>10068.2*J236*POWER(10,-6)*10</f>
        <v>6.977262599999999E-4</v>
      </c>
      <c r="AV236" s="96">
        <f t="shared" si="264"/>
        <v>0.10437960126000002</v>
      </c>
      <c r="AW236" s="97">
        <f t="shared" si="265"/>
        <v>0</v>
      </c>
      <c r="AX236" s="97">
        <f t="shared" si="268"/>
        <v>0</v>
      </c>
      <c r="AY236" s="97">
        <f t="shared" si="266"/>
        <v>1.8788328226800008E-6</v>
      </c>
      <c r="AZ236" s="297">
        <f>AW236/DB!$B$23</f>
        <v>0</v>
      </c>
      <c r="BA236" s="297">
        <f t="shared" si="269"/>
        <v>0</v>
      </c>
    </row>
    <row r="237" spans="1:53" s="92" customFormat="1" ht="15" thickBot="1" x14ac:dyDescent="0.35">
      <c r="A237" s="82" t="s">
        <v>904</v>
      </c>
      <c r="B237" s="82" t="str">
        <f>B232</f>
        <v>Блочная установка для дозирования реагента, нефть</v>
      </c>
      <c r="C237" s="84" t="s">
        <v>148</v>
      </c>
      <c r="D237" s="85" t="s">
        <v>27</v>
      </c>
      <c r="E237" s="98">
        <f>E235</f>
        <v>1E-4</v>
      </c>
      <c r="F237" s="99">
        <f>F232</f>
        <v>4</v>
      </c>
      <c r="G237" s="82">
        <v>0.85499999999999998</v>
      </c>
      <c r="H237" s="87">
        <f t="shared" si="257"/>
        <v>3.4200000000000002E-4</v>
      </c>
      <c r="I237" s="100">
        <f>0.15*I232</f>
        <v>1.4999999999999999E-2</v>
      </c>
      <c r="J237" s="102">
        <v>0</v>
      </c>
      <c r="K237" s="105" t="s">
        <v>138</v>
      </c>
      <c r="L237" s="105">
        <v>9</v>
      </c>
      <c r="M237" s="92" t="str">
        <f t="shared" si="258"/>
        <v>C171</v>
      </c>
      <c r="N237" s="92" t="str">
        <f t="shared" si="259"/>
        <v>Блочная установка для дозирования реагента, нефть</v>
      </c>
      <c r="O237" s="92" t="str">
        <f t="shared" si="260"/>
        <v>Частичное-ликвидация</v>
      </c>
      <c r="P237" s="92" t="s">
        <v>46</v>
      </c>
      <c r="Q237" s="92" t="s">
        <v>46</v>
      </c>
      <c r="R237" s="92" t="s">
        <v>46</v>
      </c>
      <c r="S237" s="92" t="s">
        <v>46</v>
      </c>
      <c r="T237" s="92" t="s">
        <v>46</v>
      </c>
      <c r="U237" s="92" t="s">
        <v>46</v>
      </c>
      <c r="V237" s="92" t="s">
        <v>46</v>
      </c>
      <c r="W237" s="92" t="s">
        <v>46</v>
      </c>
      <c r="X237" s="92" t="s">
        <v>46</v>
      </c>
      <c r="Y237" s="92" t="s">
        <v>46</v>
      </c>
      <c r="Z237" s="92" t="s">
        <v>46</v>
      </c>
      <c r="AA237" s="92" t="s">
        <v>46</v>
      </c>
      <c r="AB237" s="92" t="s">
        <v>46</v>
      </c>
      <c r="AC237" s="92" t="s">
        <v>46</v>
      </c>
      <c r="AD237" s="92" t="s">
        <v>46</v>
      </c>
      <c r="AE237" s="92" t="s">
        <v>46</v>
      </c>
      <c r="AF237" s="92" t="s">
        <v>46</v>
      </c>
      <c r="AG237" s="92" t="s">
        <v>46</v>
      </c>
      <c r="AH237" s="92" t="s">
        <v>46</v>
      </c>
      <c r="AI237" s="92" t="s">
        <v>46</v>
      </c>
      <c r="AJ237" s="92">
        <v>0</v>
      </c>
      <c r="AK237" s="92">
        <v>0</v>
      </c>
      <c r="AL237" s="92">
        <f>0.1*$AL$2</f>
        <v>7.5000000000000011E-2</v>
      </c>
      <c r="AM237" s="92">
        <f>AM232</f>
        <v>2.7E-2</v>
      </c>
      <c r="AN237" s="92">
        <f>ROUNDUP(AN232/3,0)</f>
        <v>1</v>
      </c>
      <c r="AQ237" s="95">
        <f t="shared" si="267"/>
        <v>7.5405000000000014E-2</v>
      </c>
      <c r="AR237" s="95">
        <f t="shared" si="261"/>
        <v>7.5405000000000021E-3</v>
      </c>
      <c r="AS237" s="96">
        <f t="shared" si="262"/>
        <v>0</v>
      </c>
      <c r="AT237" s="96">
        <f t="shared" si="263"/>
        <v>2.0736375000000005E-2</v>
      </c>
      <c r="AU237" s="95">
        <f>1333*J236*POWER(10,-6)</f>
        <v>9.237689999999999E-6</v>
      </c>
      <c r="AV237" s="96">
        <f t="shared" si="264"/>
        <v>0.10369111269000002</v>
      </c>
      <c r="AW237" s="97">
        <f t="shared" si="265"/>
        <v>0</v>
      </c>
      <c r="AX237" s="97">
        <f t="shared" si="268"/>
        <v>0</v>
      </c>
      <c r="AY237" s="97">
        <f t="shared" si="266"/>
        <v>3.5462360539980006E-5</v>
      </c>
      <c r="AZ237" s="297">
        <f>AW237/DB!$B$23</f>
        <v>0</v>
      </c>
      <c r="BA237" s="297">
        <f t="shared" si="269"/>
        <v>0</v>
      </c>
    </row>
    <row r="238" spans="1:53" s="92" customFormat="1" x14ac:dyDescent="0.3">
      <c r="A238" s="93"/>
      <c r="B238" s="93"/>
      <c r="D238" s="184"/>
      <c r="E238" s="185"/>
      <c r="F238" s="186"/>
      <c r="G238" s="93"/>
      <c r="H238" s="97"/>
      <c r="I238" s="96"/>
      <c r="J238" s="93"/>
      <c r="K238" s="296" t="s">
        <v>468</v>
      </c>
      <c r="L238" s="295" t="s">
        <v>710</v>
      </c>
      <c r="AQ238" s="95"/>
      <c r="AR238" s="95"/>
      <c r="AS238" s="96"/>
      <c r="AT238" s="96"/>
      <c r="AU238" s="95"/>
      <c r="AV238" s="96"/>
      <c r="AW238" s="97"/>
      <c r="AX238" s="97"/>
      <c r="AY238" s="97"/>
    </row>
    <row r="239" spans="1:53" s="92" customFormat="1" x14ac:dyDescent="0.3">
      <c r="A239" s="93"/>
      <c r="B239" s="93"/>
      <c r="D239" s="184"/>
      <c r="E239" s="185"/>
      <c r="F239" s="186"/>
      <c r="G239" s="93"/>
      <c r="H239" s="97"/>
      <c r="I239" s="96"/>
      <c r="J239" s="93"/>
      <c r="K239" s="93"/>
      <c r="L239" s="93"/>
      <c r="AQ239" s="95"/>
      <c r="AR239" s="95"/>
      <c r="AS239" s="96"/>
      <c r="AT239" s="96"/>
      <c r="AU239" s="95"/>
      <c r="AV239" s="96"/>
      <c r="AW239" s="97"/>
      <c r="AX239" s="97"/>
      <c r="AY239" s="97"/>
    </row>
    <row r="240" spans="1:53" s="92" customFormat="1" x14ac:dyDescent="0.3">
      <c r="A240" s="93"/>
      <c r="B240" s="93"/>
      <c r="D240" s="184"/>
      <c r="E240" s="185"/>
      <c r="F240" s="186"/>
      <c r="G240" s="93"/>
      <c r="H240" s="97"/>
      <c r="I240" s="96"/>
      <c r="J240" s="93"/>
      <c r="K240" s="93"/>
      <c r="L240" s="93"/>
      <c r="AQ240" s="95"/>
      <c r="AR240" s="95"/>
      <c r="AS240" s="96"/>
      <c r="AT240" s="96"/>
      <c r="AU240" s="95"/>
      <c r="AV240" s="96"/>
      <c r="AW240" s="97"/>
      <c r="AX240" s="97"/>
      <c r="AY240" s="97"/>
    </row>
    <row r="241" spans="1:53" ht="15" thickBot="1" x14ac:dyDescent="0.35"/>
    <row r="242" spans="1:53" s="346" customFormat="1" ht="15" thickBot="1" x14ac:dyDescent="0.35">
      <c r="A242" s="336" t="s">
        <v>905</v>
      </c>
      <c r="B242" s="337" t="s">
        <v>741</v>
      </c>
      <c r="C242" s="338" t="s">
        <v>106</v>
      </c>
      <c r="D242" s="339" t="s">
        <v>25</v>
      </c>
      <c r="E242" s="340">
        <v>9.9999999999999995E-8</v>
      </c>
      <c r="F242" s="337">
        <v>6429</v>
      </c>
      <c r="G242" s="336">
        <v>0.2</v>
      </c>
      <c r="H242" s="341">
        <f t="shared" ref="H242:H247" si="270">E242*F242*G242</f>
        <v>1.2857999999999999E-4</v>
      </c>
      <c r="I242" s="342">
        <v>136</v>
      </c>
      <c r="J242" s="343">
        <f>I242</f>
        <v>136</v>
      </c>
      <c r="K242" s="344" t="s">
        <v>122</v>
      </c>
      <c r="L242" s="345">
        <f>I242*20</f>
        <v>2720</v>
      </c>
      <c r="M242" s="346" t="str">
        <f t="shared" ref="M242:N247" si="271">A242</f>
        <v>C172</v>
      </c>
      <c r="N242" s="346" t="str">
        <f t="shared" si="271"/>
        <v>Нефтепровод УПН «Уршак» - НСП «Казангулово», нефть</v>
      </c>
      <c r="O242" s="346" t="str">
        <f t="shared" ref="O242:O247" si="272">D242</f>
        <v>Полное-пожар</v>
      </c>
      <c r="P242" s="346">
        <v>41.5</v>
      </c>
      <c r="Q242" s="346">
        <v>56.2</v>
      </c>
      <c r="R242" s="346">
        <v>78</v>
      </c>
      <c r="S242" s="346">
        <v>139.19999999999999</v>
      </c>
      <c r="T242" s="346" t="s">
        <v>46</v>
      </c>
      <c r="U242" s="346" t="s">
        <v>46</v>
      </c>
      <c r="V242" s="346" t="s">
        <v>46</v>
      </c>
      <c r="W242" s="346" t="s">
        <v>46</v>
      </c>
      <c r="X242" s="346" t="s">
        <v>46</v>
      </c>
      <c r="Y242" s="346" t="s">
        <v>46</v>
      </c>
      <c r="Z242" s="346" t="s">
        <v>46</v>
      </c>
      <c r="AA242" s="346" t="s">
        <v>46</v>
      </c>
      <c r="AB242" s="346" t="s">
        <v>46</v>
      </c>
      <c r="AC242" s="346" t="s">
        <v>46</v>
      </c>
      <c r="AD242" s="346" t="s">
        <v>46</v>
      </c>
      <c r="AE242" s="346" t="s">
        <v>46</v>
      </c>
      <c r="AF242" s="346" t="s">
        <v>46</v>
      </c>
      <c r="AG242" s="346" t="s">
        <v>46</v>
      </c>
      <c r="AH242" s="346" t="s">
        <v>46</v>
      </c>
      <c r="AI242" s="346" t="s">
        <v>46</v>
      </c>
      <c r="AJ242" s="347">
        <v>1</v>
      </c>
      <c r="AK242" s="347">
        <v>2</v>
      </c>
      <c r="AL242" s="348">
        <v>0.75</v>
      </c>
      <c r="AM242" s="348">
        <v>2.7E-2</v>
      </c>
      <c r="AN242" s="348">
        <v>3</v>
      </c>
      <c r="AQ242" s="349">
        <f>AM242*I242+AL242</f>
        <v>4.4220000000000006</v>
      </c>
      <c r="AR242" s="349">
        <f t="shared" ref="AR242:AR247" si="273">0.1*AQ242</f>
        <v>0.44220000000000009</v>
      </c>
      <c r="AS242" s="350">
        <f t="shared" ref="AS242:AS247" si="274">AJ242*3+0.25*AK242</f>
        <v>3.5</v>
      </c>
      <c r="AT242" s="350">
        <f t="shared" ref="AT242:AT247" si="275">SUM(AQ242:AS242)/4</f>
        <v>2.0910500000000001</v>
      </c>
      <c r="AU242" s="349">
        <f>10068.2*J242*POWER(10,-6)</f>
        <v>1.3692752000000001</v>
      </c>
      <c r="AV242" s="350">
        <f t="shared" ref="AV242:AV247" si="276">AU242+AT242+AS242+AR242+AQ242</f>
        <v>11.8245252</v>
      </c>
      <c r="AW242" s="351">
        <f t="shared" ref="AW242:AW247" si="277">AJ242*H242</f>
        <v>1.2857999999999999E-4</v>
      </c>
      <c r="AX242" s="351">
        <f t="shared" ref="AX242:AX247" si="278">H242*AK242</f>
        <v>2.5715999999999998E-4</v>
      </c>
      <c r="AY242" s="351">
        <f t="shared" ref="AY242:AY247" si="279">H242*AV242</f>
        <v>1.5203974502159998E-3</v>
      </c>
      <c r="AZ242" s="352">
        <f>AW242/[1]DB!$B$23</f>
        <v>1.5491566265060241E-7</v>
      </c>
      <c r="BA242" s="352">
        <f>AX242/[1]DB!$B$23</f>
        <v>3.0983132530120481E-7</v>
      </c>
    </row>
    <row r="243" spans="1:53" s="346" customFormat="1" ht="15" thickBot="1" x14ac:dyDescent="0.35">
      <c r="A243" s="336" t="s">
        <v>906</v>
      </c>
      <c r="B243" s="336" t="str">
        <f>B242</f>
        <v>Нефтепровод УПН «Уршак» - НСП «Казангулово», нефть</v>
      </c>
      <c r="C243" s="338" t="s">
        <v>899</v>
      </c>
      <c r="D243" s="339" t="s">
        <v>900</v>
      </c>
      <c r="E243" s="353">
        <v>9.9999999999999995E-8</v>
      </c>
      <c r="F243" s="354">
        <v>6429</v>
      </c>
      <c r="G243" s="336">
        <v>0.04</v>
      </c>
      <c r="H243" s="341">
        <f t="shared" si="270"/>
        <v>2.5715999999999999E-5</v>
      </c>
      <c r="I243" s="355">
        <f>I242</f>
        <v>136</v>
      </c>
      <c r="J243" s="356">
        <f>POWER(10,-6)*35*SQRT(100)*L1*L242/1000*0.1</f>
        <v>0.11423999999999999</v>
      </c>
      <c r="K243" s="344" t="s">
        <v>123</v>
      </c>
      <c r="L243" s="345">
        <v>0</v>
      </c>
      <c r="M243" s="346" t="str">
        <f t="shared" si="271"/>
        <v>C173</v>
      </c>
      <c r="N243" s="346" t="str">
        <f t="shared" si="271"/>
        <v>Нефтепровод УПН «Уршак» - НСП «Казангулово», нефть</v>
      </c>
      <c r="O243" s="346" t="str">
        <f t="shared" si="272"/>
        <v>Полное-пожар-вспышка</v>
      </c>
      <c r="P243" s="346" t="s">
        <v>46</v>
      </c>
      <c r="Q243" s="346" t="s">
        <v>46</v>
      </c>
      <c r="R243" s="346" t="s">
        <v>46</v>
      </c>
      <c r="S243" s="346" t="s">
        <v>46</v>
      </c>
      <c r="T243" s="346" t="s">
        <v>46</v>
      </c>
      <c r="U243" s="346" t="s">
        <v>46</v>
      </c>
      <c r="V243" s="346" t="s">
        <v>46</v>
      </c>
      <c r="W243" s="346" t="s">
        <v>46</v>
      </c>
      <c r="X243" s="346" t="s">
        <v>46</v>
      </c>
      <c r="Y243" s="346" t="s">
        <v>46</v>
      </c>
      <c r="Z243" s="346" t="s">
        <v>46</v>
      </c>
      <c r="AA243" s="346">
        <v>16.38</v>
      </c>
      <c r="AB243" s="346">
        <v>19.66</v>
      </c>
      <c r="AC243" s="346" t="s">
        <v>46</v>
      </c>
      <c r="AD243" s="346" t="s">
        <v>46</v>
      </c>
      <c r="AE243" s="346" t="s">
        <v>46</v>
      </c>
      <c r="AF243" s="346" t="s">
        <v>46</v>
      </c>
      <c r="AG243" s="346" t="s">
        <v>46</v>
      </c>
      <c r="AH243" s="346" t="s">
        <v>46</v>
      </c>
      <c r="AI243" s="346" t="s">
        <v>46</v>
      </c>
      <c r="AJ243" s="347">
        <v>2</v>
      </c>
      <c r="AK243" s="347">
        <v>2</v>
      </c>
      <c r="AL243" s="346">
        <f>AL242</f>
        <v>0.75</v>
      </c>
      <c r="AM243" s="346">
        <f>AM242</f>
        <v>2.7E-2</v>
      </c>
      <c r="AN243" s="346">
        <f>AN242</f>
        <v>3</v>
      </c>
      <c r="AQ243" s="349">
        <f>AM243*I243+AL243</f>
        <v>4.4220000000000006</v>
      </c>
      <c r="AR243" s="349">
        <f t="shared" si="273"/>
        <v>0.44220000000000009</v>
      </c>
      <c r="AS243" s="350">
        <f t="shared" si="274"/>
        <v>6.5</v>
      </c>
      <c r="AT243" s="350">
        <f t="shared" si="275"/>
        <v>2.8410500000000001</v>
      </c>
      <c r="AU243" s="349">
        <f>10068.2*J243*POWER(10,-6)*10</f>
        <v>1.1501911680000001E-2</v>
      </c>
      <c r="AV243" s="350">
        <f t="shared" si="276"/>
        <v>14.216751911679999</v>
      </c>
      <c r="AW243" s="351">
        <f t="shared" si="277"/>
        <v>5.1431999999999998E-5</v>
      </c>
      <c r="AX243" s="351">
        <f t="shared" si="278"/>
        <v>5.1431999999999998E-5</v>
      </c>
      <c r="AY243" s="351">
        <f t="shared" si="279"/>
        <v>3.6559799216076284E-4</v>
      </c>
      <c r="AZ243" s="352">
        <f>AW243/[1]DB!$B$23</f>
        <v>6.1966265060240966E-8</v>
      </c>
      <c r="BA243" s="352">
        <f>AX243/[1]DB!$B$23</f>
        <v>6.1966265060240966E-8</v>
      </c>
    </row>
    <row r="244" spans="1:53" s="346" customFormat="1" x14ac:dyDescent="0.3">
      <c r="A244" s="336" t="s">
        <v>907</v>
      </c>
      <c r="B244" s="336" t="str">
        <f>B242</f>
        <v>Нефтепровод УПН «Уршак» - НСП «Казангулово», нефть</v>
      </c>
      <c r="C244" s="338" t="s">
        <v>108</v>
      </c>
      <c r="D244" s="339" t="s">
        <v>26</v>
      </c>
      <c r="E244" s="353">
        <v>9.9999999999999995E-8</v>
      </c>
      <c r="F244" s="354">
        <v>6429</v>
      </c>
      <c r="G244" s="336">
        <v>0.76</v>
      </c>
      <c r="H244" s="341">
        <f t="shared" si="270"/>
        <v>4.8860400000000001E-4</v>
      </c>
      <c r="I244" s="355">
        <f>I242</f>
        <v>136</v>
      </c>
      <c r="J244" s="357">
        <v>0</v>
      </c>
      <c r="K244" s="344" t="s">
        <v>124</v>
      </c>
      <c r="L244" s="345">
        <v>0</v>
      </c>
      <c r="M244" s="346" t="str">
        <f t="shared" si="271"/>
        <v>C174</v>
      </c>
      <c r="N244" s="346" t="str">
        <f t="shared" si="271"/>
        <v>Нефтепровод УПН «Уршак» - НСП «Казангулово», нефть</v>
      </c>
      <c r="O244" s="346" t="str">
        <f t="shared" si="272"/>
        <v>Полное-ликвидация</v>
      </c>
      <c r="P244" s="346" t="s">
        <v>46</v>
      </c>
      <c r="Q244" s="346" t="s">
        <v>46</v>
      </c>
      <c r="R244" s="346" t="s">
        <v>46</v>
      </c>
      <c r="S244" s="346" t="s">
        <v>46</v>
      </c>
      <c r="T244" s="346" t="s">
        <v>46</v>
      </c>
      <c r="U244" s="346" t="s">
        <v>46</v>
      </c>
      <c r="V244" s="346" t="s">
        <v>46</v>
      </c>
      <c r="W244" s="346" t="s">
        <v>46</v>
      </c>
      <c r="X244" s="346" t="s">
        <v>46</v>
      </c>
      <c r="Y244" s="346" t="s">
        <v>46</v>
      </c>
      <c r="Z244" s="346" t="s">
        <v>46</v>
      </c>
      <c r="AA244" s="346" t="s">
        <v>46</v>
      </c>
      <c r="AB244" s="346" t="s">
        <v>46</v>
      </c>
      <c r="AC244" s="346" t="s">
        <v>46</v>
      </c>
      <c r="AD244" s="346" t="s">
        <v>46</v>
      </c>
      <c r="AE244" s="346" t="s">
        <v>46</v>
      </c>
      <c r="AF244" s="346" t="s">
        <v>46</v>
      </c>
      <c r="AG244" s="346" t="s">
        <v>46</v>
      </c>
      <c r="AH244" s="346" t="s">
        <v>46</v>
      </c>
      <c r="AI244" s="346" t="s">
        <v>46</v>
      </c>
      <c r="AJ244" s="346">
        <v>0</v>
      </c>
      <c r="AK244" s="346">
        <v>0</v>
      </c>
      <c r="AL244" s="346">
        <f>AL242</f>
        <v>0.75</v>
      </c>
      <c r="AM244" s="346">
        <f>AM242</f>
        <v>2.7E-2</v>
      </c>
      <c r="AN244" s="346">
        <f>AN242</f>
        <v>3</v>
      </c>
      <c r="AQ244" s="349">
        <f>AM244*I244*0.1+AL244</f>
        <v>1.1172</v>
      </c>
      <c r="AR244" s="349">
        <f t="shared" si="273"/>
        <v>0.11172</v>
      </c>
      <c r="AS244" s="350">
        <f t="shared" si="274"/>
        <v>0</v>
      </c>
      <c r="AT244" s="350">
        <f t="shared" si="275"/>
        <v>0.30723</v>
      </c>
      <c r="AU244" s="349">
        <f>1333*J243*POWER(10,-6)</f>
        <v>1.5228191999999997E-4</v>
      </c>
      <c r="AV244" s="350">
        <f t="shared" si="276"/>
        <v>1.5363022819199998</v>
      </c>
      <c r="AW244" s="351">
        <f t="shared" si="277"/>
        <v>0</v>
      </c>
      <c r="AX244" s="351">
        <f t="shared" si="278"/>
        <v>0</v>
      </c>
      <c r="AY244" s="351">
        <f t="shared" si="279"/>
        <v>7.5064344015523968E-4</v>
      </c>
      <c r="AZ244" s="352">
        <f>AW244/[1]DB!$B$23</f>
        <v>0</v>
      </c>
      <c r="BA244" s="352">
        <f>AX244/[1]DB!$B$23</f>
        <v>0</v>
      </c>
    </row>
    <row r="245" spans="1:53" s="346" customFormat="1" x14ac:dyDescent="0.3">
      <c r="A245" s="336" t="s">
        <v>908</v>
      </c>
      <c r="B245" s="336" t="str">
        <f>B242</f>
        <v>Нефтепровод УПН «Уршак» - НСП «Казангулово», нефть</v>
      </c>
      <c r="C245" s="338" t="s">
        <v>109</v>
      </c>
      <c r="D245" s="339" t="s">
        <v>47</v>
      </c>
      <c r="E245" s="340">
        <v>4.9999999999999998E-7</v>
      </c>
      <c r="F245" s="354">
        <v>6429</v>
      </c>
      <c r="G245" s="336">
        <v>0.2</v>
      </c>
      <c r="H245" s="341">
        <f t="shared" si="270"/>
        <v>6.4290000000000007E-4</v>
      </c>
      <c r="I245" s="355">
        <f>0.15*I242</f>
        <v>20.399999999999999</v>
      </c>
      <c r="J245" s="343">
        <f>I245</f>
        <v>20.399999999999999</v>
      </c>
      <c r="K245" s="358" t="s">
        <v>126</v>
      </c>
      <c r="L245" s="359">
        <v>45390</v>
      </c>
      <c r="M245" s="346" t="str">
        <f t="shared" si="271"/>
        <v>C175</v>
      </c>
      <c r="N245" s="346" t="str">
        <f t="shared" si="271"/>
        <v>Нефтепровод УПН «Уршак» - НСП «Казангулово», нефть</v>
      </c>
      <c r="O245" s="346" t="str">
        <f t="shared" si="272"/>
        <v>Частичное-пожар</v>
      </c>
      <c r="P245" s="346">
        <v>13.3</v>
      </c>
      <c r="Q245" s="346">
        <v>18.7</v>
      </c>
      <c r="R245" s="346">
        <v>27.2</v>
      </c>
      <c r="S245" s="346">
        <v>51.9</v>
      </c>
      <c r="T245" s="346" t="s">
        <v>46</v>
      </c>
      <c r="U245" s="346" t="s">
        <v>46</v>
      </c>
      <c r="V245" s="346" t="s">
        <v>46</v>
      </c>
      <c r="W245" s="346" t="s">
        <v>46</v>
      </c>
      <c r="X245" s="346" t="s">
        <v>46</v>
      </c>
      <c r="Y245" s="346" t="s">
        <v>46</v>
      </c>
      <c r="Z245" s="346" t="s">
        <v>46</v>
      </c>
      <c r="AA245" s="346" t="s">
        <v>46</v>
      </c>
      <c r="AB245" s="346" t="s">
        <v>46</v>
      </c>
      <c r="AC245" s="346" t="s">
        <v>46</v>
      </c>
      <c r="AD245" s="346" t="s">
        <v>46</v>
      </c>
      <c r="AE245" s="346" t="s">
        <v>46</v>
      </c>
      <c r="AF245" s="346" t="s">
        <v>46</v>
      </c>
      <c r="AG245" s="346" t="s">
        <v>46</v>
      </c>
      <c r="AH245" s="346" t="s">
        <v>46</v>
      </c>
      <c r="AI245" s="346" t="s">
        <v>46</v>
      </c>
      <c r="AJ245" s="346">
        <v>0</v>
      </c>
      <c r="AK245" s="346">
        <v>2</v>
      </c>
      <c r="AL245" s="346">
        <f>0.1*$AL$2</f>
        <v>7.5000000000000011E-2</v>
      </c>
      <c r="AM245" s="346">
        <f>AM242</f>
        <v>2.7E-2</v>
      </c>
      <c r="AN245" s="346">
        <f>ROUNDUP(AN242/3,0)</f>
        <v>1</v>
      </c>
      <c r="AQ245" s="349">
        <f>AM245*I245+AL245</f>
        <v>0.62579999999999991</v>
      </c>
      <c r="AR245" s="349">
        <f t="shared" si="273"/>
        <v>6.2579999999999997E-2</v>
      </c>
      <c r="AS245" s="350">
        <f t="shared" si="274"/>
        <v>0.5</v>
      </c>
      <c r="AT245" s="350">
        <f t="shared" si="275"/>
        <v>0.297095</v>
      </c>
      <c r="AU245" s="349">
        <f>10068.2*J245*POWER(10,-6)</f>
        <v>0.20539127999999998</v>
      </c>
      <c r="AV245" s="350">
        <f t="shared" si="276"/>
        <v>1.6908662799999998</v>
      </c>
      <c r="AW245" s="351">
        <f t="shared" si="277"/>
        <v>0</v>
      </c>
      <c r="AX245" s="351">
        <f t="shared" si="278"/>
        <v>1.2858000000000001E-3</v>
      </c>
      <c r="AY245" s="351">
        <f t="shared" si="279"/>
        <v>1.087057931412E-3</v>
      </c>
      <c r="AZ245" s="352">
        <f>AW245/[1]DB!$B$23</f>
        <v>0</v>
      </c>
      <c r="BA245" s="352">
        <f>AX245/[1]DB!$B$23</f>
        <v>1.5491566265060242E-6</v>
      </c>
    </row>
    <row r="246" spans="1:53" s="346" customFormat="1" x14ac:dyDescent="0.3">
      <c r="A246" s="336" t="s">
        <v>909</v>
      </c>
      <c r="B246" s="336" t="str">
        <f>B242</f>
        <v>Нефтепровод УПН «Уршак» - НСП «Казангулово», нефть</v>
      </c>
      <c r="C246" s="338" t="s">
        <v>110</v>
      </c>
      <c r="D246" s="339" t="s">
        <v>112</v>
      </c>
      <c r="E246" s="353">
        <v>4.9999999999999998E-7</v>
      </c>
      <c r="F246" s="354">
        <v>6429</v>
      </c>
      <c r="G246" s="336">
        <v>0.04</v>
      </c>
      <c r="H246" s="341">
        <f t="shared" si="270"/>
        <v>1.2857999999999999E-4</v>
      </c>
      <c r="I246" s="355">
        <f>0.15*I242</f>
        <v>20.399999999999999</v>
      </c>
      <c r="J246" s="343">
        <f>0.15*J243</f>
        <v>1.7135999999999998E-2</v>
      </c>
      <c r="K246" s="358" t="s">
        <v>127</v>
      </c>
      <c r="L246" s="359">
        <v>3</v>
      </c>
      <c r="M246" s="346" t="str">
        <f t="shared" si="271"/>
        <v>C176</v>
      </c>
      <c r="N246" s="346" t="str">
        <f t="shared" si="271"/>
        <v>Нефтепровод УПН «Уршак» - НСП «Казангулово», нефть</v>
      </c>
      <c r="O246" s="346" t="str">
        <f t="shared" si="272"/>
        <v>Частичное-пожар-вспышка</v>
      </c>
      <c r="P246" s="346" t="s">
        <v>46</v>
      </c>
      <c r="Q246" s="346" t="s">
        <v>46</v>
      </c>
      <c r="R246" s="346" t="s">
        <v>46</v>
      </c>
      <c r="S246" s="346" t="s">
        <v>46</v>
      </c>
      <c r="T246" s="346" t="s">
        <v>46</v>
      </c>
      <c r="U246" s="346" t="s">
        <v>46</v>
      </c>
      <c r="V246" s="346" t="s">
        <v>46</v>
      </c>
      <c r="W246" s="346" t="s">
        <v>46</v>
      </c>
      <c r="X246" s="346" t="s">
        <v>46</v>
      </c>
      <c r="Y246" s="346" t="s">
        <v>46</v>
      </c>
      <c r="Z246" s="346" t="s">
        <v>46</v>
      </c>
      <c r="AA246" s="346">
        <v>8.76</v>
      </c>
      <c r="AB246" s="346">
        <v>10.51</v>
      </c>
      <c r="AC246" s="346" t="s">
        <v>46</v>
      </c>
      <c r="AD246" s="346" t="s">
        <v>46</v>
      </c>
      <c r="AE246" s="346" t="s">
        <v>46</v>
      </c>
      <c r="AF246" s="346" t="s">
        <v>46</v>
      </c>
      <c r="AG246" s="346" t="s">
        <v>46</v>
      </c>
      <c r="AH246" s="346" t="s">
        <v>46</v>
      </c>
      <c r="AI246" s="346" t="s">
        <v>46</v>
      </c>
      <c r="AJ246" s="346">
        <v>0</v>
      </c>
      <c r="AK246" s="346">
        <v>1</v>
      </c>
      <c r="AL246" s="346">
        <f>0.1*$AL$2</f>
        <v>7.5000000000000011E-2</v>
      </c>
      <c r="AM246" s="346">
        <f>AM242</f>
        <v>2.7E-2</v>
      </c>
      <c r="AN246" s="346">
        <f>ROUNDUP(AN242/3,0)</f>
        <v>1</v>
      </c>
      <c r="AQ246" s="349">
        <f>AM246*I246+AL246</f>
        <v>0.62579999999999991</v>
      </c>
      <c r="AR246" s="349">
        <f t="shared" si="273"/>
        <v>6.2579999999999997E-2</v>
      </c>
      <c r="AS246" s="350">
        <f t="shared" si="274"/>
        <v>0.25</v>
      </c>
      <c r="AT246" s="350">
        <f t="shared" si="275"/>
        <v>0.23459499999999997</v>
      </c>
      <c r="AU246" s="349">
        <f>10068.2*J246*POWER(10,-6)*10</f>
        <v>1.725286752E-3</v>
      </c>
      <c r="AV246" s="350">
        <f t="shared" si="276"/>
        <v>1.174700286752</v>
      </c>
      <c r="AW246" s="351">
        <f t="shared" si="277"/>
        <v>0</v>
      </c>
      <c r="AX246" s="351">
        <f t="shared" si="278"/>
        <v>1.2857999999999999E-4</v>
      </c>
      <c r="AY246" s="351">
        <f t="shared" si="279"/>
        <v>1.5104296287057214E-4</v>
      </c>
      <c r="AZ246" s="352">
        <f>AW246/[1]DB!$B$23</f>
        <v>0</v>
      </c>
      <c r="BA246" s="352">
        <f>AX246/[1]DB!$B$23</f>
        <v>1.5491566265060241E-7</v>
      </c>
    </row>
    <row r="247" spans="1:53" s="346" customFormat="1" x14ac:dyDescent="0.3">
      <c r="A247" s="360" t="s">
        <v>910</v>
      </c>
      <c r="B247" s="360" t="str">
        <f>B242</f>
        <v>Нефтепровод УПН «Уршак» - НСП «Казангулово», нефть</v>
      </c>
      <c r="C247" s="361" t="s">
        <v>111</v>
      </c>
      <c r="D247" s="362" t="s">
        <v>27</v>
      </c>
      <c r="E247" s="363">
        <v>4.9999999999999998E-7</v>
      </c>
      <c r="F247" s="364">
        <v>6429</v>
      </c>
      <c r="G247" s="360">
        <v>0.76</v>
      </c>
      <c r="H247" s="365">
        <f t="shared" si="270"/>
        <v>2.4430200000000002E-3</v>
      </c>
      <c r="I247" s="366">
        <f>0.15*I242</f>
        <v>20.399999999999999</v>
      </c>
      <c r="J247" s="367">
        <v>0</v>
      </c>
      <c r="K247" s="368" t="s">
        <v>138</v>
      </c>
      <c r="L247" s="369">
        <v>25</v>
      </c>
      <c r="M247" s="346" t="str">
        <f t="shared" si="271"/>
        <v>C177</v>
      </c>
      <c r="N247" s="346" t="str">
        <f t="shared" si="271"/>
        <v>Нефтепровод УПН «Уршак» - НСП «Казангулово», нефть</v>
      </c>
      <c r="O247" s="346" t="str">
        <f t="shared" si="272"/>
        <v>Частичное-ликвидация</v>
      </c>
      <c r="P247" s="346" t="s">
        <v>46</v>
      </c>
      <c r="Q247" s="346" t="s">
        <v>46</v>
      </c>
      <c r="R247" s="346" t="s">
        <v>46</v>
      </c>
      <c r="S247" s="346" t="s">
        <v>46</v>
      </c>
      <c r="T247" s="346" t="s">
        <v>46</v>
      </c>
      <c r="U247" s="346" t="s">
        <v>46</v>
      </c>
      <c r="V247" s="346" t="s">
        <v>46</v>
      </c>
      <c r="W247" s="346" t="s">
        <v>46</v>
      </c>
      <c r="X247" s="346" t="s">
        <v>46</v>
      </c>
      <c r="Y247" s="346" t="s">
        <v>46</v>
      </c>
      <c r="Z247" s="346" t="s">
        <v>46</v>
      </c>
      <c r="AA247" s="346" t="s">
        <v>46</v>
      </c>
      <c r="AB247" s="346" t="s">
        <v>46</v>
      </c>
      <c r="AC247" s="346" t="s">
        <v>46</v>
      </c>
      <c r="AD247" s="346" t="s">
        <v>46</v>
      </c>
      <c r="AE247" s="346" t="s">
        <v>46</v>
      </c>
      <c r="AF247" s="346" t="s">
        <v>46</v>
      </c>
      <c r="AG247" s="346" t="s">
        <v>46</v>
      </c>
      <c r="AH247" s="346" t="s">
        <v>46</v>
      </c>
      <c r="AI247" s="346" t="s">
        <v>46</v>
      </c>
      <c r="AJ247" s="346">
        <v>0</v>
      </c>
      <c r="AK247" s="346">
        <v>0</v>
      </c>
      <c r="AL247" s="346">
        <f>0.1*$AL$2</f>
        <v>7.5000000000000011E-2</v>
      </c>
      <c r="AM247" s="346">
        <f>AM242</f>
        <v>2.7E-2</v>
      </c>
      <c r="AN247" s="346">
        <f>ROUNDUP(AN242/3,0)</f>
        <v>1</v>
      </c>
      <c r="AQ247" s="349">
        <f>AM247*I247*0.1+AL247</f>
        <v>0.13008</v>
      </c>
      <c r="AR247" s="349">
        <f t="shared" si="273"/>
        <v>1.3008E-2</v>
      </c>
      <c r="AS247" s="350">
        <f t="shared" si="274"/>
        <v>0</v>
      </c>
      <c r="AT247" s="350">
        <f t="shared" si="275"/>
        <v>3.5771999999999998E-2</v>
      </c>
      <c r="AU247" s="349">
        <f>1333*J246*POWER(10,-6)</f>
        <v>2.2842287999999997E-5</v>
      </c>
      <c r="AV247" s="350">
        <f t="shared" si="276"/>
        <v>0.178882842288</v>
      </c>
      <c r="AW247" s="351">
        <f t="shared" si="277"/>
        <v>0</v>
      </c>
      <c r="AX247" s="351">
        <f t="shared" si="278"/>
        <v>0</v>
      </c>
      <c r="AY247" s="351">
        <f t="shared" si="279"/>
        <v>4.3701436136642978E-4</v>
      </c>
      <c r="AZ247" s="352">
        <f>AW247/[1]DB!$B$23</f>
        <v>0</v>
      </c>
      <c r="BA247" s="352">
        <f>AX247/[1]DB!$B$23</f>
        <v>0</v>
      </c>
    </row>
    <row r="248" spans="1:53" s="338" customFormat="1" x14ac:dyDescent="0.3">
      <c r="A248" s="336"/>
      <c r="B248" s="336"/>
      <c r="C248" s="336"/>
      <c r="D248" s="336"/>
      <c r="E248" s="336"/>
      <c r="F248" s="336"/>
      <c r="G248" s="336"/>
      <c r="H248" s="336"/>
      <c r="I248" s="336"/>
      <c r="J248" s="336"/>
      <c r="K248" s="207" t="s">
        <v>468</v>
      </c>
      <c r="L248" s="295" t="s">
        <v>710</v>
      </c>
      <c r="M248" s="336"/>
      <c r="N248" s="336"/>
      <c r="O248" s="336"/>
      <c r="P248" s="336"/>
      <c r="Q248" s="336"/>
      <c r="R248" s="336"/>
      <c r="S248" s="336"/>
      <c r="T248" s="336"/>
      <c r="U248" s="336"/>
      <c r="V248" s="336"/>
      <c r="W248" s="336"/>
      <c r="X248" s="336"/>
      <c r="Y248" s="336"/>
      <c r="Z248" s="336"/>
      <c r="AA248" s="336"/>
      <c r="AB248" s="336"/>
      <c r="AC248" s="336"/>
      <c r="AD248" s="336"/>
      <c r="AE248" s="336"/>
      <c r="AF248" s="336"/>
      <c r="AG248" s="336"/>
      <c r="AH248" s="336"/>
      <c r="AI248" s="336"/>
      <c r="AJ248" s="336"/>
      <c r="AK248" s="336"/>
      <c r="AL248" s="336"/>
      <c r="AM248" s="336"/>
      <c r="AN248" s="336"/>
      <c r="AO248" s="336"/>
      <c r="AP248" s="336"/>
      <c r="AQ248" s="336"/>
      <c r="AR248" s="336"/>
      <c r="AS248" s="336"/>
      <c r="AT248" s="336"/>
      <c r="AU248" s="336"/>
      <c r="AV248" s="336"/>
      <c r="AW248" s="336"/>
      <c r="AX248" s="336"/>
      <c r="AY248" s="336"/>
    </row>
    <row r="249" spans="1:53" s="338" customFormat="1" x14ac:dyDescent="0.3">
      <c r="A249" s="336"/>
      <c r="B249" s="336"/>
      <c r="C249" s="336"/>
      <c r="D249" s="336"/>
      <c r="E249" s="336"/>
      <c r="F249" s="336"/>
      <c r="G249" s="336"/>
      <c r="H249" s="336"/>
      <c r="I249" s="336"/>
      <c r="J249" s="336"/>
      <c r="K249" s="336"/>
      <c r="L249" s="336"/>
      <c r="M249" s="336"/>
      <c r="N249" s="336"/>
      <c r="O249" s="336"/>
      <c r="P249" s="336"/>
      <c r="Q249" s="336"/>
      <c r="R249" s="336"/>
      <c r="S249" s="336"/>
      <c r="T249" s="336"/>
      <c r="U249" s="336"/>
      <c r="V249" s="336"/>
      <c r="W249" s="336"/>
      <c r="X249" s="336"/>
      <c r="Y249" s="336"/>
      <c r="Z249" s="336"/>
      <c r="AA249" s="336"/>
      <c r="AB249" s="336"/>
      <c r="AC249" s="336"/>
      <c r="AD249" s="336"/>
      <c r="AE249" s="336"/>
      <c r="AF249" s="336"/>
      <c r="AG249" s="336"/>
      <c r="AH249" s="336"/>
      <c r="AI249" s="336"/>
      <c r="AJ249" s="336"/>
      <c r="AK249" s="336"/>
      <c r="AL249" s="336"/>
      <c r="AM249" s="336"/>
      <c r="AN249" s="336"/>
      <c r="AO249" s="336"/>
      <c r="AP249" s="336"/>
      <c r="AQ249" s="336"/>
      <c r="AR249" s="336"/>
      <c r="AS249" s="336"/>
      <c r="AT249" s="336"/>
      <c r="AU249" s="336"/>
      <c r="AV249" s="336"/>
      <c r="AW249" s="336"/>
      <c r="AX249" s="336"/>
      <c r="AY249" s="336"/>
    </row>
    <row r="250" spans="1:53" s="338" customFormat="1" x14ac:dyDescent="0.3">
      <c r="A250" s="336"/>
      <c r="B250" s="336"/>
      <c r="C250" s="336"/>
      <c r="D250" s="336"/>
      <c r="E250" s="336"/>
      <c r="F250" s="336"/>
      <c r="G250" s="336"/>
      <c r="H250" s="336"/>
      <c r="I250" s="336"/>
      <c r="J250" s="336"/>
      <c r="K250" s="336"/>
      <c r="L250" s="336"/>
      <c r="M250" s="336"/>
      <c r="N250" s="336"/>
      <c r="O250" s="336"/>
      <c r="P250" s="336"/>
      <c r="Q250" s="336"/>
      <c r="R250" s="336"/>
      <c r="S250" s="336"/>
      <c r="T250" s="336"/>
      <c r="U250" s="336"/>
      <c r="V250" s="336"/>
      <c r="W250" s="336"/>
      <c r="X250" s="336"/>
      <c r="Y250" s="336"/>
      <c r="Z250" s="336"/>
      <c r="AA250" s="336"/>
      <c r="AB250" s="336"/>
      <c r="AC250" s="336"/>
      <c r="AD250" s="336"/>
      <c r="AE250" s="336"/>
      <c r="AF250" s="336"/>
      <c r="AG250" s="336"/>
      <c r="AH250" s="336"/>
      <c r="AI250" s="336"/>
      <c r="AJ250" s="336"/>
      <c r="AK250" s="336"/>
      <c r="AL250" s="336"/>
      <c r="AM250" s="336"/>
      <c r="AN250" s="336"/>
      <c r="AO250" s="336"/>
      <c r="AP250" s="336"/>
      <c r="AQ250" s="336"/>
      <c r="AR250" s="336"/>
      <c r="AS250" s="336"/>
      <c r="AT250" s="336"/>
      <c r="AU250" s="336"/>
      <c r="AV250" s="336"/>
      <c r="AW250" s="336"/>
      <c r="AX250" s="336"/>
      <c r="AY250" s="336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4.9999999999999998E-8</v>
      </c>
      <c r="B2">
        <v>0</v>
      </c>
      <c r="D2" s="37">
        <v>4.9999999999999998E-8</v>
      </c>
      <c r="E2" s="3">
        <v>5.762058399999999</v>
      </c>
    </row>
    <row r="3" spans="1:32" x14ac:dyDescent="0.3">
      <c r="A3" s="37">
        <v>1.8999999999999998E-7</v>
      </c>
      <c r="B3">
        <v>1</v>
      </c>
      <c r="D3" s="37">
        <v>1.8999999999999998E-7</v>
      </c>
      <c r="E3" s="3">
        <v>8.6376050253999992</v>
      </c>
    </row>
    <row r="4" spans="1:32" x14ac:dyDescent="0.3">
      <c r="A4" s="37">
        <v>7.5999999999999992E-7</v>
      </c>
      <c r="B4">
        <v>0</v>
      </c>
      <c r="D4" s="37">
        <v>7.5999999999999992E-7</v>
      </c>
      <c r="E4" s="3">
        <v>1.4702085</v>
      </c>
      <c r="AE4" s="37"/>
      <c r="AF4" s="3"/>
    </row>
    <row r="5" spans="1:32" x14ac:dyDescent="0.3">
      <c r="A5" s="37">
        <v>4.0000000000000009E-7</v>
      </c>
      <c r="B5">
        <v>0</v>
      </c>
      <c r="D5" s="37">
        <v>4.0000000000000009E-7</v>
      </c>
      <c r="E5" s="3">
        <v>0.59546313500000003</v>
      </c>
      <c r="AE5" s="37"/>
      <c r="AF5" s="3"/>
    </row>
    <row r="6" spans="1:32" x14ac:dyDescent="0.3">
      <c r="A6" s="37">
        <v>1.6000000000000004E-6</v>
      </c>
      <c r="B6">
        <v>0</v>
      </c>
      <c r="D6" s="37">
        <v>1.6000000000000004E-6</v>
      </c>
      <c r="E6" s="3">
        <v>0.90030220099999991</v>
      </c>
      <c r="AE6" s="37"/>
      <c r="AF6" s="3"/>
    </row>
    <row r="7" spans="1:32" x14ac:dyDescent="0.3">
      <c r="A7" s="37">
        <v>4.0000000000000009E-7</v>
      </c>
      <c r="B7">
        <v>0</v>
      </c>
      <c r="D7" s="37">
        <v>4.0000000000000009E-7</v>
      </c>
      <c r="E7" s="3">
        <v>0.50800568899999998</v>
      </c>
      <c r="AE7" s="37"/>
      <c r="AF7" s="3"/>
    </row>
    <row r="8" spans="1:32" x14ac:dyDescent="0.3">
      <c r="A8" s="37">
        <v>1.5200000000000003E-6</v>
      </c>
      <c r="B8">
        <v>0</v>
      </c>
      <c r="D8" s="37">
        <v>1.5200000000000003E-6</v>
      </c>
      <c r="E8" s="3">
        <v>0.50800568899999998</v>
      </c>
      <c r="AE8" s="37"/>
      <c r="AF8" s="3"/>
    </row>
    <row r="9" spans="1:32" x14ac:dyDescent="0.3">
      <c r="A9" s="37">
        <v>6.0800000000000011E-6</v>
      </c>
      <c r="B9">
        <v>0</v>
      </c>
      <c r="D9" s="37">
        <v>6.0800000000000011E-6</v>
      </c>
      <c r="E9" s="3">
        <v>0.11300156625000002</v>
      </c>
      <c r="AE9" s="37"/>
      <c r="AF9" s="3"/>
    </row>
    <row r="10" spans="1:32" x14ac:dyDescent="0.3">
      <c r="A10" s="37">
        <v>2.5000000000000001E-5</v>
      </c>
      <c r="B10">
        <v>0</v>
      </c>
      <c r="D10" s="37">
        <v>2.5000000000000001E-5</v>
      </c>
      <c r="E10" s="3">
        <v>4.9737183399999996</v>
      </c>
      <c r="AE10" s="37"/>
      <c r="AF10" s="3"/>
    </row>
    <row r="11" spans="1:32" x14ac:dyDescent="0.3">
      <c r="A11" s="37">
        <v>4.9999999999999998E-8</v>
      </c>
      <c r="B11">
        <v>0</v>
      </c>
      <c r="D11" s="37">
        <v>4.9999999999999998E-8</v>
      </c>
      <c r="E11" s="3">
        <v>9.9150600000000004</v>
      </c>
      <c r="AE11" s="37"/>
      <c r="AF11" s="3"/>
    </row>
    <row r="12" spans="1:32" x14ac:dyDescent="0.3">
      <c r="A12" s="37">
        <v>1.8999999999999998E-7</v>
      </c>
      <c r="B12">
        <v>1</v>
      </c>
      <c r="D12" s="37">
        <v>1.8999999999999998E-7</v>
      </c>
      <c r="E12" s="3">
        <v>11.905027889799999</v>
      </c>
      <c r="AE12" s="37"/>
      <c r="AF12" s="3"/>
    </row>
    <row r="13" spans="1:32" x14ac:dyDescent="0.3">
      <c r="A13" s="37">
        <v>7.5999999999999992E-7</v>
      </c>
      <c r="B13">
        <v>0</v>
      </c>
      <c r="D13" s="37">
        <v>7.5999999999999992E-7</v>
      </c>
      <c r="E13" s="3">
        <v>1.9142124999999999</v>
      </c>
      <c r="AE13" s="37"/>
      <c r="AF13" s="3"/>
    </row>
    <row r="14" spans="1:32" x14ac:dyDescent="0.3">
      <c r="A14" s="37">
        <v>4.0000000000000009E-7</v>
      </c>
      <c r="B14">
        <v>0</v>
      </c>
      <c r="D14" s="37">
        <v>4.0000000000000009E-7</v>
      </c>
      <c r="E14" s="3">
        <v>0.777368375</v>
      </c>
      <c r="AE14" s="37"/>
      <c r="AF14" s="3"/>
    </row>
    <row r="15" spans="1:32" x14ac:dyDescent="0.3">
      <c r="A15" s="37">
        <v>1.6000000000000004E-6</v>
      </c>
      <c r="B15">
        <v>0</v>
      </c>
      <c r="D15" s="37">
        <v>1.6000000000000004E-6</v>
      </c>
      <c r="E15" s="3">
        <v>1.3904081869999998</v>
      </c>
      <c r="AE15" s="37"/>
      <c r="AF15" s="3"/>
    </row>
    <row r="16" spans="1:32" x14ac:dyDescent="0.3">
      <c r="A16" s="37">
        <v>4.0000000000000009E-7</v>
      </c>
      <c r="B16">
        <v>0</v>
      </c>
      <c r="D16" s="37">
        <v>4.0000000000000009E-7</v>
      </c>
      <c r="E16" s="3">
        <v>0.60144822500000006</v>
      </c>
      <c r="AE16" s="37"/>
      <c r="AF16" s="3"/>
    </row>
    <row r="17" spans="1:32" x14ac:dyDescent="0.3">
      <c r="A17" s="37">
        <v>1.5200000000000003E-6</v>
      </c>
      <c r="B17">
        <v>0</v>
      </c>
      <c r="D17" s="37">
        <v>1.5200000000000003E-6</v>
      </c>
      <c r="E17" s="3">
        <v>0.60144822500000006</v>
      </c>
      <c r="AE17" s="37"/>
      <c r="AF17" s="3"/>
    </row>
    <row r="18" spans="1:32" x14ac:dyDescent="0.3">
      <c r="A18" s="37">
        <v>6.0800000000000011E-6</v>
      </c>
      <c r="B18">
        <v>0</v>
      </c>
      <c r="D18" s="37">
        <v>6.0800000000000011E-6</v>
      </c>
      <c r="E18" s="3">
        <v>0.12299165625000003</v>
      </c>
      <c r="AE18" s="37"/>
      <c r="AF18" s="3"/>
    </row>
    <row r="19" spans="1:32" x14ac:dyDescent="0.3">
      <c r="A19" s="37">
        <v>2.5000000000000001E-5</v>
      </c>
      <c r="B19">
        <v>0</v>
      </c>
      <c r="D19" s="37">
        <v>2.5000000000000001E-5</v>
      </c>
      <c r="E19" s="3">
        <v>8.3293184999999994</v>
      </c>
      <c r="AE19" s="37"/>
      <c r="AF19" s="3"/>
    </row>
    <row r="20" spans="1:32" x14ac:dyDescent="0.3">
      <c r="A20" s="37">
        <v>4.9999999999999998E-8</v>
      </c>
      <c r="B20">
        <v>0</v>
      </c>
      <c r="D20" s="37">
        <v>4.9999999999999998E-8</v>
      </c>
      <c r="E20" s="3">
        <v>3.0248527999999997</v>
      </c>
      <c r="AE20" s="37"/>
      <c r="AF20" s="3"/>
    </row>
    <row r="21" spans="1:32" x14ac:dyDescent="0.3">
      <c r="A21" s="37">
        <v>1.8999999999999998E-7</v>
      </c>
      <c r="B21">
        <v>1</v>
      </c>
      <c r="D21" s="37">
        <v>1.8999999999999998E-7</v>
      </c>
      <c r="E21" s="3">
        <v>6.4837207287999998</v>
      </c>
      <c r="AE21" s="37"/>
      <c r="AF21" s="3"/>
    </row>
    <row r="22" spans="1:32" x14ac:dyDescent="0.3">
      <c r="A22" s="37">
        <v>7.5999999999999992E-7</v>
      </c>
      <c r="B22">
        <v>0</v>
      </c>
      <c r="D22" s="37">
        <v>7.5999999999999992E-7</v>
      </c>
      <c r="E22" s="3">
        <v>1.1775695000000002</v>
      </c>
      <c r="AE22" s="37"/>
      <c r="AF22" s="3"/>
    </row>
    <row r="23" spans="1:32" x14ac:dyDescent="0.3">
      <c r="A23" s="37">
        <v>4.0000000000000009E-7</v>
      </c>
      <c r="B23">
        <v>0</v>
      </c>
      <c r="D23" s="37">
        <v>4.0000000000000009E-7</v>
      </c>
      <c r="E23" s="3">
        <v>0.47557104499999997</v>
      </c>
      <c r="AE23" s="37"/>
      <c r="AF23" s="3"/>
    </row>
    <row r="24" spans="1:32" x14ac:dyDescent="0.3">
      <c r="A24" s="37">
        <v>1.6000000000000004E-6</v>
      </c>
      <c r="B24">
        <v>0</v>
      </c>
      <c r="D24" s="37">
        <v>1.6000000000000004E-6</v>
      </c>
      <c r="E24" s="3">
        <v>0.57723072200000003</v>
      </c>
      <c r="AE24" s="37"/>
      <c r="AF24" s="3"/>
    </row>
    <row r="25" spans="1:32" x14ac:dyDescent="0.3">
      <c r="A25" s="37">
        <v>4.0000000000000009E-7</v>
      </c>
      <c r="B25">
        <v>0</v>
      </c>
      <c r="D25" s="37">
        <v>4.0000000000000009E-7</v>
      </c>
      <c r="E25" s="3">
        <v>0.44641856300000005</v>
      </c>
      <c r="AE25" s="37"/>
      <c r="AF25" s="3"/>
    </row>
    <row r="26" spans="1:32" x14ac:dyDescent="0.3">
      <c r="A26" s="37">
        <v>1.5200000000000003E-6</v>
      </c>
      <c r="B26">
        <v>0</v>
      </c>
      <c r="D26" s="37">
        <v>1.5200000000000003E-6</v>
      </c>
      <c r="E26" s="3">
        <v>0.44641856300000005</v>
      </c>
      <c r="AE26" s="37"/>
      <c r="AF26" s="3"/>
    </row>
    <row r="27" spans="1:32" x14ac:dyDescent="0.3">
      <c r="A27" s="37">
        <v>6.0800000000000011E-6</v>
      </c>
      <c r="B27">
        <v>0</v>
      </c>
      <c r="D27" s="37">
        <v>6.0800000000000011E-6</v>
      </c>
      <c r="E27" s="3">
        <v>0.10641718875000003</v>
      </c>
      <c r="AE27" s="37"/>
      <c r="AF27" s="3"/>
    </row>
    <row r="28" spans="1:32" x14ac:dyDescent="0.3">
      <c r="A28" s="37">
        <v>2.5000000000000001E-5</v>
      </c>
      <c r="B28">
        <v>0</v>
      </c>
      <c r="D28" s="37">
        <v>2.5000000000000001E-5</v>
      </c>
      <c r="E28" s="3">
        <v>2.76207278</v>
      </c>
      <c r="AE28" s="37"/>
      <c r="AF28" s="3"/>
    </row>
    <row r="29" spans="1:32" x14ac:dyDescent="0.3">
      <c r="A29" s="37">
        <v>1.9999999999999999E-7</v>
      </c>
      <c r="B29">
        <v>1</v>
      </c>
      <c r="D29" s="37">
        <v>1.9999999999999999E-7</v>
      </c>
      <c r="E29" s="3">
        <v>6.4445004000000008</v>
      </c>
      <c r="AE29" s="37"/>
      <c r="AF29" s="3"/>
    </row>
    <row r="30" spans="1:32" x14ac:dyDescent="0.3">
      <c r="A30" s="37">
        <v>1.1519999999999999E-7</v>
      </c>
      <c r="B30">
        <v>2</v>
      </c>
      <c r="D30" s="37">
        <v>1.1519999999999999E-7</v>
      </c>
      <c r="E30" s="3">
        <v>10.194500399999999</v>
      </c>
      <c r="AE30" s="37"/>
      <c r="AF30" s="3"/>
    </row>
    <row r="31" spans="1:32" x14ac:dyDescent="0.3">
      <c r="A31" s="37">
        <v>7.6799999999999986E-8</v>
      </c>
      <c r="B31">
        <v>0</v>
      </c>
      <c r="D31" s="37">
        <v>7.6799999999999986E-8</v>
      </c>
      <c r="E31" s="3">
        <v>1.1422509999999999</v>
      </c>
      <c r="AE31" s="37"/>
      <c r="AF31" s="3"/>
    </row>
    <row r="32" spans="1:32" x14ac:dyDescent="0.3">
      <c r="A32" s="37">
        <v>6.0799999999999994E-7</v>
      </c>
      <c r="B32">
        <v>0</v>
      </c>
      <c r="D32" s="37">
        <v>6.0799999999999994E-7</v>
      </c>
      <c r="E32" s="3">
        <v>1.1158576</v>
      </c>
      <c r="AE32" s="37"/>
      <c r="AF32" s="3"/>
    </row>
    <row r="33" spans="1:32" x14ac:dyDescent="0.3">
      <c r="A33" s="37">
        <v>3.5000000000000004E-7</v>
      </c>
      <c r="B33">
        <v>0</v>
      </c>
      <c r="D33" s="37">
        <v>3.5000000000000004E-7</v>
      </c>
      <c r="E33" s="3">
        <v>0.88386256000000007</v>
      </c>
      <c r="AE33" s="37"/>
      <c r="AF33" s="3"/>
    </row>
    <row r="34" spans="1:32" x14ac:dyDescent="0.3">
      <c r="A34" s="37">
        <v>8.3000000000000002E-8</v>
      </c>
      <c r="B34">
        <v>0</v>
      </c>
      <c r="D34" s="37">
        <v>8.3000000000000002E-8</v>
      </c>
      <c r="E34" s="3">
        <v>0.57136256000000007</v>
      </c>
      <c r="AE34" s="37"/>
      <c r="AF34" s="3"/>
    </row>
    <row r="35" spans="1:32" x14ac:dyDescent="0.3">
      <c r="A35" s="37">
        <v>2.6400000000000003E-7</v>
      </c>
      <c r="B35">
        <v>0</v>
      </c>
      <c r="D35" s="37">
        <v>2.6400000000000003E-7</v>
      </c>
      <c r="E35" s="3">
        <v>0.73748786000000011</v>
      </c>
      <c r="AE35" s="37"/>
      <c r="AF35" s="3"/>
    </row>
    <row r="36" spans="1:32" x14ac:dyDescent="0.3">
      <c r="A36" s="37">
        <v>9.3030000000000005E-6</v>
      </c>
      <c r="B36">
        <v>0</v>
      </c>
      <c r="D36" s="37">
        <v>9.3030000000000005E-6</v>
      </c>
      <c r="E36" s="3">
        <v>0.11801559000000002</v>
      </c>
      <c r="AE36" s="37"/>
      <c r="AF36" s="3"/>
    </row>
    <row r="37" spans="1:32" x14ac:dyDescent="0.3">
      <c r="A37" s="37">
        <v>4.9999999999999998E-8</v>
      </c>
      <c r="B37">
        <v>0</v>
      </c>
      <c r="D37" s="37">
        <v>4.9999999999999998E-8</v>
      </c>
      <c r="E37" s="3">
        <v>2.8832731999999996</v>
      </c>
      <c r="AE37" s="37"/>
      <c r="AF37" s="3"/>
    </row>
    <row r="38" spans="1:32" x14ac:dyDescent="0.3">
      <c r="A38" s="37">
        <v>1.8999999999999998E-7</v>
      </c>
      <c r="B38">
        <v>1</v>
      </c>
      <c r="D38" s="37">
        <v>1.8999999999999998E-7</v>
      </c>
      <c r="E38" s="3">
        <v>6.3722611559199995</v>
      </c>
      <c r="AE38" s="37"/>
      <c r="AF38" s="3"/>
    </row>
    <row r="39" spans="1:32" x14ac:dyDescent="0.3">
      <c r="A39" s="37">
        <v>7.5999999999999992E-7</v>
      </c>
      <c r="B39">
        <v>0</v>
      </c>
      <c r="D39" s="37">
        <v>7.5999999999999992E-7</v>
      </c>
      <c r="E39" s="3">
        <v>1.162433</v>
      </c>
      <c r="AE39" s="37"/>
      <c r="AF39" s="3"/>
    </row>
    <row r="40" spans="1:32" x14ac:dyDescent="0.3">
      <c r="A40" s="37">
        <v>4.0000000000000009E-7</v>
      </c>
      <c r="B40">
        <v>0</v>
      </c>
      <c r="D40" s="37">
        <v>4.0000000000000009E-7</v>
      </c>
      <c r="E40" s="3">
        <v>0.46936972999999999</v>
      </c>
      <c r="AE40" s="37"/>
      <c r="AF40" s="3"/>
    </row>
    <row r="41" spans="1:32" x14ac:dyDescent="0.3">
      <c r="A41" s="37">
        <v>1.6000000000000004E-6</v>
      </c>
      <c r="B41">
        <v>0</v>
      </c>
      <c r="D41" s="37">
        <v>1.6000000000000004E-6</v>
      </c>
      <c r="E41" s="3">
        <v>0.56051327480000002</v>
      </c>
      <c r="AE41" s="37"/>
      <c r="AF41" s="3"/>
    </row>
    <row r="42" spans="1:32" x14ac:dyDescent="0.3">
      <c r="A42" s="37">
        <v>4.0000000000000009E-7</v>
      </c>
      <c r="B42">
        <v>0</v>
      </c>
      <c r="D42" s="37">
        <v>4.0000000000000009E-7</v>
      </c>
      <c r="E42" s="3">
        <v>0.44323302200000003</v>
      </c>
      <c r="AE42" s="37"/>
      <c r="AF42" s="3"/>
    </row>
    <row r="43" spans="1:32" x14ac:dyDescent="0.3">
      <c r="A43" s="37">
        <v>1.5200000000000003E-6</v>
      </c>
      <c r="B43">
        <v>0</v>
      </c>
      <c r="D43" s="37">
        <v>1.5200000000000003E-6</v>
      </c>
      <c r="E43" s="3">
        <v>0.44323302200000003</v>
      </c>
      <c r="AE43" s="37"/>
      <c r="AF43" s="3"/>
    </row>
    <row r="44" spans="1:32" x14ac:dyDescent="0.3">
      <c r="A44" s="37">
        <v>6.0800000000000011E-6</v>
      </c>
      <c r="B44">
        <v>0</v>
      </c>
      <c r="D44" s="37">
        <v>6.0800000000000011E-6</v>
      </c>
      <c r="E44" s="3">
        <v>0.10607661750000001</v>
      </c>
      <c r="AE44" s="37"/>
      <c r="AF44" s="3"/>
    </row>
    <row r="45" spans="1:32" x14ac:dyDescent="0.3">
      <c r="A45" s="37">
        <v>2.5000000000000001E-5</v>
      </c>
      <c r="B45">
        <v>0</v>
      </c>
      <c r="D45" s="37">
        <v>2.5000000000000001E-5</v>
      </c>
      <c r="E45" s="3">
        <v>2.6476773199999997</v>
      </c>
      <c r="AE45" s="37"/>
      <c r="AF45" s="3"/>
    </row>
    <row r="46" spans="1:32" x14ac:dyDescent="0.3">
      <c r="A46" s="37">
        <v>4.0000000000000007E-6</v>
      </c>
      <c r="B46">
        <v>1</v>
      </c>
      <c r="D46" s="37">
        <v>4.0000000000000007E-6</v>
      </c>
      <c r="E46" s="3">
        <v>83.416609600000001</v>
      </c>
      <c r="AE46" s="37"/>
      <c r="AF46" s="3"/>
    </row>
    <row r="47" spans="1:32" x14ac:dyDescent="0.3">
      <c r="A47" s="37">
        <v>7.2000000000000014E-6</v>
      </c>
      <c r="B47">
        <v>3</v>
      </c>
      <c r="D47" s="37">
        <v>7.2000000000000014E-6</v>
      </c>
      <c r="E47" s="3">
        <v>90.916609600000001</v>
      </c>
      <c r="AE47" s="37"/>
      <c r="AF47" s="3"/>
    </row>
    <row r="48" spans="1:32" x14ac:dyDescent="0.3">
      <c r="A48" s="37">
        <v>2.8800000000000005E-5</v>
      </c>
      <c r="B48">
        <v>0</v>
      </c>
      <c r="D48" s="37">
        <v>2.8800000000000005E-5</v>
      </c>
      <c r="E48" s="3">
        <v>62.399014964999999</v>
      </c>
      <c r="AE48" s="37"/>
      <c r="AF48" s="3"/>
    </row>
    <row r="49" spans="1:32" x14ac:dyDescent="0.3">
      <c r="A49" s="37">
        <v>4.0000000000000003E-5</v>
      </c>
      <c r="B49">
        <v>0</v>
      </c>
      <c r="D49" s="37">
        <v>4.0000000000000003E-5</v>
      </c>
      <c r="E49" s="3">
        <v>12.429678939999999</v>
      </c>
      <c r="AE49" s="37"/>
      <c r="AF49" s="3"/>
    </row>
    <row r="50" spans="1:32" x14ac:dyDescent="0.3">
      <c r="A50" s="37">
        <v>1.8000000000000004E-5</v>
      </c>
      <c r="B50">
        <v>0</v>
      </c>
      <c r="D50" s="37">
        <v>1.8000000000000004E-5</v>
      </c>
      <c r="E50" s="3">
        <v>9.6223544914999994</v>
      </c>
      <c r="AE50" s="37"/>
      <c r="AF50" s="3"/>
    </row>
    <row r="51" spans="1:32" x14ac:dyDescent="0.3">
      <c r="A51" s="37">
        <v>3.4200000000000002E-4</v>
      </c>
      <c r="B51">
        <v>0</v>
      </c>
      <c r="D51" s="37">
        <v>3.4200000000000002E-4</v>
      </c>
      <c r="E51" s="3">
        <v>9.3082897447499988</v>
      </c>
      <c r="AE51" s="37"/>
      <c r="AF51" s="3"/>
    </row>
    <row r="52" spans="1:32" x14ac:dyDescent="0.3">
      <c r="A52" s="37">
        <v>4.0000000000000007E-6</v>
      </c>
      <c r="B52">
        <v>1</v>
      </c>
      <c r="D52" s="37">
        <v>4.0000000000000007E-6</v>
      </c>
      <c r="E52" s="3">
        <v>27.6814404</v>
      </c>
      <c r="AE52" s="37"/>
      <c r="AF52" s="3"/>
    </row>
    <row r="53" spans="1:32" x14ac:dyDescent="0.3">
      <c r="A53" s="37">
        <v>7.2000000000000014E-6</v>
      </c>
      <c r="B53">
        <v>2</v>
      </c>
      <c r="D53" s="37">
        <v>7.2000000000000014E-6</v>
      </c>
      <c r="E53" s="3">
        <v>31.4314404</v>
      </c>
      <c r="AE53" s="37"/>
      <c r="AF53" s="3"/>
    </row>
    <row r="54" spans="1:32" x14ac:dyDescent="0.3">
      <c r="A54" s="37">
        <v>2.8800000000000005E-5</v>
      </c>
      <c r="B54">
        <v>0</v>
      </c>
      <c r="D54" s="37">
        <v>2.8800000000000005E-5</v>
      </c>
      <c r="E54" s="3">
        <v>18.554349975000001</v>
      </c>
      <c r="AE54" s="37"/>
      <c r="AF54" s="3"/>
    </row>
    <row r="55" spans="1:32" x14ac:dyDescent="0.3">
      <c r="A55" s="37">
        <v>4.0000000000000003E-5</v>
      </c>
      <c r="B55">
        <v>0</v>
      </c>
      <c r="D55" s="37">
        <v>4.0000000000000003E-5</v>
      </c>
      <c r="E55" s="3">
        <v>4.0694035599999996</v>
      </c>
      <c r="AE55" s="37"/>
      <c r="AF55" s="3"/>
    </row>
    <row r="56" spans="1:32" x14ac:dyDescent="0.3">
      <c r="A56" s="37">
        <v>1.8000000000000004E-5</v>
      </c>
      <c r="B56">
        <v>0</v>
      </c>
      <c r="D56">
        <v>1.8000000000000004E-5</v>
      </c>
      <c r="E56">
        <v>3.0452076725000001</v>
      </c>
      <c r="AE56" s="37"/>
      <c r="AF56" s="3"/>
    </row>
    <row r="57" spans="1:32" x14ac:dyDescent="0.3">
      <c r="A57" s="37">
        <v>3.4200000000000002E-4</v>
      </c>
      <c r="B57">
        <v>0</v>
      </c>
      <c r="D57">
        <v>3.4200000000000002E-4</v>
      </c>
      <c r="E57">
        <v>2.7315899962499999</v>
      </c>
      <c r="AE57" s="37"/>
      <c r="AF57" s="3"/>
    </row>
    <row r="58" spans="1:32" x14ac:dyDescent="0.3">
      <c r="A58" s="37">
        <v>3.1499999999999999E-6</v>
      </c>
      <c r="B58">
        <v>1</v>
      </c>
      <c r="D58">
        <v>3.1499999999999999E-6</v>
      </c>
      <c r="E58">
        <v>5.1503818399999997</v>
      </c>
    </row>
    <row r="59" spans="1:32" x14ac:dyDescent="0.3">
      <c r="A59" s="37">
        <v>2.9924999999999997E-6</v>
      </c>
      <c r="B59">
        <v>0</v>
      </c>
      <c r="D59">
        <v>2.9924999999999997E-6</v>
      </c>
      <c r="E59">
        <v>1.3888480322624002</v>
      </c>
    </row>
    <row r="60" spans="1:32" x14ac:dyDescent="0.3">
      <c r="A60" s="37">
        <v>5.6857500000000002E-5</v>
      </c>
      <c r="B60">
        <v>0</v>
      </c>
      <c r="D60">
        <v>5.6857500000000002E-5</v>
      </c>
      <c r="E60">
        <v>1.0357122557856</v>
      </c>
    </row>
    <row r="61" spans="1:32" x14ac:dyDescent="0.3">
      <c r="A61" s="37">
        <v>7.3499999999999999E-6</v>
      </c>
      <c r="B61">
        <v>0</v>
      </c>
      <c r="D61">
        <v>7.3499999999999999E-6</v>
      </c>
      <c r="E61">
        <v>0.42411977600000006</v>
      </c>
    </row>
    <row r="62" spans="1:32" x14ac:dyDescent="0.3">
      <c r="A62" s="37">
        <v>6.9824999999999988E-6</v>
      </c>
      <c r="B62">
        <v>0</v>
      </c>
      <c r="D62">
        <v>6.9824999999999988E-6</v>
      </c>
      <c r="E62">
        <v>0.42331432000000002</v>
      </c>
    </row>
    <row r="63" spans="1:32" x14ac:dyDescent="0.3">
      <c r="A63" s="37">
        <v>1.3266749999999998E-4</v>
      </c>
      <c r="B63">
        <v>0</v>
      </c>
      <c r="D63">
        <v>1.3266749999999998E-4</v>
      </c>
      <c r="E63">
        <v>0.10380658000000001</v>
      </c>
    </row>
    <row r="64" spans="1:32" x14ac:dyDescent="0.3">
      <c r="A64" s="37">
        <v>6.0000000000000008E-7</v>
      </c>
      <c r="B64">
        <v>1</v>
      </c>
      <c r="D64">
        <v>6.0000000000000008E-7</v>
      </c>
      <c r="E64">
        <v>5.1362238799999993</v>
      </c>
    </row>
    <row r="65" spans="1:5" x14ac:dyDescent="0.3">
      <c r="A65" s="37">
        <v>5.7000000000000005E-7</v>
      </c>
      <c r="B65">
        <v>0</v>
      </c>
      <c r="D65">
        <v>5.7000000000000005E-7</v>
      </c>
      <c r="E65">
        <v>1.37754307796</v>
      </c>
    </row>
    <row r="66" spans="1:5" x14ac:dyDescent="0.3">
      <c r="A66" s="37">
        <v>1.0830000000000001E-5</v>
      </c>
      <c r="B66">
        <v>0</v>
      </c>
      <c r="D66">
        <v>1.0830000000000001E-5</v>
      </c>
      <c r="E66">
        <v>1.03459628874</v>
      </c>
    </row>
    <row r="67" spans="1:5" x14ac:dyDescent="0.3">
      <c r="A67" s="37">
        <v>1.3999999999999999E-6</v>
      </c>
      <c r="B67">
        <v>0</v>
      </c>
      <c r="D67">
        <v>1.3999999999999999E-6</v>
      </c>
      <c r="E67">
        <v>0.42199608200000005</v>
      </c>
    </row>
    <row r="68" spans="1:5" x14ac:dyDescent="0.3">
      <c r="A68" s="37">
        <v>1.33E-6</v>
      </c>
      <c r="B68">
        <v>0</v>
      </c>
      <c r="D68">
        <v>1.33E-6</v>
      </c>
      <c r="E68">
        <v>0.42164369500000004</v>
      </c>
    </row>
    <row r="69" spans="1:5" x14ac:dyDescent="0.3">
      <c r="A69" s="37">
        <v>2.527E-5</v>
      </c>
      <c r="B69">
        <v>0</v>
      </c>
      <c r="D69">
        <v>2.527E-5</v>
      </c>
      <c r="E69">
        <v>0.10363951750000003</v>
      </c>
    </row>
    <row r="70" spans="1:5" x14ac:dyDescent="0.3">
      <c r="A70" s="37">
        <v>6.0000000000000008E-7</v>
      </c>
      <c r="B70">
        <v>1</v>
      </c>
      <c r="D70">
        <v>6.0000000000000008E-7</v>
      </c>
      <c r="E70">
        <v>5.1362238799999993</v>
      </c>
    </row>
    <row r="71" spans="1:5" x14ac:dyDescent="0.3">
      <c r="A71" s="37">
        <v>5.7000000000000005E-7</v>
      </c>
      <c r="B71">
        <v>0</v>
      </c>
      <c r="D71">
        <v>5.7000000000000005E-7</v>
      </c>
      <c r="E71">
        <v>1.37754307796</v>
      </c>
    </row>
    <row r="72" spans="1:5" x14ac:dyDescent="0.3">
      <c r="A72" s="37">
        <v>1.0830000000000001E-5</v>
      </c>
      <c r="B72">
        <v>0</v>
      </c>
      <c r="D72">
        <v>1.0830000000000001E-5</v>
      </c>
      <c r="E72">
        <v>1.03459628874</v>
      </c>
    </row>
    <row r="73" spans="1:5" x14ac:dyDescent="0.3">
      <c r="A73" s="37">
        <v>1.3999999999999999E-6</v>
      </c>
      <c r="B73">
        <v>0</v>
      </c>
      <c r="D73">
        <v>1.3999999999999999E-6</v>
      </c>
      <c r="E73">
        <v>0.42199608200000005</v>
      </c>
    </row>
    <row r="74" spans="1:5" x14ac:dyDescent="0.3">
      <c r="A74" s="37">
        <v>1.33E-6</v>
      </c>
      <c r="B74">
        <v>0</v>
      </c>
      <c r="D74">
        <v>1.33E-6</v>
      </c>
      <c r="E74">
        <v>0.42164369500000004</v>
      </c>
    </row>
    <row r="75" spans="1:5" x14ac:dyDescent="0.3">
      <c r="A75" s="37">
        <v>2.527E-5</v>
      </c>
      <c r="B75">
        <v>0</v>
      </c>
      <c r="D75">
        <v>2.527E-5</v>
      </c>
      <c r="E75">
        <v>0.10363951750000003</v>
      </c>
    </row>
    <row r="76" spans="1:5" x14ac:dyDescent="0.3">
      <c r="A76" s="37">
        <v>4.5000000000000003E-7</v>
      </c>
      <c r="B76">
        <v>1</v>
      </c>
      <c r="D76">
        <v>4.5000000000000003E-7</v>
      </c>
      <c r="E76">
        <v>5.1362238799999993</v>
      </c>
    </row>
    <row r="77" spans="1:5" x14ac:dyDescent="0.3">
      <c r="A77" s="37">
        <v>4.2750000000000004E-7</v>
      </c>
      <c r="B77">
        <v>0</v>
      </c>
      <c r="D77">
        <v>4.2750000000000004E-7</v>
      </c>
      <c r="E77">
        <v>1.37754307796</v>
      </c>
    </row>
    <row r="78" spans="1:5" x14ac:dyDescent="0.3">
      <c r="A78" s="37">
        <v>8.1225000000000006E-6</v>
      </c>
      <c r="B78">
        <v>0</v>
      </c>
      <c r="D78">
        <v>8.1225000000000006E-6</v>
      </c>
      <c r="E78">
        <v>1.03459628874</v>
      </c>
    </row>
    <row r="79" spans="1:5" x14ac:dyDescent="0.3">
      <c r="A79" s="37">
        <v>1.0500000000000001E-6</v>
      </c>
      <c r="B79">
        <v>0</v>
      </c>
      <c r="D79">
        <v>1.0500000000000001E-6</v>
      </c>
      <c r="E79">
        <v>0.42199608200000005</v>
      </c>
    </row>
    <row r="80" spans="1:5" x14ac:dyDescent="0.3">
      <c r="A80" s="37">
        <v>9.9749999999999998E-7</v>
      </c>
      <c r="B80">
        <v>0</v>
      </c>
      <c r="D80">
        <v>9.9749999999999998E-7</v>
      </c>
      <c r="E80">
        <v>0.42164369500000004</v>
      </c>
    </row>
    <row r="81" spans="1:5" x14ac:dyDescent="0.3">
      <c r="A81" s="37">
        <v>1.8952500000000002E-5</v>
      </c>
      <c r="B81">
        <v>0</v>
      </c>
      <c r="D81">
        <v>1.8952500000000002E-5</v>
      </c>
      <c r="E81">
        <v>0.10363951750000003</v>
      </c>
    </row>
    <row r="82" spans="1:5" x14ac:dyDescent="0.3">
      <c r="A82" s="37">
        <v>1.5000000000000002E-7</v>
      </c>
      <c r="B82">
        <v>1</v>
      </c>
      <c r="D82">
        <v>1.5000000000000002E-7</v>
      </c>
      <c r="E82">
        <v>5.2636455199999999</v>
      </c>
    </row>
    <row r="83" spans="1:5" x14ac:dyDescent="0.3">
      <c r="A83" s="37">
        <v>1.4250000000000001E-7</v>
      </c>
      <c r="B83">
        <v>1</v>
      </c>
      <c r="D83">
        <v>1.4250000000000001E-7</v>
      </c>
      <c r="E83">
        <v>5.2290440967871996</v>
      </c>
    </row>
    <row r="84" spans="1:5" x14ac:dyDescent="0.3">
      <c r="A84" s="37">
        <v>2.7075000000000003E-6</v>
      </c>
      <c r="B84">
        <v>0</v>
      </c>
      <c r="D84">
        <v>2.7075000000000003E-6</v>
      </c>
      <c r="E84">
        <v>1.0446367673568</v>
      </c>
    </row>
    <row r="85" spans="1:5" x14ac:dyDescent="0.3">
      <c r="A85" s="37">
        <v>3.4999999999999998E-7</v>
      </c>
      <c r="B85">
        <v>0</v>
      </c>
      <c r="D85">
        <v>3.4999999999999998E-7</v>
      </c>
      <c r="E85">
        <v>0.44110932800000002</v>
      </c>
    </row>
    <row r="86" spans="1:5" x14ac:dyDescent="0.3">
      <c r="A86" s="37">
        <v>3.3249999999999999E-7</v>
      </c>
      <c r="B86">
        <v>0</v>
      </c>
      <c r="D86">
        <v>3.3249999999999999E-7</v>
      </c>
      <c r="E86">
        <v>0.43667932000000004</v>
      </c>
    </row>
    <row r="87" spans="1:5" x14ac:dyDescent="0.3">
      <c r="A87" s="37">
        <v>6.3175000000000001E-6</v>
      </c>
      <c r="B87">
        <v>0</v>
      </c>
      <c r="D87">
        <v>6.3175000000000001E-6</v>
      </c>
      <c r="E87">
        <v>0.10514308000000001</v>
      </c>
    </row>
    <row r="88" spans="1:5" x14ac:dyDescent="0.3">
      <c r="A88" s="37">
        <v>4.0000000000000003E-5</v>
      </c>
      <c r="B88">
        <v>1</v>
      </c>
      <c r="D88">
        <v>4.0000000000000003E-5</v>
      </c>
      <c r="E88">
        <v>5.4628818399999997</v>
      </c>
    </row>
    <row r="89" spans="1:5" x14ac:dyDescent="0.3">
      <c r="A89" s="37">
        <v>2.304E-5</v>
      </c>
      <c r="B89">
        <v>1</v>
      </c>
      <c r="D89">
        <v>2.304E-5</v>
      </c>
      <c r="E89">
        <v>5.4628818399999997</v>
      </c>
    </row>
    <row r="90" spans="1:5" x14ac:dyDescent="0.3">
      <c r="A90" s="37">
        <v>1.5359999999999999E-5</v>
      </c>
      <c r="B90">
        <v>0</v>
      </c>
      <c r="D90">
        <v>1.5359999999999999E-5</v>
      </c>
      <c r="E90">
        <v>1.0373046000000001</v>
      </c>
    </row>
    <row r="91" spans="1:5" x14ac:dyDescent="0.3">
      <c r="A91" s="37">
        <v>1.216E-4</v>
      </c>
      <c r="B91">
        <v>0</v>
      </c>
      <c r="D91">
        <v>1.216E-4</v>
      </c>
      <c r="E91">
        <v>1.0358649600000001</v>
      </c>
    </row>
    <row r="92" spans="1:5" x14ac:dyDescent="0.3">
      <c r="A92" s="37">
        <v>7.0000000000000007E-5</v>
      </c>
      <c r="B92">
        <v>0</v>
      </c>
      <c r="D92">
        <v>7.0000000000000007E-5</v>
      </c>
      <c r="E92">
        <v>0.73661977600000006</v>
      </c>
    </row>
    <row r="93" spans="1:5" x14ac:dyDescent="0.3">
      <c r="A93" s="37">
        <v>1.66E-5</v>
      </c>
      <c r="B93">
        <v>0</v>
      </c>
      <c r="D93">
        <v>1.66E-5</v>
      </c>
      <c r="E93">
        <v>0.42411977600000006</v>
      </c>
    </row>
    <row r="94" spans="1:5" x14ac:dyDescent="0.3">
      <c r="A94" s="37">
        <v>5.2800000000000003E-5</v>
      </c>
      <c r="B94">
        <v>0</v>
      </c>
      <c r="D94">
        <v>5.2800000000000003E-5</v>
      </c>
      <c r="E94">
        <v>0.44043025999999996</v>
      </c>
    </row>
    <row r="95" spans="1:5" x14ac:dyDescent="0.3">
      <c r="A95" s="37">
        <v>1.8606E-3</v>
      </c>
      <c r="B95">
        <v>0</v>
      </c>
      <c r="D95">
        <v>1.8606E-3</v>
      </c>
      <c r="E95">
        <v>0.10403319000000003</v>
      </c>
    </row>
    <row r="96" spans="1:5" x14ac:dyDescent="0.3">
      <c r="A96" s="37">
        <v>6.0000000000000008E-7</v>
      </c>
      <c r="B96">
        <v>1</v>
      </c>
      <c r="D96">
        <v>6.0000000000000008E-7</v>
      </c>
      <c r="E96">
        <v>5.1362238799999993</v>
      </c>
    </row>
    <row r="97" spans="1:5" x14ac:dyDescent="0.3">
      <c r="A97" s="37">
        <v>5.7000000000000005E-7</v>
      </c>
      <c r="B97">
        <v>1</v>
      </c>
      <c r="D97">
        <v>5.7000000000000005E-7</v>
      </c>
      <c r="E97">
        <v>5.1275430779599995</v>
      </c>
    </row>
    <row r="98" spans="1:5" x14ac:dyDescent="0.3">
      <c r="A98" s="37">
        <v>1.0830000000000001E-5</v>
      </c>
      <c r="B98">
        <v>0</v>
      </c>
      <c r="D98">
        <v>1.0830000000000001E-5</v>
      </c>
      <c r="E98">
        <v>1.03459628874</v>
      </c>
    </row>
    <row r="99" spans="1:5" x14ac:dyDescent="0.3">
      <c r="A99" s="37">
        <v>1.3999999999999999E-6</v>
      </c>
      <c r="B99">
        <v>0</v>
      </c>
      <c r="D99">
        <v>1.3999999999999999E-6</v>
      </c>
      <c r="E99">
        <v>0.42199608200000005</v>
      </c>
    </row>
    <row r="100" spans="1:5" x14ac:dyDescent="0.3">
      <c r="A100" s="37">
        <v>1.33E-6</v>
      </c>
      <c r="B100">
        <v>0</v>
      </c>
      <c r="D100">
        <v>1.33E-6</v>
      </c>
      <c r="E100">
        <v>0.42164369500000004</v>
      </c>
    </row>
    <row r="101" spans="1:5" x14ac:dyDescent="0.3">
      <c r="A101" s="37">
        <v>2.527E-5</v>
      </c>
      <c r="B101">
        <v>0</v>
      </c>
      <c r="D101">
        <v>2.527E-5</v>
      </c>
      <c r="E101">
        <v>0.10363951750000003</v>
      </c>
    </row>
    <row r="102" spans="1:5" x14ac:dyDescent="0.3">
      <c r="A102" s="37">
        <v>3.3779999999999998E-5</v>
      </c>
      <c r="B102">
        <v>0</v>
      </c>
      <c r="D102">
        <v>3.3779999999999998E-5</v>
      </c>
      <c r="E102">
        <v>1.5325228</v>
      </c>
    </row>
    <row r="103" spans="1:5" x14ac:dyDescent="0.3">
      <c r="A103" s="37">
        <v>6.7559999999999994E-6</v>
      </c>
      <c r="B103">
        <v>0</v>
      </c>
      <c r="D103">
        <v>6.7559999999999994E-6</v>
      </c>
      <c r="E103">
        <v>1.4932648745599999</v>
      </c>
    </row>
    <row r="104" spans="1:5" x14ac:dyDescent="0.3">
      <c r="A104" s="37">
        <v>1.2836399999999998E-4</v>
      </c>
      <c r="B104">
        <v>0</v>
      </c>
      <c r="D104">
        <v>1.2836399999999998E-4</v>
      </c>
      <c r="E104">
        <v>1.04611343664</v>
      </c>
    </row>
    <row r="105" spans="1:5" x14ac:dyDescent="0.3">
      <c r="A105" s="37">
        <v>2.2520000000000003E-4</v>
      </c>
      <c r="B105">
        <v>0</v>
      </c>
      <c r="D105">
        <v>2.2520000000000003E-4</v>
      </c>
      <c r="E105">
        <v>0.44394092000000002</v>
      </c>
    </row>
    <row r="106" spans="1:5" x14ac:dyDescent="0.3">
      <c r="A106" s="37">
        <v>4.5040000000000002E-5</v>
      </c>
      <c r="B106">
        <v>0</v>
      </c>
      <c r="D106">
        <v>4.5040000000000002E-5</v>
      </c>
      <c r="E106">
        <v>0.438052231184</v>
      </c>
    </row>
    <row r="107" spans="1:5" x14ac:dyDescent="0.3">
      <c r="A107" s="37">
        <v>8.5576000000000001E-4</v>
      </c>
      <c r="B107">
        <v>0</v>
      </c>
      <c r="D107">
        <v>8.5576000000000001E-4</v>
      </c>
      <c r="E107">
        <v>0.10535451549600001</v>
      </c>
    </row>
    <row r="108" spans="1:5" x14ac:dyDescent="0.3">
      <c r="A108" s="37">
        <v>1.218E-5</v>
      </c>
      <c r="B108">
        <v>0</v>
      </c>
      <c r="D108">
        <v>1.218E-5</v>
      </c>
      <c r="E108">
        <v>1.4664523200000001</v>
      </c>
    </row>
    <row r="109" spans="1:5" x14ac:dyDescent="0.3">
      <c r="A109" s="37">
        <v>2.4360000000000001E-6</v>
      </c>
      <c r="B109">
        <v>0</v>
      </c>
      <c r="D109">
        <v>2.4360000000000001E-6</v>
      </c>
      <c r="E109">
        <v>1.4409346684640001</v>
      </c>
    </row>
    <row r="110" spans="1:5" x14ac:dyDescent="0.3">
      <c r="A110" s="37">
        <v>4.6283999999999999E-5</v>
      </c>
      <c r="B110">
        <v>0</v>
      </c>
      <c r="D110">
        <v>4.6283999999999999E-5</v>
      </c>
      <c r="E110">
        <v>1.040911233816</v>
      </c>
    </row>
    <row r="111" spans="1:5" x14ac:dyDescent="0.3">
      <c r="A111" s="37">
        <v>8.1200000000000009E-5</v>
      </c>
      <c r="B111">
        <v>0</v>
      </c>
      <c r="D111">
        <v>8.1200000000000009E-5</v>
      </c>
      <c r="E111">
        <v>0.43403034800000001</v>
      </c>
    </row>
    <row r="112" spans="1:5" x14ac:dyDescent="0.3">
      <c r="A112" s="37">
        <v>1.624E-5</v>
      </c>
      <c r="B112">
        <v>0</v>
      </c>
      <c r="D112">
        <v>1.624E-5</v>
      </c>
      <c r="E112">
        <v>0.4302027002696</v>
      </c>
    </row>
    <row r="113" spans="1:5" x14ac:dyDescent="0.3">
      <c r="A113" s="37">
        <v>3.0855999999999999E-4</v>
      </c>
      <c r="B113">
        <v>0</v>
      </c>
      <c r="D113">
        <v>3.0855999999999999E-4</v>
      </c>
      <c r="E113">
        <v>0.10457418507240002</v>
      </c>
    </row>
    <row r="114" spans="1:5" x14ac:dyDescent="0.3">
      <c r="A114" s="37">
        <v>4.9999999999999998E-8</v>
      </c>
      <c r="B114">
        <v>0</v>
      </c>
      <c r="D114">
        <v>4.9999999999999998E-8</v>
      </c>
      <c r="E114">
        <v>2.600114</v>
      </c>
    </row>
    <row r="115" spans="1:5" x14ac:dyDescent="0.3">
      <c r="A115" s="37">
        <v>1.8999999999999998E-7</v>
      </c>
      <c r="B115">
        <v>1</v>
      </c>
      <c r="D115">
        <v>1.8999999999999998E-7</v>
      </c>
      <c r="E115">
        <v>6.14951115592</v>
      </c>
    </row>
    <row r="116" spans="1:5" x14ac:dyDescent="0.3">
      <c r="A116" s="37">
        <v>7.5999999999999992E-7</v>
      </c>
      <c r="B116">
        <v>0</v>
      </c>
      <c r="D116">
        <v>7.5999999999999992E-7</v>
      </c>
      <c r="E116">
        <v>1.1321600000000001</v>
      </c>
    </row>
    <row r="117" spans="1:5" x14ac:dyDescent="0.3">
      <c r="A117" s="37">
        <v>4.0000000000000009E-7</v>
      </c>
      <c r="B117">
        <v>0</v>
      </c>
      <c r="D117">
        <v>4.0000000000000009E-7</v>
      </c>
      <c r="E117">
        <v>0.45696709999999996</v>
      </c>
    </row>
    <row r="118" spans="1:5" x14ac:dyDescent="0.3">
      <c r="A118" s="37">
        <v>1.6000000000000004E-6</v>
      </c>
      <c r="B118">
        <v>0</v>
      </c>
      <c r="D118">
        <v>1.6000000000000004E-6</v>
      </c>
      <c r="E118">
        <v>0.52710077480000006</v>
      </c>
    </row>
    <row r="119" spans="1:5" x14ac:dyDescent="0.3">
      <c r="A119" s="37">
        <v>4.0000000000000009E-7</v>
      </c>
      <c r="B119">
        <v>0</v>
      </c>
      <c r="D119">
        <v>4.0000000000000009E-7</v>
      </c>
      <c r="E119">
        <v>0.43686194000000006</v>
      </c>
    </row>
    <row r="120" spans="1:5" x14ac:dyDescent="0.3">
      <c r="A120" s="37">
        <v>1.5200000000000003E-6</v>
      </c>
      <c r="B120">
        <v>0</v>
      </c>
      <c r="D120">
        <v>1.5200000000000003E-6</v>
      </c>
      <c r="E120">
        <v>0.43686194000000006</v>
      </c>
    </row>
    <row r="121" spans="1:5" x14ac:dyDescent="0.3">
      <c r="A121" s="37">
        <v>6.0800000000000011E-6</v>
      </c>
      <c r="B121">
        <v>0</v>
      </c>
      <c r="D121">
        <v>6.0800000000000011E-6</v>
      </c>
      <c r="E121">
        <v>0.105395475</v>
      </c>
    </row>
    <row r="122" spans="1:5" x14ac:dyDescent="0.3">
      <c r="A122" s="37">
        <v>2.5000000000000001E-5</v>
      </c>
      <c r="B122">
        <v>0</v>
      </c>
      <c r="D122">
        <v>2.5000000000000001E-5</v>
      </c>
      <c r="E122">
        <v>2.4188863999999999</v>
      </c>
    </row>
    <row r="123" spans="1:5" x14ac:dyDescent="0.3">
      <c r="A123" s="37">
        <v>3.9999999999999998E-7</v>
      </c>
      <c r="B123">
        <v>1</v>
      </c>
      <c r="D123">
        <v>3.9999999999999998E-7</v>
      </c>
      <c r="E123">
        <v>5.4109693199999995</v>
      </c>
    </row>
    <row r="124" spans="1:5" x14ac:dyDescent="0.3">
      <c r="A124" s="37">
        <v>2.3039999999999997E-7</v>
      </c>
      <c r="B124">
        <v>1</v>
      </c>
      <c r="D124">
        <v>2.3039999999999997E-7</v>
      </c>
      <c r="E124">
        <v>5.4109693199999995</v>
      </c>
    </row>
    <row r="125" spans="1:5" x14ac:dyDescent="0.3">
      <c r="A125" s="37">
        <v>1.5359999999999997E-7</v>
      </c>
      <c r="B125">
        <v>0</v>
      </c>
      <c r="D125">
        <v>1.5359999999999997E-7</v>
      </c>
      <c r="E125">
        <v>1.03175455</v>
      </c>
    </row>
    <row r="126" spans="1:5" x14ac:dyDescent="0.3">
      <c r="A126" s="37">
        <v>1.2159999999999999E-6</v>
      </c>
      <c r="B126">
        <v>0</v>
      </c>
      <c r="D126">
        <v>1.2159999999999999E-6</v>
      </c>
      <c r="E126">
        <v>1.03163458</v>
      </c>
    </row>
    <row r="127" spans="1:5" x14ac:dyDescent="0.3">
      <c r="A127" s="37">
        <v>7.0000000000000007E-7</v>
      </c>
      <c r="B127">
        <v>0</v>
      </c>
      <c r="D127">
        <v>7.0000000000000007E-7</v>
      </c>
      <c r="E127">
        <v>0.72883289799999995</v>
      </c>
    </row>
    <row r="128" spans="1:5" x14ac:dyDescent="0.3">
      <c r="A128" s="37">
        <v>8.3000000000000002E-8</v>
      </c>
      <c r="B128">
        <v>0</v>
      </c>
      <c r="D128">
        <v>8.3000000000000002E-8</v>
      </c>
      <c r="E128">
        <v>0.417188695</v>
      </c>
    </row>
    <row r="129" spans="1:5" x14ac:dyDescent="0.3">
      <c r="A129" s="37">
        <v>5.2800000000000007E-7</v>
      </c>
      <c r="B129">
        <v>0</v>
      </c>
      <c r="D129">
        <v>5.2800000000000007E-7</v>
      </c>
      <c r="E129">
        <v>0.41708801299999998</v>
      </c>
    </row>
    <row r="130" spans="1:5" x14ac:dyDescent="0.3">
      <c r="A130" s="37">
        <v>1.8606000000000001E-5</v>
      </c>
      <c r="B130">
        <v>0</v>
      </c>
      <c r="D130">
        <v>1.8606000000000001E-5</v>
      </c>
      <c r="E130">
        <v>0.10319268450000002</v>
      </c>
    </row>
    <row r="131" spans="1:5" x14ac:dyDescent="0.3">
      <c r="A131" s="37">
        <v>3.9999999999999998E-7</v>
      </c>
      <c r="B131">
        <v>1</v>
      </c>
      <c r="D131">
        <v>3.9999999999999998E-7</v>
      </c>
      <c r="E131">
        <v>5.4109693199999995</v>
      </c>
    </row>
    <row r="132" spans="1:5" x14ac:dyDescent="0.3">
      <c r="A132" s="37">
        <v>2.3039999999999997E-7</v>
      </c>
      <c r="B132">
        <v>1</v>
      </c>
      <c r="D132">
        <v>2.3039999999999997E-7</v>
      </c>
      <c r="E132">
        <v>5.4109693199999995</v>
      </c>
    </row>
    <row r="133" spans="1:5" x14ac:dyDescent="0.3">
      <c r="A133" s="37">
        <v>1.5359999999999997E-7</v>
      </c>
      <c r="B133">
        <v>0</v>
      </c>
      <c r="D133">
        <v>1.5359999999999997E-7</v>
      </c>
      <c r="E133">
        <v>1.03175455</v>
      </c>
    </row>
    <row r="134" spans="1:5" x14ac:dyDescent="0.3">
      <c r="A134" s="37">
        <v>1.2159999999999999E-6</v>
      </c>
      <c r="B134">
        <v>0</v>
      </c>
      <c r="D134">
        <v>1.2159999999999999E-6</v>
      </c>
      <c r="E134">
        <v>1.03163458</v>
      </c>
    </row>
    <row r="135" spans="1:5" x14ac:dyDescent="0.3">
      <c r="A135" s="37">
        <v>7.0000000000000007E-7</v>
      </c>
      <c r="B135">
        <v>0</v>
      </c>
      <c r="D135">
        <v>7.0000000000000007E-7</v>
      </c>
      <c r="E135">
        <v>0.72883289799999995</v>
      </c>
    </row>
    <row r="136" spans="1:5" x14ac:dyDescent="0.3">
      <c r="A136" s="37">
        <v>8.3000000000000002E-8</v>
      </c>
      <c r="B136">
        <v>0</v>
      </c>
      <c r="D136">
        <v>8.3000000000000002E-8</v>
      </c>
      <c r="E136">
        <v>0.417188695</v>
      </c>
    </row>
    <row r="137" spans="1:5" x14ac:dyDescent="0.3">
      <c r="A137" s="37">
        <v>5.2800000000000007E-7</v>
      </c>
      <c r="B137">
        <v>0</v>
      </c>
      <c r="D137">
        <v>5.2800000000000007E-7</v>
      </c>
      <c r="E137">
        <v>0.41708801299999998</v>
      </c>
    </row>
    <row r="138" spans="1:5" x14ac:dyDescent="0.3">
      <c r="A138" s="37">
        <v>1.8606000000000001E-5</v>
      </c>
      <c r="B138">
        <v>0</v>
      </c>
      <c r="D138">
        <v>1.8606000000000001E-5</v>
      </c>
      <c r="E138">
        <v>0.10319268450000002</v>
      </c>
    </row>
    <row r="139" spans="1:5" x14ac:dyDescent="0.3">
      <c r="A139" s="37">
        <v>9.9999999999999995E-8</v>
      </c>
      <c r="B139">
        <v>1</v>
      </c>
      <c r="D139">
        <v>9.9999999999999995E-8</v>
      </c>
      <c r="E139">
        <v>5.7366023999999998</v>
      </c>
    </row>
    <row r="140" spans="1:5" x14ac:dyDescent="0.3">
      <c r="A140" s="37">
        <v>1.8000000000000002E-7</v>
      </c>
      <c r="B140">
        <v>1</v>
      </c>
      <c r="D140">
        <v>1.8000000000000002E-7</v>
      </c>
      <c r="E140">
        <v>6.3708989999999996</v>
      </c>
    </row>
    <row r="141" spans="1:5" x14ac:dyDescent="0.3">
      <c r="A141" s="37">
        <v>7.2000000000000009E-7</v>
      </c>
      <c r="B141">
        <v>0</v>
      </c>
      <c r="D141">
        <v>7.2000000000000009E-7</v>
      </c>
      <c r="E141">
        <v>1.0665685</v>
      </c>
    </row>
    <row r="142" spans="1:5" x14ac:dyDescent="0.3">
      <c r="A142" s="37">
        <v>1.0000000000000002E-6</v>
      </c>
      <c r="B142">
        <v>0</v>
      </c>
      <c r="D142">
        <v>1.0000000000000002E-6</v>
      </c>
      <c r="E142">
        <v>0.77767786000000005</v>
      </c>
    </row>
    <row r="143" spans="1:5" x14ac:dyDescent="0.3">
      <c r="A143" s="37">
        <v>4.5000000000000009E-7</v>
      </c>
      <c r="B143">
        <v>0</v>
      </c>
      <c r="D143">
        <v>4.5000000000000009E-7</v>
      </c>
      <c r="E143">
        <v>0.56032235000000008</v>
      </c>
    </row>
    <row r="144" spans="1:5" x14ac:dyDescent="0.3">
      <c r="A144" s="37">
        <v>8.5500000000000011E-6</v>
      </c>
      <c r="B144">
        <v>0</v>
      </c>
      <c r="D144">
        <v>8.5500000000000011E-6</v>
      </c>
      <c r="E144">
        <v>0.10842277500000003</v>
      </c>
    </row>
    <row r="145" spans="1:5" x14ac:dyDescent="0.3">
      <c r="A145" s="37">
        <v>9.9999999999999995E-8</v>
      </c>
      <c r="B145">
        <v>1</v>
      </c>
      <c r="D145">
        <v>9.9999999999999995E-8</v>
      </c>
      <c r="E145">
        <v>5.6327773599999995</v>
      </c>
    </row>
    <row r="146" spans="1:5" x14ac:dyDescent="0.3">
      <c r="A146" s="37">
        <v>1.8000000000000002E-7</v>
      </c>
      <c r="B146">
        <v>1</v>
      </c>
      <c r="D146">
        <v>1.8000000000000002E-7</v>
      </c>
      <c r="E146">
        <v>6.0677235999999999</v>
      </c>
    </row>
    <row r="147" spans="1:5" x14ac:dyDescent="0.3">
      <c r="A147" s="37">
        <v>7.2000000000000009E-7</v>
      </c>
      <c r="B147">
        <v>0</v>
      </c>
      <c r="D147">
        <v>7.2000000000000009E-7</v>
      </c>
      <c r="E147">
        <v>1.0554684000000001</v>
      </c>
    </row>
    <row r="148" spans="1:5" x14ac:dyDescent="0.3">
      <c r="A148" s="37">
        <v>1.0000000000000002E-6</v>
      </c>
      <c r="B148">
        <v>0</v>
      </c>
      <c r="D148">
        <v>1.0000000000000002E-6</v>
      </c>
      <c r="E148">
        <v>0.76210410399999995</v>
      </c>
    </row>
    <row r="149" spans="1:5" x14ac:dyDescent="0.3">
      <c r="A149" s="37">
        <v>4.5000000000000009E-7</v>
      </c>
      <c r="B149">
        <v>0</v>
      </c>
      <c r="D149">
        <v>4.5000000000000009E-7</v>
      </c>
      <c r="E149">
        <v>0.51484604</v>
      </c>
    </row>
    <row r="150" spans="1:5" x14ac:dyDescent="0.3">
      <c r="A150" s="37">
        <v>8.5500000000000011E-6</v>
      </c>
      <c r="B150">
        <v>0</v>
      </c>
      <c r="D150">
        <v>8.5500000000000011E-6</v>
      </c>
      <c r="E150">
        <v>0.10675776000000002</v>
      </c>
    </row>
    <row r="151" spans="1:5" x14ac:dyDescent="0.3">
      <c r="A151" s="37">
        <v>2.0000000000000002E-5</v>
      </c>
      <c r="B151">
        <v>1</v>
      </c>
      <c r="D151">
        <v>2.0000000000000002E-5</v>
      </c>
      <c r="E151">
        <v>5.4133289800000002</v>
      </c>
    </row>
    <row r="152" spans="1:5" x14ac:dyDescent="0.3">
      <c r="A152" s="37">
        <v>1.152E-5</v>
      </c>
      <c r="B152">
        <v>2</v>
      </c>
      <c r="D152">
        <v>1.152E-5</v>
      </c>
      <c r="E152">
        <v>9.1633289799999993</v>
      </c>
    </row>
    <row r="153" spans="1:5" x14ac:dyDescent="0.3">
      <c r="A153" s="37">
        <v>7.6799999999999993E-6</v>
      </c>
      <c r="B153">
        <v>0</v>
      </c>
      <c r="D153">
        <v>7.6799999999999993E-6</v>
      </c>
      <c r="E153">
        <v>1.0320068250000001</v>
      </c>
    </row>
    <row r="154" spans="1:5" x14ac:dyDescent="0.3">
      <c r="A154" s="37">
        <v>6.0800000000000001E-5</v>
      </c>
      <c r="B154">
        <v>0</v>
      </c>
      <c r="D154">
        <v>6.0800000000000001E-5</v>
      </c>
      <c r="E154">
        <v>1.03182687</v>
      </c>
    </row>
    <row r="155" spans="1:5" x14ac:dyDescent="0.3">
      <c r="A155" s="37">
        <v>1.5400000000000003E-4</v>
      </c>
      <c r="B155">
        <v>0</v>
      </c>
      <c r="D155">
        <v>1.5400000000000003E-4</v>
      </c>
      <c r="E155">
        <v>0.41668684699999997</v>
      </c>
    </row>
    <row r="156" spans="1:5" x14ac:dyDescent="0.3">
      <c r="A156" s="37">
        <v>3.6520000000000003E-5</v>
      </c>
      <c r="B156">
        <v>0</v>
      </c>
      <c r="D156">
        <v>3.6520000000000003E-5</v>
      </c>
      <c r="E156">
        <v>0.41736645049999999</v>
      </c>
    </row>
    <row r="157" spans="1:5" x14ac:dyDescent="0.3">
      <c r="A157" s="37">
        <v>1.1616000000000001E-4</v>
      </c>
      <c r="B157">
        <v>0</v>
      </c>
      <c r="D157">
        <v>1.1616000000000001E-4</v>
      </c>
      <c r="E157">
        <v>0.41872565750000001</v>
      </c>
    </row>
    <row r="158" spans="1:5" x14ac:dyDescent="0.3">
      <c r="A158" s="37">
        <v>4.0933200000000001E-3</v>
      </c>
      <c r="B158">
        <v>0</v>
      </c>
      <c r="D158">
        <v>4.0933200000000001E-3</v>
      </c>
      <c r="E158">
        <v>0.10323852375000001</v>
      </c>
    </row>
    <row r="159" spans="1:5" x14ac:dyDescent="0.3">
      <c r="A159" s="37">
        <v>1.6560000000000001E-5</v>
      </c>
      <c r="B159">
        <v>1</v>
      </c>
      <c r="D159">
        <v>1.6560000000000001E-5</v>
      </c>
      <c r="E159">
        <v>5.4086096599999998</v>
      </c>
    </row>
    <row r="160" spans="1:5" x14ac:dyDescent="0.3">
      <c r="A160" s="37">
        <v>9.5385599999999994E-6</v>
      </c>
      <c r="B160">
        <v>1</v>
      </c>
      <c r="D160">
        <v>9.5385599999999994E-6</v>
      </c>
      <c r="E160">
        <v>5.4086096599999998</v>
      </c>
    </row>
    <row r="161" spans="1:5" x14ac:dyDescent="0.3">
      <c r="A161" s="37">
        <v>6.359039999999999E-6</v>
      </c>
      <c r="B161">
        <v>0</v>
      </c>
      <c r="D161">
        <v>6.359039999999999E-6</v>
      </c>
      <c r="E161">
        <v>1.031502275</v>
      </c>
    </row>
    <row r="162" spans="1:5" x14ac:dyDescent="0.3">
      <c r="A162" s="37">
        <v>5.0342399999999994E-5</v>
      </c>
      <c r="B162">
        <v>0</v>
      </c>
      <c r="D162">
        <v>5.0342399999999994E-5</v>
      </c>
      <c r="E162">
        <v>1.03144229</v>
      </c>
    </row>
    <row r="163" spans="1:5" x14ac:dyDescent="0.3">
      <c r="A163" s="37">
        <v>1.9320000000000001E-5</v>
      </c>
      <c r="B163">
        <v>0</v>
      </c>
      <c r="D163">
        <v>1.9320000000000001E-5</v>
      </c>
      <c r="E163">
        <v>0.7284789490000001</v>
      </c>
    </row>
    <row r="164" spans="1:5" x14ac:dyDescent="0.3">
      <c r="A164" s="37">
        <v>4.5815999999999995E-6</v>
      </c>
      <c r="B164">
        <v>0</v>
      </c>
      <c r="D164">
        <v>4.5815999999999995E-6</v>
      </c>
      <c r="E164">
        <v>0.4166585525</v>
      </c>
    </row>
    <row r="165" spans="1:5" x14ac:dyDescent="0.3">
      <c r="A165" s="37">
        <v>1.4572799999999999E-5</v>
      </c>
      <c r="B165">
        <v>0</v>
      </c>
      <c r="D165">
        <v>1.4572799999999999E-5</v>
      </c>
      <c r="E165">
        <v>0.4166585525</v>
      </c>
    </row>
    <row r="166" spans="1:5" x14ac:dyDescent="0.3">
      <c r="A166" s="37">
        <v>5.1352560000000002E-4</v>
      </c>
      <c r="B166">
        <v>0</v>
      </c>
      <c r="D166">
        <v>5.1352560000000002E-4</v>
      </c>
      <c r="E166">
        <v>0.10316284125000001</v>
      </c>
    </row>
    <row r="167" spans="1:5" x14ac:dyDescent="0.3">
      <c r="A167" s="37">
        <v>4.0000000000000007E-6</v>
      </c>
      <c r="B167">
        <v>0</v>
      </c>
      <c r="D167">
        <v>4.0000000000000007E-6</v>
      </c>
      <c r="E167">
        <v>1.34846932</v>
      </c>
    </row>
    <row r="168" spans="1:5" x14ac:dyDescent="0.3">
      <c r="A168" s="37">
        <v>7.2000000000000014E-6</v>
      </c>
      <c r="B168">
        <v>0</v>
      </c>
      <c r="D168">
        <v>7.2000000000000014E-6</v>
      </c>
      <c r="E168">
        <v>1.3475621751800002</v>
      </c>
    </row>
    <row r="169" spans="1:5" x14ac:dyDescent="0.3">
      <c r="A169" s="37">
        <v>2.8800000000000005E-5</v>
      </c>
      <c r="B169">
        <v>0</v>
      </c>
      <c r="D169">
        <v>2.8800000000000005E-5</v>
      </c>
      <c r="E169">
        <v>1.0349756967000001</v>
      </c>
    </row>
    <row r="170" spans="1:5" x14ac:dyDescent="0.3">
      <c r="A170" s="37">
        <v>4.0000000000000003E-5</v>
      </c>
      <c r="B170">
        <v>0</v>
      </c>
      <c r="D170">
        <v>4.0000000000000003E-5</v>
      </c>
      <c r="E170">
        <v>0.10383289800000002</v>
      </c>
    </row>
    <row r="171" spans="1:5" x14ac:dyDescent="0.3">
      <c r="A171" s="37">
        <v>1.8000000000000004E-5</v>
      </c>
      <c r="B171">
        <v>0</v>
      </c>
      <c r="D171">
        <v>1.8000000000000004E-5</v>
      </c>
      <c r="E171">
        <v>0.10437960126000002</v>
      </c>
    </row>
    <row r="172" spans="1:5" x14ac:dyDescent="0.3">
      <c r="A172" s="37">
        <v>3.4200000000000002E-4</v>
      </c>
      <c r="B172">
        <v>0</v>
      </c>
      <c r="D172">
        <v>3.4200000000000002E-4</v>
      </c>
      <c r="E172">
        <v>0.10369111269000002</v>
      </c>
    </row>
    <row r="173" spans="1:5" x14ac:dyDescent="0.3">
      <c r="A173" s="37">
        <v>1.2857999999999999E-4</v>
      </c>
      <c r="B173">
        <v>1</v>
      </c>
      <c r="D173">
        <v>1.2857999999999999E-4</v>
      </c>
      <c r="E173">
        <v>11.8245252</v>
      </c>
    </row>
    <row r="174" spans="1:5" x14ac:dyDescent="0.3">
      <c r="A174" s="37">
        <v>2.5715999999999999E-5</v>
      </c>
      <c r="B174">
        <v>2</v>
      </c>
      <c r="D174">
        <v>2.5715999999999999E-5</v>
      </c>
      <c r="E174">
        <v>14.216751911679999</v>
      </c>
    </row>
    <row r="175" spans="1:5" x14ac:dyDescent="0.3">
      <c r="A175" s="37">
        <v>4.8860400000000001E-4</v>
      </c>
      <c r="B175">
        <v>0</v>
      </c>
      <c r="D175">
        <v>4.8860400000000001E-4</v>
      </c>
      <c r="E175">
        <v>1.5363022819199998</v>
      </c>
    </row>
    <row r="176" spans="1:5" x14ac:dyDescent="0.3">
      <c r="A176" s="37">
        <v>6.4290000000000007E-4</v>
      </c>
      <c r="B176">
        <v>0</v>
      </c>
      <c r="D176">
        <v>6.4290000000000007E-4</v>
      </c>
      <c r="E176">
        <v>1.6908662799999998</v>
      </c>
    </row>
    <row r="177" spans="1:5" x14ac:dyDescent="0.3">
      <c r="A177" s="37">
        <v>1.2857999999999999E-4</v>
      </c>
      <c r="B177">
        <v>0</v>
      </c>
      <c r="D177">
        <v>1.2857999999999999E-4</v>
      </c>
      <c r="E177">
        <v>1.174700286752</v>
      </c>
    </row>
    <row r="178" spans="1:5" x14ac:dyDescent="0.3">
      <c r="A178" s="37">
        <v>2.4430200000000002E-3</v>
      </c>
      <c r="B178">
        <v>0</v>
      </c>
      <c r="D178">
        <v>2.4430200000000002E-3</v>
      </c>
      <c r="E178">
        <v>0.178882842288</v>
      </c>
    </row>
    <row r="179" spans="1:5" x14ac:dyDescent="0.3">
      <c r="A179" s="37"/>
    </row>
    <row r="180" spans="1:5" x14ac:dyDescent="0.3">
      <c r="A180" s="37"/>
    </row>
    <row r="181" spans="1:5" x14ac:dyDescent="0.3">
      <c r="A181" s="37"/>
    </row>
    <row r="182" spans="1:5" x14ac:dyDescent="0.3">
      <c r="A182" s="37"/>
    </row>
    <row r="183" spans="1:5" x14ac:dyDescent="0.3">
      <c r="A183" s="37"/>
    </row>
    <row r="184" spans="1:5" x14ac:dyDescent="0.3">
      <c r="A184" s="37"/>
    </row>
    <row r="185" spans="1:5" x14ac:dyDescent="0.3">
      <c r="A185" s="37"/>
    </row>
    <row r="186" spans="1:5" x14ac:dyDescent="0.3">
      <c r="A186" s="37"/>
    </row>
    <row r="187" spans="1:5" x14ac:dyDescent="0.3">
      <c r="A187" s="37"/>
    </row>
    <row r="188" spans="1:5" x14ac:dyDescent="0.3">
      <c r="A188" s="37"/>
    </row>
    <row r="189" spans="1:5" x14ac:dyDescent="0.3">
      <c r="A189" s="37"/>
    </row>
    <row r="190" spans="1:5" x14ac:dyDescent="0.3">
      <c r="A190" s="37"/>
    </row>
    <row r="191" spans="1:5" x14ac:dyDescent="0.3">
      <c r="A191" s="37"/>
    </row>
    <row r="192" spans="1:5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60"/>
  <sheetViews>
    <sheetView zoomScale="85" zoomScaleNormal="85" workbookViewId="0">
      <pane ySplit="1" topLeftCell="A236" activePane="bottomLeft" state="frozen"/>
      <selection pane="bottomLeft" activeCell="A252" sqref="A252:XFD26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485</v>
      </c>
      <c r="BA1" s="5" t="s">
        <v>486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97">
        <f>AW2/DB!$B$23</f>
        <v>2.4096385542168678E-9</v>
      </c>
      <c r="BA2" s="297">
        <f>AX2/DB!$B$23</f>
        <v>4.8192771084337357E-9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97">
        <f>AW3/DB!$B$23</f>
        <v>9.6385542168674709E-10</v>
      </c>
      <c r="BA3" s="297">
        <f>AX3/DB!$B$23</f>
        <v>9.6385542168674709E-10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97">
        <f>AW4/DB!$B$23</f>
        <v>0</v>
      </c>
      <c r="BA4" s="297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97">
        <f>AW5/DB!$B$23</f>
        <v>0</v>
      </c>
      <c r="BA5" s="297">
        <f>AX5/DB!$B$23</f>
        <v>4.8192771084337353E-8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97">
        <f>AW6/DB!$B$23</f>
        <v>0</v>
      </c>
      <c r="BA6" s="297">
        <f>AX6/DB!$B$23</f>
        <v>4.8192771084337357E-9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97">
        <f>AW7/DB!$B$23</f>
        <v>0</v>
      </c>
      <c r="BA7" s="297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97">
        <f>AW12/DB!$B$23</f>
        <v>4.9156626506024088E-7</v>
      </c>
      <c r="BA12" s="297">
        <f>AX12/DB!$B$23</f>
        <v>9.8313253012048176E-7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97">
        <f>AW13/DB!$B$23</f>
        <v>1.9662650602409635E-7</v>
      </c>
      <c r="BA13" s="297">
        <f>AX13/DB!$B$23</f>
        <v>9.8313253012048176E-8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97">
        <f>AW14/DB!$B$23</f>
        <v>0</v>
      </c>
      <c r="BA14" s="297">
        <f>AX14/DB!$B$23</f>
        <v>1.8679518072289152E-6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97">
        <f>AW15/DB!$B$23</f>
        <v>0</v>
      </c>
      <c r="BA15" s="297">
        <f>AX15/DB!$B$23</f>
        <v>3.2771084337349399E-6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97">
        <f>AW16/DB!$B$23</f>
        <v>0</v>
      </c>
      <c r="BA16" s="297">
        <f>AX16/DB!$B$23</f>
        <v>6.5542168674698798E-7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97">
        <f>AW17/DB!$B$23</f>
        <v>0</v>
      </c>
      <c r="BA17" s="297">
        <f>AX17/DB!$B$23</f>
        <v>1.245301204819277E-5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97">
        <f>AW22/DB!$B$23</f>
        <v>2.4096385542168678E-9</v>
      </c>
      <c r="BA22" s="297">
        <f>AX22/DB!$B$23</f>
        <v>4.8192771084337357E-9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97">
        <f>AW23/DB!$B$23</f>
        <v>9.6385542168674709E-10</v>
      </c>
      <c r="BA23" s="297">
        <f>AX23/DB!$B$23</f>
        <v>9.6385542168674709E-10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97">
        <f>AW24/DB!$B$23</f>
        <v>0</v>
      </c>
      <c r="BA24" s="297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97">
        <f>AW25/DB!$B$23</f>
        <v>0</v>
      </c>
      <c r="BA25" s="297">
        <f>AX25/DB!$B$23</f>
        <v>4.8192771084337353E-8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97">
        <f>AW26/DB!$B$23</f>
        <v>0</v>
      </c>
      <c r="BA26" s="297">
        <f>AX26/DB!$B$23</f>
        <v>4.8192771084337357E-9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97">
        <f>AW27/DB!$B$23</f>
        <v>0</v>
      </c>
      <c r="BA27" s="297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97">
        <f>AW32/DB!$B$23</f>
        <v>2.4096385542168678E-9</v>
      </c>
      <c r="BA32" s="297">
        <f>AX32/DB!$B$23</f>
        <v>4.8192771084337357E-9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97">
        <f>AW33/DB!$B$23</f>
        <v>2.7759036144578319E-9</v>
      </c>
      <c r="BA33" s="297">
        <f>AX33/DB!$B$23</f>
        <v>2.7759036144578319E-9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97">
        <f>AW34/DB!$B$23</f>
        <v>0</v>
      </c>
      <c r="BA34" s="297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97">
        <f>AW35/DB!$B$23</f>
        <v>0</v>
      </c>
      <c r="BA35" s="297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97">
        <f>AW36/DB!$B$23</f>
        <v>0</v>
      </c>
      <c r="BA36" s="297">
        <f>AX36/DB!$B$23</f>
        <v>8.4337349397590378E-9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97">
        <f>AW37/DB!$B$23</f>
        <v>0</v>
      </c>
      <c r="BA37" s="297">
        <f>AX37/DB!$B$23</f>
        <v>1.0000000000000001E-9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97">
        <f>AW38/DB!$B$23</f>
        <v>0</v>
      </c>
      <c r="BA38" s="297">
        <f>AX38/DB!$B$23</f>
        <v>3.1807228915662653E-9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97">
        <f>AW39/DB!$B$23</f>
        <v>0</v>
      </c>
      <c r="BA39" s="297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97">
        <f>AW42/DB!$B$23</f>
        <v>2.4096385542168678E-9</v>
      </c>
      <c r="BA42" s="297">
        <f>AX42/DB!$B$23</f>
        <v>4.8192771084337357E-9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97">
        <f>AW43/DB!$B$23</f>
        <v>2.7759036144578319E-9</v>
      </c>
      <c r="BA43" s="297">
        <f>AX43/DB!$B$23</f>
        <v>2.7759036144578319E-9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97">
        <f>AW44/DB!$B$23</f>
        <v>0</v>
      </c>
      <c r="BA44" s="297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97">
        <f>AW45/DB!$B$23</f>
        <v>7.325301204819277E-9</v>
      </c>
      <c r="BA45" s="297">
        <f>AX45/DB!$B$23</f>
        <v>7.325301204819277E-9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97">
        <f>AW46/DB!$B$23</f>
        <v>0</v>
      </c>
      <c r="BA46" s="297">
        <f>AX46/DB!$B$23</f>
        <v>8.4337349397590378E-9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97">
        <f>AW47/DB!$B$23</f>
        <v>0</v>
      </c>
      <c r="BA47" s="297">
        <f>AX47/DB!$B$23</f>
        <v>2.0000000000000001E-9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97">
        <f>AW48/DB!$B$23</f>
        <v>0</v>
      </c>
      <c r="BA48" s="297">
        <f>AX48/DB!$B$23</f>
        <v>3.1807228915662653E-9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97">
        <f>AW49/DB!$B$23</f>
        <v>0</v>
      </c>
      <c r="BA49" s="297">
        <f>AX49/DB!$B$23</f>
        <v>1.120843373493976E-7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97">
        <f>AW52/DB!$B$23</f>
        <v>2.108433734939759E-9</v>
      </c>
      <c r="BA52" s="297">
        <f>AX52/DB!$B$23</f>
        <v>4.2168674698795181E-9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97">
        <f>AW53/DB!$B$23</f>
        <v>4.0060240963855423E-9</v>
      </c>
      <c r="BA53" s="297">
        <f>AX53/DB!$B$23</f>
        <v>4.0060240963855423E-9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97">
        <f>AW54/DB!$B$23</f>
        <v>0</v>
      </c>
      <c r="BA54" s="297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97">
        <f>AW55/DB!$B$23</f>
        <v>0</v>
      </c>
      <c r="BA55" s="297">
        <f>AX55/DB!$B$23</f>
        <v>2.6506024096385547E-8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97">
        <f>AW56/DB!$B$23</f>
        <v>0</v>
      </c>
      <c r="BA56" s="297">
        <f>AX56/DB!$B$23</f>
        <v>1.2590361445783132E-8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97">
        <f>AW57/DB!$B$23</f>
        <v>0</v>
      </c>
      <c r="BA57" s="297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97">
        <f>AW62/DB!$B$23</f>
        <v>2.108433734939759E-9</v>
      </c>
      <c r="BA62" s="297">
        <f>AX62/DB!$B$23</f>
        <v>4.2168674698795181E-9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97">
        <f>AW63/DB!$B$23</f>
        <v>4.0060240963855423E-9</v>
      </c>
      <c r="BA63" s="297">
        <f>AX63/DB!$B$23</f>
        <v>4.0060240963855423E-9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97">
        <f>AW64/DB!$B$23</f>
        <v>0</v>
      </c>
      <c r="BA64" s="297">
        <f>AX64/DB!$B$23</f>
        <v>3.8057228915662648E-8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97">
        <f>AW65/DB!$B$23</f>
        <v>0</v>
      </c>
      <c r="BA65" s="297">
        <f>AX65/DB!$B$23</f>
        <v>2.6506024096385547E-8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97">
        <f>AW66/DB!$B$23</f>
        <v>0</v>
      </c>
      <c r="BA66" s="297">
        <f>AX66/DB!$B$23</f>
        <v>1.2590361445783132E-8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97">
        <f>AW67/DB!$B$23</f>
        <v>0</v>
      </c>
      <c r="BA67" s="297">
        <f>AX67/DB!$B$23</f>
        <v>2.3921686746987952E-7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97">
        <f>AW72/DB!$B$23</f>
        <v>2.108433734939759E-9</v>
      </c>
      <c r="BA72" s="297">
        <f>AX72/DB!$B$23</f>
        <v>4.2168674698795181E-9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97">
        <f>AW73/DB!$B$23</f>
        <v>4.0060240963855423E-9</v>
      </c>
      <c r="BA73" s="297">
        <f>AX73/DB!$B$23</f>
        <v>4.0060240963855423E-9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97">
        <f>AW74/DB!$B$23</f>
        <v>0</v>
      </c>
      <c r="BA74" s="297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97">
        <f>AW75/DB!$B$23</f>
        <v>0</v>
      </c>
      <c r="BA75" s="297">
        <f>AX75/DB!$B$23</f>
        <v>2.6506024096385547E-8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97">
        <f>AW76/DB!$B$23</f>
        <v>0</v>
      </c>
      <c r="BA76" s="297">
        <f>AX76/DB!$B$23</f>
        <v>1.2590361445783132E-8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97">
        <f>AW77/DB!$B$23</f>
        <v>0</v>
      </c>
      <c r="BA77" s="297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97">
        <f>AW82/DB!$B$23</f>
        <v>1.2048192771084339E-9</v>
      </c>
      <c r="BA82" s="297">
        <f>AX82/DB!$B$23</f>
        <v>2.4096385542168678E-9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896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AU82</f>
        <v>0.124442952</v>
      </c>
      <c r="AV83" s="96">
        <f t="shared" si="90"/>
        <v>9.7395579519999984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1.75312043136E-5</v>
      </c>
      <c r="AZ83" s="297">
        <f>AW83/DB!$B$23</f>
        <v>4.3373493975903624E-9</v>
      </c>
      <c r="BA83" s="297">
        <f>AX83/DB!$B$23</f>
        <v>4.3373493975903624E-9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97">
        <f>AW84/DB!$B$23</f>
        <v>0</v>
      </c>
      <c r="BA84" s="297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97">
        <f>AW85/DB!$B$23</f>
        <v>0</v>
      </c>
      <c r="BA85" s="297">
        <f>AX85/DB!$B$23</f>
        <v>2.4096385542168677E-8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97">
        <f>AW86/DB!$B$23</f>
        <v>0</v>
      </c>
      <c r="BA86" s="297">
        <f>AX86/DB!$B$23</f>
        <v>5.4216867469879532E-9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97">
        <f>AW87/DB!$B$23</f>
        <v>0</v>
      </c>
      <c r="BA87" s="297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97">
        <f>AW92/DB!$B$23</f>
        <v>1.2048192771084339E-9</v>
      </c>
      <c r="BA92" s="297">
        <f>AX92/DB!$B$23</f>
        <v>2.4096385542168678E-9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AU92</f>
        <v>5.4368280000000005E-2</v>
      </c>
      <c r="AV93" s="96">
        <f t="shared" si="100"/>
        <v>9.4110932799999993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1.6939967904000003E-5</v>
      </c>
      <c r="AZ93" s="297">
        <f>AW93/DB!$B$23</f>
        <v>4.3373493975903624E-9</v>
      </c>
      <c r="BA93" s="297">
        <f>AX93/DB!$B$23</f>
        <v>4.3373493975903624E-9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97">
        <f>AW94/DB!$B$23</f>
        <v>0</v>
      </c>
      <c r="BA94" s="297">
        <f>AX94/DB!$B$23</f>
        <v>8.6746987951807248E-9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97">
        <f>AW95/DB!$B$23</f>
        <v>0</v>
      </c>
      <c r="BA95" s="297">
        <f>AX95/DB!$B$23</f>
        <v>2.4096385542168677E-8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97">
        <f>AW96/DB!$B$23</f>
        <v>0</v>
      </c>
      <c r="BA96" s="297">
        <f>AX96/DB!$B$23</f>
        <v>5.4216867469879532E-9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97">
        <f>AW97/DB!$B$23</f>
        <v>0</v>
      </c>
      <c r="BA97" s="297">
        <f>AX97/DB!$B$23</f>
        <v>1.0301204819277109E-7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97">
        <f>AW102/DB!$B$23</f>
        <v>1.2048192771084339E-9</v>
      </c>
      <c r="BA102" s="297">
        <f>AX102/DB!$B$23</f>
        <v>2.4096385542168678E-9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97">
        <f>AW103/DB!$B$23</f>
        <v>4.3373493975903624E-9</v>
      </c>
      <c r="BA103" s="297">
        <f>AX103/DB!$B$23</f>
        <v>4.3373493975903624E-9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97">
        <f>AW104/DB!$B$23</f>
        <v>0</v>
      </c>
      <c r="BA104" s="297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97">
        <f>AW105/DB!$B$23</f>
        <v>0</v>
      </c>
      <c r="BA105" s="297">
        <f>AX105/DB!$B$23</f>
        <v>2.4096385542168677E-8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97">
        <f>AW106/DB!$B$23</f>
        <v>0</v>
      </c>
      <c r="BA106" s="297">
        <f>AX106/DB!$B$23</f>
        <v>5.4216867469879532E-9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97">
        <f>AW107/DB!$B$23</f>
        <v>0</v>
      </c>
      <c r="BA107" s="297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97">
        <f>AW112/DB!$B$23</f>
        <v>6.024096385542168E-11</v>
      </c>
      <c r="BA112" s="297">
        <f>AX112/DB!$B$23</f>
        <v>1.2048192771084336E-10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97">
        <f>AW113/DB!$B$23</f>
        <v>4.5783132530120476E-10</v>
      </c>
      <c r="BA113" s="297">
        <f>AX113/DB!$B$23</f>
        <v>4.5783132530120476E-10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97">
        <f>AW114/DB!$B$23</f>
        <v>0</v>
      </c>
      <c r="BA114" s="297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97">
        <f>AW115/DB!$B$23</f>
        <v>0</v>
      </c>
      <c r="BA115" s="297">
        <f>AX115/DB!$B$23</f>
        <v>4.8192771084337365E-10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97">
        <f>AW116/DB!$B$23</f>
        <v>0</v>
      </c>
      <c r="BA116" s="297">
        <f>AX116/DB!$B$23</f>
        <v>1.9277108433734946E-9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97">
        <f>AW117/DB!$B$23</f>
        <v>0</v>
      </c>
      <c r="BA117" s="297">
        <f>AX117/DB!$B$23</f>
        <v>4.8192771084337365E-10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97">
        <f>AW118/DB!$B$23</f>
        <v>0</v>
      </c>
      <c r="BA118" s="297">
        <f>AX118/DB!$B$23</f>
        <v>1.8313253012048197E-9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97">
        <f>AW119/DB!$B$23</f>
        <v>0</v>
      </c>
      <c r="BA119" s="297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97">
        <f>AW120/DB!$B$23</f>
        <v>3.0120481927710842E-8</v>
      </c>
      <c r="BA120" s="297">
        <f>AX120/DB!$B$23</f>
        <v>6.0240963855421685E-8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97">
        <f>AW122/DB!$B$23</f>
        <v>6.024096385542168E-11</v>
      </c>
      <c r="BA122" s="297">
        <f>AX122/DB!$B$23</f>
        <v>1.2048192771084336E-10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97">
        <f>AW123/DB!$B$23</f>
        <v>6.8674698795180719E-10</v>
      </c>
      <c r="BA123" s="297">
        <f>AX123/DB!$B$23</f>
        <v>9.1566265060240952E-10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97">
        <f>AW124/DB!$B$23</f>
        <v>0</v>
      </c>
      <c r="BA124" s="297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97">
        <f>AW125/DB!$B$23</f>
        <v>0</v>
      </c>
      <c r="BA125" s="297">
        <f>AX125/DB!$B$23</f>
        <v>4.8192771084337365E-10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97">
        <f>AW126/DB!$B$23</f>
        <v>0</v>
      </c>
      <c r="BA126" s="297">
        <f>AX126/DB!$B$23</f>
        <v>1.9277108433734946E-9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97">
        <f>AW127/DB!$B$23</f>
        <v>0</v>
      </c>
      <c r="BA127" s="297">
        <f>AX127/DB!$B$23</f>
        <v>4.8192771084337365E-10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97">
        <f>AW128/DB!$B$23</f>
        <v>0</v>
      </c>
      <c r="BA128" s="297">
        <f>AX128/DB!$B$23</f>
        <v>1.8313253012048197E-9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97">
        <f>AW129/DB!$B$23</f>
        <v>0</v>
      </c>
      <c r="BA129" s="297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97">
        <f>AW130/DB!$B$23</f>
        <v>3.0120481927710842E-8</v>
      </c>
      <c r="BA130" s="297">
        <f>AX130/DB!$B$23</f>
        <v>6.0240963855421685E-8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97">
        <f>AW132/DB!$B$23</f>
        <v>6.0240963855421696E-10</v>
      </c>
      <c r="BA132" s="297">
        <f>AX132/DB!$B$23</f>
        <v>1.2048192771084339E-9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97">
        <f>AW133/DB!$B$23</f>
        <v>1.1445783132530122E-9</v>
      </c>
      <c r="BA133" s="297">
        <f>AX133/DB!$B$23</f>
        <v>1.1445783132530122E-9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97">
        <f>AW134/DB!$B$23</f>
        <v>0</v>
      </c>
      <c r="BA134" s="297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97">
        <f>AW142/DB!$B$23</f>
        <v>6.0240963855421696E-10</v>
      </c>
      <c r="BA142" s="297">
        <f>AX142/DB!$B$23</f>
        <v>1.2048192771084339E-9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97">
        <f>AW143/DB!$B$23</f>
        <v>1.1445783132530122E-9</v>
      </c>
      <c r="BA143" s="297">
        <f>AX143/DB!$B$23</f>
        <v>1.1445783132530122E-9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97">
        <f>AW144/DB!$B$23</f>
        <v>0</v>
      </c>
      <c r="BA144" s="297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421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97">
        <f>AW152/DB!$B$23</f>
        <v>1.8072289156626509E-10</v>
      </c>
      <c r="BA152" s="297">
        <f>AX152/DB!$B$23</f>
        <v>1.8072289156626509E-10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97">
        <f>AW153/DB!$B$23</f>
        <v>1.7168674698795182E-10</v>
      </c>
      <c r="BA153" s="297">
        <f>AX153/DB!$B$23</f>
        <v>1.7168674698795182E-10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97">
        <f>AW154/DB!$B$23</f>
        <v>0</v>
      </c>
      <c r="BA154" s="297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97">
        <f>AW155/DB!$B$23</f>
        <v>0</v>
      </c>
      <c r="BA155" s="297">
        <f>AX155/DB!$B$23</f>
        <v>4.2168674698795179E-10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423</v>
      </c>
      <c r="D156" s="85" t="s">
        <v>422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97">
        <f>AW156/DB!$B$23</f>
        <v>0</v>
      </c>
      <c r="BA156" s="297">
        <f>AX156/DB!$B$23</f>
        <v>4.006024096385542E-10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97">
        <f>AW157/DB!$B$23</f>
        <v>0</v>
      </c>
      <c r="BA157" s="297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97">
        <f>AW162/DB!$B$23</f>
        <v>1.8072289156626509E-10</v>
      </c>
      <c r="BA162" s="297">
        <f>AX162/DB!$B$23</f>
        <v>3.6144578313253018E-10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97">
        <f>AW163/DB!$B$23</f>
        <v>3.4337349397590365E-10</v>
      </c>
      <c r="BA163" s="297">
        <f>AX163/DB!$B$23</f>
        <v>3.4337349397590365E-10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97">
        <f>AW164/DB!$B$23</f>
        <v>0</v>
      </c>
      <c r="BA164" s="297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97">
        <f>AW165/DB!$B$23</f>
        <v>0</v>
      </c>
      <c r="BA165" s="297">
        <f>AX165/DB!$B$23</f>
        <v>8.4337349397590357E-10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423</v>
      </c>
      <c r="D166" s="85" t="s">
        <v>422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97">
        <f>AW166/DB!$B$23</f>
        <v>0</v>
      </c>
      <c r="BA166" s="297">
        <f>AX166/DB!$B$23</f>
        <v>4.006024096385542E-10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97">
        <f>AW167/DB!$B$23</f>
        <v>0</v>
      </c>
      <c r="BA167" s="297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97">
        <f>AW172/DB!$B$23</f>
        <v>1.8072289156626509E-10</v>
      </c>
      <c r="BA172" s="297">
        <f>AX172/DB!$B$23</f>
        <v>3.6144578313253018E-10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97">
        <f>AW173/DB!$B$23</f>
        <v>3.4337349397590365E-10</v>
      </c>
      <c r="BA173" s="297">
        <f>AX173/DB!$B$23</f>
        <v>3.4337349397590365E-10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97">
        <f>AW174/DB!$B$23</f>
        <v>0</v>
      </c>
      <c r="BA174" s="297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97">
        <f>AW175/DB!$B$23</f>
        <v>0</v>
      </c>
      <c r="BA175" s="297">
        <f>AX175/DB!$B$23</f>
        <v>8.4337349397590357E-10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97">
        <f>AW176/DB!$B$23</f>
        <v>0</v>
      </c>
      <c r="BA176" s="297">
        <f>AX176/DB!$B$23</f>
        <v>4.006024096385542E-10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97">
        <f>AW177/DB!$B$23</f>
        <v>0</v>
      </c>
      <c r="BA177" s="297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97">
        <f>AW182/DB!$B$23</f>
        <v>2.4096385542168678E-9</v>
      </c>
      <c r="BA182" s="297">
        <f>AX182/DB!$B$23</f>
        <v>4.8192771084337357E-9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97">
        <f>AW183/DB!$B$23</f>
        <v>2.7759036144578319E-9</v>
      </c>
      <c r="BA183" s="297">
        <f>AX183/DB!$B$23</f>
        <v>2.7759036144578319E-9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97">
        <f>AW184/DB!$B$23</f>
        <v>0</v>
      </c>
      <c r="BA184" s="297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97">
        <f>AW185/DB!$B$23</f>
        <v>0</v>
      </c>
      <c r="BA185" s="297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97">
        <f>AW186/DB!$B$23</f>
        <v>0</v>
      </c>
      <c r="BA186" s="297">
        <f>AX186/DB!$B$23</f>
        <v>8.4337349397590378E-9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97">
        <f>AW187/DB!$B$23</f>
        <v>0</v>
      </c>
      <c r="BA187" s="297">
        <f>AX187/DB!$B$23</f>
        <v>1.0000000000000001E-9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97">
        <f>AW188/DB!$B$23</f>
        <v>0</v>
      </c>
      <c r="BA188" s="297">
        <f>AX188/DB!$B$23</f>
        <v>3.1807228915662653E-9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97">
        <f>AW189/DB!$B$23</f>
        <v>0</v>
      </c>
      <c r="BA189" s="297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97">
        <f>AW192/DB!$B$23</f>
        <v>2.4096385542168678E-9</v>
      </c>
      <c r="BA192" s="297">
        <f>AX192/DB!$B$23</f>
        <v>4.8192771084337357E-9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97">
        <f>AW193/DB!$B$23</f>
        <v>2.7759036144578319E-9</v>
      </c>
      <c r="BA193" s="297">
        <f>AX193/DB!$B$23</f>
        <v>2.7759036144578319E-9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97">
        <f>AW194/DB!$B$23</f>
        <v>0</v>
      </c>
      <c r="BA194" s="297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97">
        <f>AW195/DB!$B$23</f>
        <v>7.325301204819277E-9</v>
      </c>
      <c r="BA195" s="297">
        <f>AX195/DB!$B$23</f>
        <v>7.325301204819277E-9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97">
        <f>AW196/DB!$B$23</f>
        <v>0</v>
      </c>
      <c r="BA196" s="297">
        <f>AX196/DB!$B$23</f>
        <v>8.4337349397590378E-9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97">
        <f>AW197/DB!$B$23</f>
        <v>0</v>
      </c>
      <c r="BA197" s="297">
        <f>AX197/DB!$B$23</f>
        <v>2.0000000000000001E-9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97">
        <f>AW198/DB!$B$23</f>
        <v>0</v>
      </c>
      <c r="BA198" s="297">
        <f>AX198/DB!$B$23</f>
        <v>3.1807228915662653E-9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97">
        <f>AW199/DB!$B$23</f>
        <v>0</v>
      </c>
      <c r="BA199" s="297">
        <f>AX199/DB!$B$23</f>
        <v>1.120843373493976E-7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97">
        <f>AW202/DB!$B$23</f>
        <v>1.2048192771084336E-10</v>
      </c>
      <c r="BA202" s="297">
        <f>AX202/DB!$B$23</f>
        <v>2.4096385542168672E-10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97">
        <f>AW203/DB!$B$23</f>
        <v>9.1566265060240952E-10</v>
      </c>
      <c r="BA203" s="297">
        <f>AX203/DB!$B$23</f>
        <v>9.1566265060240952E-10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97">
        <f>AW204/DB!$B$23</f>
        <v>0</v>
      </c>
      <c r="BA204" s="297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97">
        <f>AW205/DB!$B$23</f>
        <v>0</v>
      </c>
      <c r="BA205" s="297">
        <f>AX205/DB!$B$23</f>
        <v>9.638554216867473E-10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97">
        <f>AW206/DB!$B$23</f>
        <v>0</v>
      </c>
      <c r="BA206" s="297">
        <f>AX206/DB!$B$23</f>
        <v>3.8554216867469892E-9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97">
        <f>AW207/DB!$B$23</f>
        <v>0</v>
      </c>
      <c r="BA207" s="297">
        <f>AX207/DB!$B$23</f>
        <v>9.638554216867473E-10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97">
        <f>AW208/DB!$B$23</f>
        <v>0</v>
      </c>
      <c r="BA208" s="297">
        <f>AX208/DB!$B$23</f>
        <v>3.6626506024096393E-9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97">
        <f>AW209/DB!$B$23</f>
        <v>0</v>
      </c>
      <c r="BA209" s="297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97">
        <f>AW210/DB!$B$23</f>
        <v>6.0240963855421685E-8</v>
      </c>
      <c r="BA210" s="297">
        <f>AX210/DB!$B$23</f>
        <v>1.2048192771084337E-7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97">
        <f>AW212/DB!$B$23</f>
        <v>1.2048192771084336E-10</v>
      </c>
      <c r="BA212" s="297">
        <f>AX212/DB!$B$23</f>
        <v>2.4096385542168672E-10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97">
        <f>AW213/DB!$B$23</f>
        <v>9.1566265060240952E-10</v>
      </c>
      <c r="BA213" s="297">
        <f>AX213/DB!$B$23</f>
        <v>9.1566265060240952E-10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97">
        <f>AW214/DB!$B$23</f>
        <v>0</v>
      </c>
      <c r="BA214" s="297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97">
        <f>AW215/DB!$B$23</f>
        <v>0</v>
      </c>
      <c r="BA215" s="297">
        <f>AX215/DB!$B$23</f>
        <v>9.638554216867473E-10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97">
        <f>AW216/DB!$B$23</f>
        <v>0</v>
      </c>
      <c r="BA216" s="297">
        <f>AX216/DB!$B$23</f>
        <v>3.8554216867469892E-9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97">
        <f>AW217/DB!$B$23</f>
        <v>0</v>
      </c>
      <c r="BA217" s="297">
        <f>AX217/DB!$B$23</f>
        <v>4.8192771084337365E-10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97">
        <f>AW218/DB!$B$23</f>
        <v>0</v>
      </c>
      <c r="BA218" s="297">
        <f>AX218/DB!$B$23</f>
        <v>3.6626506024096393E-9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97">
        <f>AW219/DB!$B$23</f>
        <v>0</v>
      </c>
      <c r="BA219" s="297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97">
        <f>AW220/DB!$B$23</f>
        <v>6.0240963855421685E-8</v>
      </c>
      <c r="BA220" s="297">
        <f>AX220/DB!$B$23</f>
        <v>1.2048192771084337E-7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97">
        <f>AW222/DB!$B$23</f>
        <v>2.4096385542168678E-9</v>
      </c>
      <c r="BA222" s="297">
        <f>AX222/DB!$B$23</f>
        <v>4.8192771084337357E-9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97">
        <f>AW223/DB!$B$23</f>
        <v>9.6385542168674709E-10</v>
      </c>
      <c r="BA223" s="297">
        <f>AX223/DB!$B$23</f>
        <v>9.6385542168674709E-10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97">
        <f>AW224/DB!$B$23</f>
        <v>0</v>
      </c>
      <c r="BA224" s="297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97">
        <f>AW225/DB!$B$23</f>
        <v>0</v>
      </c>
      <c r="BA225" s="297">
        <f>AX225/DB!$B$23</f>
        <v>4.8192771084337353E-8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97">
        <f>AW226/DB!$B$23</f>
        <v>0</v>
      </c>
      <c r="BA226" s="297">
        <f>AX226/DB!$B$23</f>
        <v>4.8192771084337357E-9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97">
        <f>AW227/DB!$B$23</f>
        <v>0</v>
      </c>
      <c r="BA227" s="297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97">
        <f>AW232/DB!$B$23</f>
        <v>2.4096385542168678E-9</v>
      </c>
      <c r="BA232" s="297">
        <f>AX232/DB!$B$23</f>
        <v>4.8192771084337357E-9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97">
        <f>AW233/DB!$B$23</f>
        <v>1.9277108433734943E-8</v>
      </c>
      <c r="BA233" s="297">
        <f>AX233/DB!$B$23</f>
        <v>1.9277108433734943E-8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  <row r="241" spans="1:53" ht="15" thickBot="1" x14ac:dyDescent="0.35"/>
    <row r="242" spans="1:53" ht="18" customHeight="1" x14ac:dyDescent="0.3">
      <c r="A242" s="8" t="s">
        <v>18</v>
      </c>
      <c r="B242" s="63" t="s">
        <v>731</v>
      </c>
      <c r="C242" s="79" t="s">
        <v>732</v>
      </c>
      <c r="D242" s="9" t="s">
        <v>130</v>
      </c>
      <c r="E242" s="66">
        <v>1E-4</v>
      </c>
      <c r="F242" s="63">
        <v>4</v>
      </c>
      <c r="G242" s="8">
        <v>0.2</v>
      </c>
      <c r="H242" s="10">
        <f>E242*F242*G242</f>
        <v>8.0000000000000007E-5</v>
      </c>
      <c r="I242" s="64">
        <v>1.2</v>
      </c>
      <c r="J242" s="69">
        <f>I242</f>
        <v>1.2</v>
      </c>
      <c r="K242" s="72" t="s">
        <v>122</v>
      </c>
      <c r="L242" s="77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97">
        <f>AW242/DB!$B$23</f>
        <v>9.6385542168674707E-8</v>
      </c>
      <c r="BA242" s="297">
        <f>AX242/DB!$B$23</f>
        <v>1.9277108433734941E-7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9" t="s">
        <v>733</v>
      </c>
      <c r="D243" s="9" t="s">
        <v>28</v>
      </c>
      <c r="E243" s="67">
        <f>E242</f>
        <v>1E-4</v>
      </c>
      <c r="F243" s="68">
        <f>F242</f>
        <v>4</v>
      </c>
      <c r="G243" s="8">
        <v>0.1152</v>
      </c>
      <c r="H243" s="10">
        <f t="shared" ref="H243:H249" si="229">E243*F243*G243</f>
        <v>4.6079999999999999E-5</v>
      </c>
      <c r="I243" s="62">
        <f>I242</f>
        <v>1.2</v>
      </c>
      <c r="J243" s="80">
        <f>0.1*I242</f>
        <v>0.12</v>
      </c>
      <c r="K243" s="74" t="s">
        <v>123</v>
      </c>
      <c r="L243" s="78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97">
        <f>AW243/DB!$B$23</f>
        <v>1.1103614457831325E-7</v>
      </c>
      <c r="BA243" s="297">
        <f>AX243/DB!$B$23</f>
        <v>1.1103614457831325E-7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9" t="s">
        <v>734</v>
      </c>
      <c r="D244" s="9" t="s">
        <v>132</v>
      </c>
      <c r="E244" s="67">
        <f>E242</f>
        <v>1E-4</v>
      </c>
      <c r="F244" s="68">
        <f>F242</f>
        <v>4</v>
      </c>
      <c r="G244" s="8">
        <v>7.6799999999999993E-2</v>
      </c>
      <c r="H244" s="10">
        <f>E244*F244*G244</f>
        <v>3.0719999999999997E-5</v>
      </c>
      <c r="I244" s="62">
        <f>I242</f>
        <v>1.2</v>
      </c>
      <c r="J244" s="69">
        <f>I242</f>
        <v>1.2</v>
      </c>
      <c r="K244" s="74" t="s">
        <v>124</v>
      </c>
      <c r="L244" s="78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97">
        <f>AW244/DB!$B$23</f>
        <v>0</v>
      </c>
      <c r="BA244" s="297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9" t="s">
        <v>735</v>
      </c>
      <c r="D245" s="9" t="s">
        <v>26</v>
      </c>
      <c r="E245" s="67">
        <f>E242</f>
        <v>1E-4</v>
      </c>
      <c r="F245" s="68">
        <f>F242</f>
        <v>4</v>
      </c>
      <c r="G245" s="8">
        <v>0.60799999999999998</v>
      </c>
      <c r="H245" s="10">
        <f t="shared" si="229"/>
        <v>2.432E-4</v>
      </c>
      <c r="I245" s="62">
        <f>I242</f>
        <v>1.2</v>
      </c>
      <c r="J245" s="71">
        <v>0</v>
      </c>
      <c r="K245" s="74" t="s">
        <v>126</v>
      </c>
      <c r="L245" s="78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97">
        <f>AW245/DB!$B$23</f>
        <v>0</v>
      </c>
      <c r="BA245" s="297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9" t="s">
        <v>736</v>
      </c>
      <c r="D246" s="9" t="s">
        <v>134</v>
      </c>
      <c r="E246" s="66">
        <v>4.4000000000000003E-3</v>
      </c>
      <c r="F246" s="68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2">
        <f>0.15*I242</f>
        <v>0.18</v>
      </c>
      <c r="J246" s="69">
        <f>I246</f>
        <v>0.18</v>
      </c>
      <c r="K246" s="74" t="s">
        <v>127</v>
      </c>
      <c r="L246" s="78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97">
        <f>AW246/DB!$B$23</f>
        <v>0</v>
      </c>
      <c r="BA246" s="297">
        <f>AX246/DB!$B$23</f>
        <v>1.4843373493975907E-6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9" t="s">
        <v>737</v>
      </c>
      <c r="D247" s="9" t="s">
        <v>136</v>
      </c>
      <c r="E247" s="67">
        <f>E246</f>
        <v>4.4000000000000003E-3</v>
      </c>
      <c r="F247" s="68">
        <f t="shared" si="236"/>
        <v>4</v>
      </c>
      <c r="G247" s="8">
        <v>8.3000000000000001E-3</v>
      </c>
      <c r="H247" s="10">
        <f>E247*F247*G247</f>
        <v>1.4608000000000001E-4</v>
      </c>
      <c r="I247" s="62">
        <f>I246</f>
        <v>0.18</v>
      </c>
      <c r="J247" s="69">
        <f>J243*0.15</f>
        <v>1.7999999999999999E-2</v>
      </c>
      <c r="K247" s="73" t="s">
        <v>138</v>
      </c>
      <c r="L247" s="130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97">
        <f>AW247/DB!$B$23</f>
        <v>0</v>
      </c>
      <c r="BA247" s="297">
        <f>AX247/DB!$B$23</f>
        <v>1.7600000000000001E-7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9" t="s">
        <v>738</v>
      </c>
      <c r="D248" s="9" t="s">
        <v>112</v>
      </c>
      <c r="E248" s="67">
        <f>E246</f>
        <v>4.4000000000000003E-3</v>
      </c>
      <c r="F248" s="68">
        <f t="shared" si="236"/>
        <v>4</v>
      </c>
      <c r="G248" s="8">
        <v>2.64E-2</v>
      </c>
      <c r="H248" s="10">
        <f t="shared" si="229"/>
        <v>4.6464000000000005E-4</v>
      </c>
      <c r="I248" s="62">
        <f>0.15*I242</f>
        <v>0.18</v>
      </c>
      <c r="J248" s="69">
        <f>J244*0.15</f>
        <v>0.18</v>
      </c>
      <c r="K248" s="74"/>
      <c r="L248" s="78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97">
        <f>AW248/DB!$B$23</f>
        <v>0</v>
      </c>
      <c r="BA248" s="297">
        <f>AX248/DB!$B$23</f>
        <v>5.5980722891566272E-7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9" t="s">
        <v>739</v>
      </c>
      <c r="D249" s="9" t="s">
        <v>27</v>
      </c>
      <c r="E249" s="67">
        <f>E246</f>
        <v>4.4000000000000003E-3</v>
      </c>
      <c r="F249" s="68">
        <f>F242</f>
        <v>4</v>
      </c>
      <c r="G249" s="8">
        <v>0.93030000000000002</v>
      </c>
      <c r="H249" s="10">
        <f t="shared" si="229"/>
        <v>1.637328E-2</v>
      </c>
      <c r="I249" s="62">
        <f>0.15*I242</f>
        <v>0.18</v>
      </c>
      <c r="J249" s="71">
        <v>0</v>
      </c>
      <c r="K249" s="75"/>
      <c r="L249" s="76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97">
        <f>AW249/DB!$B$23</f>
        <v>0</v>
      </c>
      <c r="BA249" s="297">
        <f>AX249/DB!$B$23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346" customFormat="1" ht="15" thickBot="1" x14ac:dyDescent="0.35">
      <c r="A252" s="336" t="s">
        <v>18</v>
      </c>
      <c r="B252" s="337" t="s">
        <v>898</v>
      </c>
      <c r="C252" s="338" t="s">
        <v>106</v>
      </c>
      <c r="D252" s="339" t="s">
        <v>25</v>
      </c>
      <c r="E252" s="340">
        <v>1.0000000000000001E-5</v>
      </c>
      <c r="F252" s="337">
        <v>1</v>
      </c>
      <c r="G252" s="336">
        <v>0.2</v>
      </c>
      <c r="H252" s="341">
        <f t="shared" ref="H252:H257" si="237">E252*F252*G252</f>
        <v>2.0000000000000003E-6</v>
      </c>
      <c r="I252" s="342">
        <v>8.75</v>
      </c>
      <c r="J252" s="343">
        <f>I252</f>
        <v>8.75</v>
      </c>
      <c r="K252" s="344" t="s">
        <v>122</v>
      </c>
      <c r="L252" s="345">
        <v>300</v>
      </c>
      <c r="M252" s="346" t="str">
        <f t="shared" ref="M252:N257" si="238">A252</f>
        <v>С1</v>
      </c>
      <c r="N252" s="346" t="str">
        <f t="shared" si="238"/>
        <v>Трубопровод ЛВЖ_откр</v>
      </c>
      <c r="O252" s="346" t="str">
        <f t="shared" ref="O252:O257" si="239">D252</f>
        <v>Полное-пожар</v>
      </c>
      <c r="P252" s="346">
        <v>14</v>
      </c>
      <c r="Q252" s="346">
        <v>19.600000000000001</v>
      </c>
      <c r="R252" s="346">
        <v>28.4</v>
      </c>
      <c r="S252" s="346">
        <v>54.1</v>
      </c>
      <c r="T252" s="346" t="s">
        <v>46</v>
      </c>
      <c r="U252" s="346" t="s">
        <v>46</v>
      </c>
      <c r="V252" s="346" t="s">
        <v>46</v>
      </c>
      <c r="W252" s="346" t="s">
        <v>46</v>
      </c>
      <c r="X252" s="346" t="s">
        <v>46</v>
      </c>
      <c r="Y252" s="346" t="s">
        <v>46</v>
      </c>
      <c r="Z252" s="346" t="s">
        <v>46</v>
      </c>
      <c r="AA252" s="346" t="s">
        <v>46</v>
      </c>
      <c r="AB252" s="346" t="s">
        <v>46</v>
      </c>
      <c r="AC252" s="346" t="s">
        <v>46</v>
      </c>
      <c r="AD252" s="346" t="s">
        <v>46</v>
      </c>
      <c r="AE252" s="346" t="s">
        <v>46</v>
      </c>
      <c r="AF252" s="346" t="s">
        <v>46</v>
      </c>
      <c r="AG252" s="346" t="s">
        <v>46</v>
      </c>
      <c r="AH252" s="346" t="s">
        <v>46</v>
      </c>
      <c r="AI252" s="346" t="s">
        <v>46</v>
      </c>
      <c r="AJ252" s="347">
        <v>1</v>
      </c>
      <c r="AK252" s="347">
        <v>2</v>
      </c>
      <c r="AL252" s="348">
        <v>0.75</v>
      </c>
      <c r="AM252" s="348">
        <v>2.7E-2</v>
      </c>
      <c r="AN252" s="348">
        <v>3</v>
      </c>
      <c r="AQ252" s="349">
        <f>AM252*I252+AL252</f>
        <v>0.98624999999999996</v>
      </c>
      <c r="AR252" s="349">
        <f t="shared" ref="AR252:AR257" si="240">0.1*AQ252</f>
        <v>9.8625000000000004E-2</v>
      </c>
      <c r="AS252" s="350">
        <f t="shared" ref="AS252:AS257" si="241">AJ252*3+0.25*AK252</f>
        <v>3.5</v>
      </c>
      <c r="AT252" s="350">
        <f t="shared" ref="AT252:AT257" si="242">SUM(AQ252:AS252)/4</f>
        <v>1.1462187500000001</v>
      </c>
      <c r="AU252" s="349">
        <f>10068.2*J252*POWER(10,-6)</f>
        <v>8.8096750000000001E-2</v>
      </c>
      <c r="AV252" s="350">
        <f t="shared" ref="AV252:AV257" si="243">AU252+AT252+AS252+AR252+AQ252</f>
        <v>5.8191905000000004</v>
      </c>
      <c r="AW252" s="351">
        <f t="shared" ref="AW252:AW257" si="244">AJ252*H252</f>
        <v>2.0000000000000003E-6</v>
      </c>
      <c r="AX252" s="351">
        <f t="shared" ref="AX252:AX257" si="245">H252*AK252</f>
        <v>4.0000000000000007E-6</v>
      </c>
      <c r="AY252" s="351">
        <f t="shared" ref="AY252:AY257" si="246">H252*AV252</f>
        <v>1.1638381000000003E-5</v>
      </c>
      <c r="AZ252" s="352">
        <f>AW252/[1]DB!$B$23</f>
        <v>2.4096385542168678E-9</v>
      </c>
      <c r="BA252" s="352">
        <f>AX252/[1]DB!$B$23</f>
        <v>4.8192771084337357E-9</v>
      </c>
    </row>
    <row r="253" spans="1:53" s="346" customFormat="1" ht="15" thickBot="1" x14ac:dyDescent="0.35">
      <c r="A253" s="336" t="s">
        <v>19</v>
      </c>
      <c r="B253" s="336" t="str">
        <f>B252</f>
        <v>Трубопровод ЛВЖ_откр</v>
      </c>
      <c r="C253" s="338" t="s">
        <v>899</v>
      </c>
      <c r="D253" s="339" t="s">
        <v>900</v>
      </c>
      <c r="E253" s="353">
        <f>E252</f>
        <v>1.0000000000000001E-5</v>
      </c>
      <c r="F253" s="354">
        <f>F252</f>
        <v>1</v>
      </c>
      <c r="G253" s="336">
        <v>0.04</v>
      </c>
      <c r="H253" s="341">
        <f t="shared" si="237"/>
        <v>4.0000000000000003E-7</v>
      </c>
      <c r="I253" s="355">
        <f>I252</f>
        <v>8.75</v>
      </c>
      <c r="J253" s="356">
        <f>POWER(10,-6)*35*SQRT(100)*3600*L252/1000*0.1</f>
        <v>3.78E-2</v>
      </c>
      <c r="K253" s="344" t="s">
        <v>123</v>
      </c>
      <c r="L253" s="345">
        <v>0</v>
      </c>
      <c r="M253" s="346" t="str">
        <f t="shared" si="238"/>
        <v>С2</v>
      </c>
      <c r="N253" s="346" t="str">
        <f t="shared" si="238"/>
        <v>Трубопровод ЛВЖ_откр</v>
      </c>
      <c r="O253" s="346" t="str">
        <f t="shared" si="239"/>
        <v>Полное-пожар-вспышка</v>
      </c>
      <c r="P253" s="346" t="s">
        <v>46</v>
      </c>
      <c r="Q253" s="346" t="s">
        <v>46</v>
      </c>
      <c r="R253" s="346" t="s">
        <v>46</v>
      </c>
      <c r="S253" s="346" t="s">
        <v>46</v>
      </c>
      <c r="T253" s="346" t="s">
        <v>46</v>
      </c>
      <c r="U253" s="346" t="s">
        <v>46</v>
      </c>
      <c r="V253" s="346" t="s">
        <v>46</v>
      </c>
      <c r="W253" s="346" t="s">
        <v>46</v>
      </c>
      <c r="X253" s="346" t="s">
        <v>46</v>
      </c>
      <c r="Y253" s="346" t="s">
        <v>46</v>
      </c>
      <c r="Z253" s="346" t="s">
        <v>46</v>
      </c>
      <c r="AA253" s="346">
        <v>11.37</v>
      </c>
      <c r="AB253" s="346">
        <v>13.64</v>
      </c>
      <c r="AC253" s="346" t="s">
        <v>46</v>
      </c>
      <c r="AD253" s="346" t="s">
        <v>46</v>
      </c>
      <c r="AE253" s="346" t="s">
        <v>46</v>
      </c>
      <c r="AF253" s="346" t="s">
        <v>46</v>
      </c>
      <c r="AG253" s="346" t="s">
        <v>46</v>
      </c>
      <c r="AH253" s="346" t="s">
        <v>46</v>
      </c>
      <c r="AI253" s="346" t="s">
        <v>46</v>
      </c>
      <c r="AJ253" s="347">
        <v>1</v>
      </c>
      <c r="AK253" s="347">
        <v>2</v>
      </c>
      <c r="AL253" s="346">
        <f>AL252</f>
        <v>0.75</v>
      </c>
      <c r="AM253" s="346">
        <f>AM252</f>
        <v>2.7E-2</v>
      </c>
      <c r="AN253" s="346">
        <f>AN252</f>
        <v>3</v>
      </c>
      <c r="AQ253" s="349">
        <f>AM253*I253+AL253</f>
        <v>0.98624999999999996</v>
      </c>
      <c r="AR253" s="349">
        <f t="shared" si="240"/>
        <v>9.8625000000000004E-2</v>
      </c>
      <c r="AS253" s="350">
        <f t="shared" si="241"/>
        <v>3.5</v>
      </c>
      <c r="AT253" s="350">
        <f t="shared" si="242"/>
        <v>1.1462187500000001</v>
      </c>
      <c r="AU253" s="349">
        <f>10068.2*J253*POWER(10,-6)*10</f>
        <v>3.8057796000000002E-3</v>
      </c>
      <c r="AV253" s="350">
        <f t="shared" si="243"/>
        <v>5.7348995295999998</v>
      </c>
      <c r="AW253" s="351">
        <f t="shared" si="244"/>
        <v>4.0000000000000003E-7</v>
      </c>
      <c r="AX253" s="351">
        <f t="shared" si="245"/>
        <v>8.0000000000000007E-7</v>
      </c>
      <c r="AY253" s="351">
        <f t="shared" si="246"/>
        <v>2.29395981184E-6</v>
      </c>
      <c r="AZ253" s="352">
        <f>AW253/[1]DB!$B$23</f>
        <v>4.8192771084337355E-10</v>
      </c>
      <c r="BA253" s="352">
        <f>AX253/[1]DB!$B$23</f>
        <v>9.6385542168674709E-10</v>
      </c>
    </row>
    <row r="254" spans="1:53" s="346" customFormat="1" x14ac:dyDescent="0.3">
      <c r="A254" s="336" t="s">
        <v>20</v>
      </c>
      <c r="B254" s="336" t="str">
        <f>B252</f>
        <v>Трубопровод ЛВЖ_откр</v>
      </c>
      <c r="C254" s="338" t="s">
        <v>108</v>
      </c>
      <c r="D254" s="339" t="s">
        <v>26</v>
      </c>
      <c r="E254" s="353">
        <f>E252</f>
        <v>1.0000000000000001E-5</v>
      </c>
      <c r="F254" s="354">
        <f>F252</f>
        <v>1</v>
      </c>
      <c r="G254" s="336">
        <v>0.76</v>
      </c>
      <c r="H254" s="341">
        <f t="shared" si="237"/>
        <v>7.6000000000000009E-6</v>
      </c>
      <c r="I254" s="355">
        <f>I252</f>
        <v>8.75</v>
      </c>
      <c r="J254" s="357">
        <v>0</v>
      </c>
      <c r="K254" s="344" t="s">
        <v>124</v>
      </c>
      <c r="L254" s="345">
        <v>0</v>
      </c>
      <c r="M254" s="346" t="str">
        <f t="shared" si="238"/>
        <v>С3</v>
      </c>
      <c r="N254" s="346" t="str">
        <f t="shared" si="238"/>
        <v>Трубопровод ЛВЖ_откр</v>
      </c>
      <c r="O254" s="346" t="str">
        <f t="shared" si="239"/>
        <v>Полное-ликвидация</v>
      </c>
      <c r="P254" s="346" t="s">
        <v>46</v>
      </c>
      <c r="Q254" s="346" t="s">
        <v>46</v>
      </c>
      <c r="R254" s="346" t="s">
        <v>46</v>
      </c>
      <c r="S254" s="346" t="s">
        <v>46</v>
      </c>
      <c r="T254" s="346" t="s">
        <v>46</v>
      </c>
      <c r="U254" s="346" t="s">
        <v>46</v>
      </c>
      <c r="V254" s="346" t="s">
        <v>46</v>
      </c>
      <c r="W254" s="346" t="s">
        <v>46</v>
      </c>
      <c r="X254" s="346" t="s">
        <v>46</v>
      </c>
      <c r="Y254" s="346" t="s">
        <v>46</v>
      </c>
      <c r="Z254" s="346" t="s">
        <v>46</v>
      </c>
      <c r="AA254" s="346" t="s">
        <v>46</v>
      </c>
      <c r="AB254" s="346" t="s">
        <v>46</v>
      </c>
      <c r="AC254" s="346" t="s">
        <v>46</v>
      </c>
      <c r="AD254" s="346" t="s">
        <v>46</v>
      </c>
      <c r="AE254" s="346" t="s">
        <v>46</v>
      </c>
      <c r="AF254" s="346" t="s">
        <v>46</v>
      </c>
      <c r="AG254" s="346" t="s">
        <v>46</v>
      </c>
      <c r="AH254" s="346" t="s">
        <v>46</v>
      </c>
      <c r="AI254" s="346" t="s">
        <v>46</v>
      </c>
      <c r="AJ254" s="346">
        <v>0</v>
      </c>
      <c r="AK254" s="346">
        <v>0</v>
      </c>
      <c r="AL254" s="346">
        <f>AL252</f>
        <v>0.75</v>
      </c>
      <c r="AM254" s="346">
        <f>AM252</f>
        <v>2.7E-2</v>
      </c>
      <c r="AN254" s="346">
        <f>AN252</f>
        <v>3</v>
      </c>
      <c r="AQ254" s="349">
        <f>AM254*I254*0.1+AL254</f>
        <v>0.77362500000000001</v>
      </c>
      <c r="AR254" s="349">
        <f t="shared" si="240"/>
        <v>7.7362500000000001E-2</v>
      </c>
      <c r="AS254" s="350">
        <f t="shared" si="241"/>
        <v>0</v>
      </c>
      <c r="AT254" s="350">
        <f t="shared" si="242"/>
        <v>0.212746875</v>
      </c>
      <c r="AU254" s="349">
        <f>1333*J253*POWER(10,-6)</f>
        <v>5.0387399999999998E-5</v>
      </c>
      <c r="AV254" s="350">
        <f t="shared" si="243"/>
        <v>1.0637847624000001</v>
      </c>
      <c r="AW254" s="351">
        <f t="shared" si="244"/>
        <v>0</v>
      </c>
      <c r="AX254" s="351">
        <f t="shared" si="245"/>
        <v>0</v>
      </c>
      <c r="AY254" s="351">
        <f t="shared" si="246"/>
        <v>8.0847641942400021E-6</v>
      </c>
      <c r="AZ254" s="352">
        <f>AW254/[1]DB!$B$23</f>
        <v>0</v>
      </c>
      <c r="BA254" s="352">
        <f>AX254/[1]DB!$B$23</f>
        <v>0</v>
      </c>
    </row>
    <row r="255" spans="1:53" s="346" customFormat="1" x14ac:dyDescent="0.3">
      <c r="A255" s="336" t="s">
        <v>21</v>
      </c>
      <c r="B255" s="336" t="str">
        <f>B252</f>
        <v>Трубопровод ЛВЖ_откр</v>
      </c>
      <c r="C255" s="338" t="s">
        <v>109</v>
      </c>
      <c r="D255" s="339" t="s">
        <v>47</v>
      </c>
      <c r="E255" s="340">
        <v>1E-4</v>
      </c>
      <c r="F255" s="354">
        <f>F252</f>
        <v>1</v>
      </c>
      <c r="G255" s="336">
        <v>0.2</v>
      </c>
      <c r="H255" s="341">
        <f t="shared" si="237"/>
        <v>2.0000000000000002E-5</v>
      </c>
      <c r="I255" s="355">
        <f>0.15*I252</f>
        <v>1.3125</v>
      </c>
      <c r="J255" s="343">
        <f>I255</f>
        <v>1.3125</v>
      </c>
      <c r="K255" s="358" t="s">
        <v>126</v>
      </c>
      <c r="L255" s="359">
        <v>45390</v>
      </c>
      <c r="M255" s="346" t="str">
        <f t="shared" si="238"/>
        <v>С4</v>
      </c>
      <c r="N255" s="346" t="str">
        <f t="shared" si="238"/>
        <v>Трубопровод ЛВЖ_откр</v>
      </c>
      <c r="O255" s="346" t="str">
        <f t="shared" si="239"/>
        <v>Частичное-пожар</v>
      </c>
      <c r="P255" s="346">
        <v>5.2</v>
      </c>
      <c r="Q255" s="346">
        <v>7.5</v>
      </c>
      <c r="R255" s="346">
        <v>11.1</v>
      </c>
      <c r="S255" s="346">
        <v>21.3</v>
      </c>
      <c r="T255" s="346" t="s">
        <v>46</v>
      </c>
      <c r="U255" s="346" t="s">
        <v>46</v>
      </c>
      <c r="V255" s="346" t="s">
        <v>46</v>
      </c>
      <c r="W255" s="346" t="s">
        <v>46</v>
      </c>
      <c r="X255" s="346" t="s">
        <v>46</v>
      </c>
      <c r="Y255" s="346" t="s">
        <v>46</v>
      </c>
      <c r="Z255" s="346" t="s">
        <v>46</v>
      </c>
      <c r="AA255" s="346" t="s">
        <v>46</v>
      </c>
      <c r="AB255" s="346" t="s">
        <v>46</v>
      </c>
      <c r="AC255" s="346" t="s">
        <v>46</v>
      </c>
      <c r="AD255" s="346" t="s">
        <v>46</v>
      </c>
      <c r="AE255" s="346" t="s">
        <v>46</v>
      </c>
      <c r="AF255" s="346" t="s">
        <v>46</v>
      </c>
      <c r="AG255" s="346" t="s">
        <v>46</v>
      </c>
      <c r="AH255" s="346" t="s">
        <v>46</v>
      </c>
      <c r="AI255" s="346" t="s">
        <v>46</v>
      </c>
      <c r="AJ255" s="346">
        <v>0</v>
      </c>
      <c r="AK255" s="346">
        <v>2</v>
      </c>
      <c r="AL255" s="346">
        <f>0.1*$AL$2</f>
        <v>7.5000000000000011E-2</v>
      </c>
      <c r="AM255" s="346">
        <f>AM252</f>
        <v>2.7E-2</v>
      </c>
      <c r="AN255" s="346">
        <f>ROUNDUP(AN252/3,0)</f>
        <v>1</v>
      </c>
      <c r="AQ255" s="349">
        <f>AM255*I255+AL255</f>
        <v>0.11043750000000001</v>
      </c>
      <c r="AR255" s="349">
        <f t="shared" si="240"/>
        <v>1.1043750000000001E-2</v>
      </c>
      <c r="AS255" s="350">
        <f t="shared" si="241"/>
        <v>0.5</v>
      </c>
      <c r="AT255" s="350">
        <f t="shared" si="242"/>
        <v>0.1553703125</v>
      </c>
      <c r="AU255" s="349">
        <f>10068.2*J255*POWER(10,-6)</f>
        <v>1.3214512500000001E-2</v>
      </c>
      <c r="AV255" s="350">
        <f t="shared" si="243"/>
        <v>0.79006607499999992</v>
      </c>
      <c r="AW255" s="351">
        <f t="shared" si="244"/>
        <v>0</v>
      </c>
      <c r="AX255" s="351">
        <f t="shared" si="245"/>
        <v>4.0000000000000003E-5</v>
      </c>
      <c r="AY255" s="351">
        <f t="shared" si="246"/>
        <v>1.5801321499999999E-5</v>
      </c>
      <c r="AZ255" s="352">
        <f>AW255/[1]DB!$B$23</f>
        <v>0</v>
      </c>
      <c r="BA255" s="352">
        <f>AX255/[1]DB!$B$23</f>
        <v>4.8192771084337353E-8</v>
      </c>
    </row>
    <row r="256" spans="1:53" s="346" customFormat="1" x14ac:dyDescent="0.3">
      <c r="A256" s="336" t="s">
        <v>22</v>
      </c>
      <c r="B256" s="336" t="str">
        <f>B252</f>
        <v>Трубопровод ЛВЖ_откр</v>
      </c>
      <c r="C256" s="338" t="s">
        <v>110</v>
      </c>
      <c r="D256" s="339" t="s">
        <v>112</v>
      </c>
      <c r="E256" s="353">
        <f>E255</f>
        <v>1E-4</v>
      </c>
      <c r="F256" s="354">
        <f>F252</f>
        <v>1</v>
      </c>
      <c r="G256" s="336">
        <v>0.04</v>
      </c>
      <c r="H256" s="341">
        <f t="shared" si="237"/>
        <v>4.0000000000000007E-6</v>
      </c>
      <c r="I256" s="355">
        <f>0.15*I252</f>
        <v>1.3125</v>
      </c>
      <c r="J256" s="343">
        <f>0.15*J253</f>
        <v>5.6699999999999997E-3</v>
      </c>
      <c r="K256" s="358" t="s">
        <v>127</v>
      </c>
      <c r="L256" s="359">
        <v>3</v>
      </c>
      <c r="M256" s="346" t="str">
        <f t="shared" si="238"/>
        <v>С5</v>
      </c>
      <c r="N256" s="346" t="str">
        <f t="shared" si="238"/>
        <v>Трубопровод ЛВЖ_откр</v>
      </c>
      <c r="O256" s="346" t="str">
        <f t="shared" si="239"/>
        <v>Частичное-пожар-вспышка</v>
      </c>
      <c r="P256" s="346" t="s">
        <v>46</v>
      </c>
      <c r="Q256" s="346" t="s">
        <v>46</v>
      </c>
      <c r="R256" s="346" t="s">
        <v>46</v>
      </c>
      <c r="S256" s="346" t="s">
        <v>46</v>
      </c>
      <c r="T256" s="346" t="s">
        <v>46</v>
      </c>
      <c r="U256" s="346" t="s">
        <v>46</v>
      </c>
      <c r="V256" s="346" t="s">
        <v>46</v>
      </c>
      <c r="W256" s="346" t="s">
        <v>46</v>
      </c>
      <c r="X256" s="346" t="s">
        <v>46</v>
      </c>
      <c r="Y256" s="346" t="s">
        <v>46</v>
      </c>
      <c r="Z256" s="346" t="s">
        <v>46</v>
      </c>
      <c r="AA256" s="346">
        <v>6.08</v>
      </c>
      <c r="AB256" s="346">
        <v>7.3</v>
      </c>
      <c r="AC256" s="346" t="s">
        <v>46</v>
      </c>
      <c r="AD256" s="346" t="s">
        <v>46</v>
      </c>
      <c r="AE256" s="346" t="s">
        <v>46</v>
      </c>
      <c r="AF256" s="346" t="s">
        <v>46</v>
      </c>
      <c r="AG256" s="346" t="s">
        <v>46</v>
      </c>
      <c r="AH256" s="346" t="s">
        <v>46</v>
      </c>
      <c r="AI256" s="346" t="s">
        <v>46</v>
      </c>
      <c r="AJ256" s="346">
        <v>0</v>
      </c>
      <c r="AK256" s="346">
        <v>1</v>
      </c>
      <c r="AL256" s="346">
        <f>0.1*$AL$2</f>
        <v>7.5000000000000011E-2</v>
      </c>
      <c r="AM256" s="346">
        <f>AM252</f>
        <v>2.7E-2</v>
      </c>
      <c r="AN256" s="346">
        <f>ROUNDUP(AN252/3,0)</f>
        <v>1</v>
      </c>
      <c r="AQ256" s="349">
        <f>AM256*I256+AL256</f>
        <v>0.11043750000000001</v>
      </c>
      <c r="AR256" s="349">
        <f t="shared" si="240"/>
        <v>1.1043750000000001E-2</v>
      </c>
      <c r="AS256" s="350">
        <f t="shared" si="241"/>
        <v>0.25</v>
      </c>
      <c r="AT256" s="350">
        <f t="shared" si="242"/>
        <v>9.2870312499999996E-2</v>
      </c>
      <c r="AU256" s="349">
        <f>10068.2*J256*POWER(10,-6)*10</f>
        <v>5.7086693999999999E-4</v>
      </c>
      <c r="AV256" s="350">
        <f t="shared" si="243"/>
        <v>0.46492242944000001</v>
      </c>
      <c r="AW256" s="351">
        <f t="shared" si="244"/>
        <v>0</v>
      </c>
      <c r="AX256" s="351">
        <f t="shared" si="245"/>
        <v>4.0000000000000007E-6</v>
      </c>
      <c r="AY256" s="351">
        <f t="shared" si="246"/>
        <v>1.8596897177600003E-6</v>
      </c>
      <c r="AZ256" s="352">
        <f>AW256/[1]DB!$B$23</f>
        <v>0</v>
      </c>
      <c r="BA256" s="352">
        <f>AX256/[1]DB!$B$23</f>
        <v>4.8192771084337357E-9</v>
      </c>
    </row>
    <row r="257" spans="1:53" s="346" customFormat="1" x14ac:dyDescent="0.3">
      <c r="A257" s="360" t="s">
        <v>23</v>
      </c>
      <c r="B257" s="360" t="str">
        <f>B252</f>
        <v>Трубопровод ЛВЖ_откр</v>
      </c>
      <c r="C257" s="361" t="s">
        <v>111</v>
      </c>
      <c r="D257" s="362" t="s">
        <v>27</v>
      </c>
      <c r="E257" s="363">
        <f>E255</f>
        <v>1E-4</v>
      </c>
      <c r="F257" s="364">
        <f>F252</f>
        <v>1</v>
      </c>
      <c r="G257" s="360">
        <v>0.76</v>
      </c>
      <c r="H257" s="365">
        <f t="shared" si="237"/>
        <v>7.6000000000000004E-5</v>
      </c>
      <c r="I257" s="366">
        <f>0.15*I252</f>
        <v>1.3125</v>
      </c>
      <c r="J257" s="367">
        <v>0</v>
      </c>
      <c r="K257" s="368" t="s">
        <v>138</v>
      </c>
      <c r="L257" s="369">
        <v>25</v>
      </c>
      <c r="M257" s="346" t="str">
        <f t="shared" si="238"/>
        <v>С6</v>
      </c>
      <c r="N257" s="346" t="str">
        <f t="shared" si="238"/>
        <v>Трубопровод ЛВЖ_откр</v>
      </c>
      <c r="O257" s="346" t="str">
        <f t="shared" si="239"/>
        <v>Частичное-ликвидация</v>
      </c>
      <c r="P257" s="346" t="s">
        <v>46</v>
      </c>
      <c r="Q257" s="346" t="s">
        <v>46</v>
      </c>
      <c r="R257" s="346" t="s">
        <v>46</v>
      </c>
      <c r="S257" s="346" t="s">
        <v>46</v>
      </c>
      <c r="T257" s="346" t="s">
        <v>46</v>
      </c>
      <c r="U257" s="346" t="s">
        <v>46</v>
      </c>
      <c r="V257" s="346" t="s">
        <v>46</v>
      </c>
      <c r="W257" s="346" t="s">
        <v>46</v>
      </c>
      <c r="X257" s="346" t="s">
        <v>46</v>
      </c>
      <c r="Y257" s="346" t="s">
        <v>46</v>
      </c>
      <c r="Z257" s="346" t="s">
        <v>46</v>
      </c>
      <c r="AA257" s="346" t="s">
        <v>46</v>
      </c>
      <c r="AB257" s="346" t="s">
        <v>46</v>
      </c>
      <c r="AC257" s="346" t="s">
        <v>46</v>
      </c>
      <c r="AD257" s="346" t="s">
        <v>46</v>
      </c>
      <c r="AE257" s="346" t="s">
        <v>46</v>
      </c>
      <c r="AF257" s="346" t="s">
        <v>46</v>
      </c>
      <c r="AG257" s="346" t="s">
        <v>46</v>
      </c>
      <c r="AH257" s="346" t="s">
        <v>46</v>
      </c>
      <c r="AI257" s="346" t="s">
        <v>46</v>
      </c>
      <c r="AJ257" s="346">
        <v>0</v>
      </c>
      <c r="AK257" s="346">
        <v>0</v>
      </c>
      <c r="AL257" s="346">
        <f>0.1*$AL$2</f>
        <v>7.5000000000000011E-2</v>
      </c>
      <c r="AM257" s="346">
        <f>AM252</f>
        <v>2.7E-2</v>
      </c>
      <c r="AN257" s="346">
        <f>ROUNDUP(AN252/3,0)</f>
        <v>1</v>
      </c>
      <c r="AQ257" s="349">
        <f>AM257*I257*0.1+AL257</f>
        <v>7.8543750000000009E-2</v>
      </c>
      <c r="AR257" s="349">
        <f t="shared" si="240"/>
        <v>7.854375000000002E-3</v>
      </c>
      <c r="AS257" s="350">
        <f t="shared" si="241"/>
        <v>0</v>
      </c>
      <c r="AT257" s="350">
        <f t="shared" si="242"/>
        <v>2.1599531250000002E-2</v>
      </c>
      <c r="AU257" s="349">
        <f>1333*J256*POWER(10,-6)</f>
        <v>7.5581099999999987E-6</v>
      </c>
      <c r="AV257" s="350">
        <f t="shared" si="243"/>
        <v>0.10800521436000002</v>
      </c>
      <c r="AW257" s="351">
        <f t="shared" si="244"/>
        <v>0</v>
      </c>
      <c r="AX257" s="351">
        <f t="shared" si="245"/>
        <v>0</v>
      </c>
      <c r="AY257" s="351">
        <f t="shared" si="246"/>
        <v>8.2083962913600011E-6</v>
      </c>
      <c r="AZ257" s="352">
        <f>AW257/[1]DB!$B$23</f>
        <v>0</v>
      </c>
      <c r="BA257" s="352">
        <f>AX257/[1]DB!$B$23</f>
        <v>0</v>
      </c>
    </row>
    <row r="258" spans="1:53" s="338" customFormat="1" x14ac:dyDescent="0.3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207" t="s">
        <v>468</v>
      </c>
      <c r="L258" s="295" t="s">
        <v>901</v>
      </c>
      <c r="M258" s="336"/>
      <c r="N258" s="336"/>
      <c r="O258" s="336"/>
      <c r="P258" s="336"/>
      <c r="Q258" s="336"/>
      <c r="R258" s="336"/>
      <c r="S258" s="336"/>
      <c r="T258" s="336"/>
      <c r="U258" s="336"/>
      <c r="V258" s="336"/>
      <c r="W258" s="336"/>
      <c r="X258" s="336"/>
      <c r="Y258" s="336"/>
      <c r="Z258" s="336"/>
      <c r="AA258" s="336"/>
      <c r="AB258" s="336"/>
      <c r="AC258" s="336"/>
      <c r="AD258" s="336"/>
      <c r="AE258" s="336"/>
      <c r="AF258" s="336"/>
      <c r="AG258" s="336"/>
      <c r="AH258" s="336"/>
      <c r="AI258" s="336"/>
      <c r="AJ258" s="336"/>
      <c r="AK258" s="336"/>
      <c r="AL258" s="336"/>
      <c r="AM258" s="336"/>
      <c r="AN258" s="336"/>
      <c r="AO258" s="336"/>
      <c r="AP258" s="336"/>
      <c r="AQ258" s="336"/>
      <c r="AR258" s="336"/>
      <c r="AS258" s="336"/>
      <c r="AT258" s="336"/>
      <c r="AU258" s="336"/>
      <c r="AV258" s="336"/>
      <c r="AW258" s="336"/>
      <c r="AX258" s="336"/>
      <c r="AY258" s="336"/>
    </row>
    <row r="259" spans="1:53" s="338" customFormat="1" x14ac:dyDescent="0.3">
      <c r="A259" s="336"/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36"/>
      <c r="Z259" s="336"/>
      <c r="AA259" s="336"/>
      <c r="AB259" s="336"/>
      <c r="AC259" s="336"/>
      <c r="AD259" s="336"/>
      <c r="AE259" s="336"/>
      <c r="AF259" s="336"/>
      <c r="AG259" s="336"/>
      <c r="AH259" s="336"/>
      <c r="AI259" s="336"/>
      <c r="AJ259" s="336"/>
      <c r="AK259" s="336"/>
      <c r="AL259" s="336"/>
      <c r="AM259" s="336"/>
      <c r="AN259" s="336"/>
      <c r="AO259" s="336"/>
      <c r="AP259" s="336"/>
      <c r="AQ259" s="336"/>
      <c r="AR259" s="336"/>
      <c r="AS259" s="336"/>
      <c r="AT259" s="336"/>
      <c r="AU259" s="336"/>
      <c r="AV259" s="336"/>
      <c r="AW259" s="336"/>
      <c r="AX259" s="336"/>
      <c r="AY259" s="336"/>
    </row>
    <row r="260" spans="1:53" s="338" customFormat="1" x14ac:dyDescent="0.3">
      <c r="A260" s="336"/>
      <c r="B260" s="336"/>
      <c r="C260" s="336"/>
      <c r="D260" s="336"/>
      <c r="E260" s="336"/>
      <c r="F260" s="336"/>
      <c r="G260" s="336"/>
      <c r="H260" s="336"/>
      <c r="I260" s="336"/>
      <c r="J260" s="336"/>
      <c r="K260" s="336"/>
      <c r="L260" s="336"/>
      <c r="M260" s="336"/>
      <c r="N260" s="336"/>
      <c r="O260" s="336"/>
      <c r="P260" s="336"/>
      <c r="Q260" s="336"/>
      <c r="R260" s="336"/>
      <c r="S260" s="336"/>
      <c r="T260" s="336"/>
      <c r="U260" s="336"/>
      <c r="V260" s="336"/>
      <c r="W260" s="336"/>
      <c r="X260" s="336"/>
      <c r="Y260" s="336"/>
      <c r="Z260" s="336"/>
      <c r="AA260" s="336"/>
      <c r="AB260" s="336"/>
      <c r="AC260" s="336"/>
      <c r="AD260" s="336"/>
      <c r="AE260" s="336"/>
      <c r="AF260" s="336"/>
      <c r="AG260" s="336"/>
      <c r="AH260" s="336"/>
      <c r="AI260" s="336"/>
      <c r="AJ260" s="336"/>
      <c r="AK260" s="336"/>
      <c r="AL260" s="336"/>
      <c r="AM260" s="336"/>
      <c r="AN260" s="336"/>
      <c r="AO260" s="336"/>
      <c r="AP260" s="336"/>
      <c r="AQ260" s="336"/>
      <c r="AR260" s="336"/>
      <c r="AS260" s="336"/>
      <c r="AT260" s="336"/>
      <c r="AU260" s="336"/>
      <c r="AV260" s="336"/>
      <c r="AW260" s="336"/>
      <c r="AX260" s="336"/>
      <c r="AY260" s="3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25" t="s">
        <v>59</v>
      </c>
      <c r="B1" s="326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27" t="s">
        <v>72</v>
      </c>
      <c r="F11" s="328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329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331" t="s">
        <v>327</v>
      </c>
      <c r="H1" s="216" t="s">
        <v>328</v>
      </c>
    </row>
    <row r="2" spans="1:8" ht="15" thickBot="1" x14ac:dyDescent="0.35">
      <c r="A2" s="330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332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2025-04-08T03:17:38Z</dcterms:modified>
</cp:coreProperties>
</file>