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V222 Auswertung - Versuch 222 _" sheetId="1" r:id="rId4"/>
  </sheets>
</workbook>
</file>

<file path=xl/sharedStrings.xml><?xml version="1.0" encoding="utf-8"?>
<sst xmlns="http://schemas.openxmlformats.org/spreadsheetml/2006/main" uniqueCount="119">
  <si>
    <t>Versuch 222 : Heißluftmotor - Auswertung</t>
  </si>
  <si>
    <t>Teil 1: Betrieb als Kältemaschine</t>
  </si>
  <si>
    <t>Konstanten</t>
  </si>
  <si>
    <t>Volumenstrom dV</t>
  </si>
  <si>
    <t>Name der Größe</t>
  </si>
  <si>
    <t>Wert</t>
  </si>
  <si>
    <t>Fehler</t>
  </si>
  <si>
    <t>Einheit</t>
  </si>
  <si>
    <t>#Messung</t>
  </si>
  <si>
    <t>Messwert</t>
  </si>
  <si>
    <t>c_wasser</t>
  </si>
  <si>
    <t>-</t>
  </si>
  <si>
    <t>J/(kg K)</t>
  </si>
  <si>
    <t>ΔV1</t>
  </si>
  <si>
    <t>ml/min</t>
  </si>
  <si>
    <t>rho_wasser</t>
  </si>
  <si>
    <t>kg/m^3</t>
  </si>
  <si>
    <t>ΔV2</t>
  </si>
  <si>
    <t>ΔV3</t>
  </si>
  <si>
    <t>Berechnung Q2</t>
  </si>
  <si>
    <t>ΔV4</t>
  </si>
  <si>
    <t>ΔV5</t>
  </si>
  <si>
    <t>Heizspannung U_H</t>
  </si>
  <si>
    <t>V</t>
  </si>
  <si>
    <t>Fehler systematisch</t>
  </si>
  <si>
    <t>Fehler statistisch</t>
  </si>
  <si>
    <t>Heizstrom I_H</t>
  </si>
  <si>
    <t>A</t>
  </si>
  <si>
    <t>Mittelwert</t>
  </si>
  <si>
    <t>Drehzahl Motor f</t>
  </si>
  <si>
    <t>1/min</t>
  </si>
  <si>
    <t>Berechnung Q1</t>
  </si>
  <si>
    <t>Wärmemenge Q2 = W_H</t>
  </si>
  <si>
    <t>60*J</t>
  </si>
  <si>
    <t>Größe</t>
  </si>
  <si>
    <t>J</t>
  </si>
  <si>
    <t>T_zu</t>
  </si>
  <si>
    <t>K</t>
  </si>
  <si>
    <t>Leistung Kältemaschine P</t>
  </si>
  <si>
    <t>W</t>
  </si>
  <si>
    <t>ΔT</t>
  </si>
  <si>
    <t>Berechnung W_M</t>
  </si>
  <si>
    <t>Motorspannung U_M</t>
  </si>
  <si>
    <t>Wärmeabgabe Q1</t>
  </si>
  <si>
    <t>Motorstrom I_M</t>
  </si>
  <si>
    <t xml:space="preserve">Energiebilanz  </t>
  </si>
  <si>
    <t>Σ= Q1+Q2+W_M</t>
  </si>
  <si>
    <t>Summe</t>
  </si>
  <si>
    <t>mechanische Arbeit W_M</t>
  </si>
  <si>
    <t>Energiebilanz Σ</t>
  </si>
  <si>
    <t>Teil 2: Betrieb als Kältemaschine &amp; Wärmepumpe</t>
  </si>
  <si>
    <t>Vergleich mit Teil 1</t>
  </si>
  <si>
    <t>Differenz P-P_k [W]</t>
  </si>
  <si>
    <t>∆Differenz [W]</t>
  </si>
  <si>
    <t>σ-Intervall</t>
  </si>
  <si>
    <t>spez. Schmelzwärme λ                  = -Gefrierwärme</t>
  </si>
  <si>
    <t>J/kg</t>
  </si>
  <si>
    <t>Analyse Diagramm und Messwert</t>
  </si>
  <si>
    <t>Gefrierzeit des Wassers T [s]</t>
  </si>
  <si>
    <t>Fehler Zeit [s]</t>
  </si>
  <si>
    <t>Wassermenge [ml]</t>
  </si>
  <si>
    <t>Fehler Wassermenge [ml]</t>
  </si>
  <si>
    <t>Bestimmung der Kälteleistung</t>
  </si>
  <si>
    <t>Masse des Wassers m [kg]</t>
  </si>
  <si>
    <t>Fehler Masse [kg]</t>
  </si>
  <si>
    <t>Kälteleistung P_k = λ * m / T [W]</t>
  </si>
  <si>
    <t>Fehler P_k [W]</t>
  </si>
  <si>
    <t>Teil 3.1: Betrieb als Wärmekraftmaschine - Leerlaufmessung</t>
  </si>
  <si>
    <t>gemessene Größen - Einzelwerte</t>
  </si>
  <si>
    <t>T_ab</t>
  </si>
  <si>
    <t>Drehzahlen Motor f</t>
  </si>
  <si>
    <t>f_1</t>
  </si>
  <si>
    <t>Flächen pV-Diagramm</t>
  </si>
  <si>
    <t>f_2</t>
  </si>
  <si>
    <t>f_3</t>
  </si>
  <si>
    <t>A_1</t>
  </si>
  <si>
    <t>hPa*cm^3</t>
  </si>
  <si>
    <t>A_2</t>
  </si>
  <si>
    <t>A_3</t>
  </si>
  <si>
    <t xml:space="preserve">                                                   gesuchte Größen</t>
  </si>
  <si>
    <t>elektr. Leistung P_el</t>
  </si>
  <si>
    <t>zugeführte Wärme Q_el</t>
  </si>
  <si>
    <t>abgeführte Leistung P_ab</t>
  </si>
  <si>
    <t>abgeführte Wärme Q_ab</t>
  </si>
  <si>
    <t>Leistung aus pV-Diagr. P_pV</t>
  </si>
  <si>
    <t>Wärme pV-Diagr. Q_pV = W_pV</t>
  </si>
  <si>
    <t>therm. Wirkungsgrad η_th</t>
  </si>
  <si>
    <t>dimensionslos</t>
  </si>
  <si>
    <t xml:space="preserve">                                       Energiebilanz Σ = Q_el+Q_ab+W_pV+Q_V = 0</t>
  </si>
  <si>
    <t>Fehler         statistisch</t>
  </si>
  <si>
    <t>Verlustwärme Q_V                        Q_V = (-Q_el) - Q_ab - W_pV</t>
  </si>
  <si>
    <t>Teil 3.2: Betrieb als Wärmekraftmaschine - Drehmomentsmessung</t>
  </si>
  <si>
    <t>Messwerte</t>
  </si>
  <si>
    <t>Kraft F  [N]</t>
  </si>
  <si>
    <t>Fehler Kraft ΔF [N]</t>
  </si>
  <si>
    <t>Fläche pV-Diagr. A [J]</t>
  </si>
  <si>
    <t>Fehler Fläche ΔA [J]</t>
  </si>
  <si>
    <t>Drehzahl f [1/min]</t>
  </si>
  <si>
    <t>Fehler Δf [1/min]</t>
  </si>
  <si>
    <t xml:space="preserve">Heizstrom I_H [A] </t>
  </si>
  <si>
    <t>Fehler ΔI_H [A]</t>
  </si>
  <si>
    <t>Heizspannung U_H [V]</t>
  </si>
  <si>
    <t>Fehler ΔU_H [V]</t>
  </si>
  <si>
    <r>
      <rPr>
        <b val="1"/>
        <sz val="10"/>
        <color indexed="8"/>
        <rFont val="Helvetica Neue"/>
      </rPr>
      <t xml:space="preserve">                           </t>
    </r>
    <r>
      <rPr>
        <b val="1"/>
        <sz val="11"/>
        <color indexed="8"/>
        <rFont val="Helvetica Neue"/>
      </rPr>
      <t xml:space="preserve"> Mittelwerte   </t>
    </r>
  </si>
  <si>
    <t>Mittelwert Fläche [J]</t>
  </si>
  <si>
    <t>Fehler systematisch [J]</t>
  </si>
  <si>
    <t>Fehler statistisch [J]</t>
  </si>
  <si>
    <t>Mittelwert Drehzahl [1/min]</t>
  </si>
  <si>
    <t>Fehler systematisch [1/min]</t>
  </si>
  <si>
    <t>Fehler statistisch 1/min]</t>
  </si>
  <si>
    <t>Länge Prony-Zaun [m]:</t>
  </si>
  <si>
    <t>F = 0,75N</t>
  </si>
  <si>
    <t>F = 0,60N</t>
  </si>
  <si>
    <t>mechanische Arbeit W_D = 2πL*F</t>
  </si>
  <si>
    <t xml:space="preserve">Wärme pV-Diagr.  W_pV </t>
  </si>
  <si>
    <t>mechanische Wärme Q_el</t>
  </si>
  <si>
    <t>eff. Wirkungsgrad η_eff</t>
  </si>
  <si>
    <t>F = 0,40N</t>
  </si>
  <si>
    <t>F = 0,22N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</si>
</sst>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9"/>
      <color indexed="8"/>
      <name val="Helvetica Neue"/>
    </font>
    <font>
      <b val="1"/>
      <sz val="10"/>
      <color indexed="8"/>
      <name val="Helvetica Neue"/>
    </font>
    <font>
      <b val="1"/>
      <sz val="14"/>
      <color indexed="11"/>
      <name val="Helvetica Neue"/>
    </font>
    <font>
      <b val="1"/>
      <sz val="11"/>
      <color indexed="8"/>
      <name val="Helvetica Neue"/>
    </font>
    <font>
      <sz val="14"/>
      <color indexed="13"/>
      <name val="Helvetica"/>
    </font>
    <font>
      <b val="1"/>
      <sz val="12"/>
      <color indexed="13"/>
      <name val="Helvetica"/>
    </font>
    <font>
      <b val="1"/>
      <sz val="12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37">
    <border>
      <left/>
      <right/>
      <top/>
      <bottom/>
      <diagonal/>
    </border>
    <border>
      <left/>
      <right/>
      <top/>
      <bottom style="thick">
        <color indexed="10"/>
      </bottom>
      <diagonal/>
    </border>
    <border>
      <left/>
      <right>
        <color indexed="8"/>
      </right>
      <top/>
      <bottom style="thick">
        <color indexed="10"/>
      </bottom>
      <diagonal/>
    </border>
    <border>
      <left>
        <color indexed="8"/>
      </left>
      <right/>
      <top/>
      <bottom style="thick">
        <color indexed="10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/>
      <top style="thick">
        <color indexed="10"/>
      </top>
      <bottom style="thick">
        <color indexed="8"/>
      </bottom>
      <diagonal/>
    </border>
    <border>
      <left/>
      <right/>
      <top style="thick">
        <color indexed="10"/>
      </top>
      <bottom style="thick">
        <color indexed="8"/>
      </bottom>
      <diagonal/>
    </border>
    <border>
      <left/>
      <right/>
      <top style="thick">
        <color indexed="10"/>
      </top>
      <bottom>
        <color indexed="8"/>
      </bottom>
      <diagonal/>
    </border>
    <border>
      <left/>
      <right>
        <color indexed="8"/>
      </right>
      <top style="thick">
        <color indexed="10"/>
      </top>
      <bottom style="thick"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ck">
        <color indexed="8"/>
      </right>
      <top>
        <color indexed="8"/>
      </top>
      <bottom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 style="thick">
        <color indexed="8"/>
      </left>
      <right/>
      <top style="thick">
        <color indexed="8"/>
      </top>
      <bottom>
        <color indexed="8"/>
      </bottom>
      <diagonal/>
    </border>
    <border>
      <left/>
      <right/>
      <top style="thick">
        <color indexed="8"/>
      </top>
      <bottom>
        <color indexed="8"/>
      </bottom>
      <diagonal/>
    </border>
    <border>
      <left/>
      <right style="thick">
        <color indexed="8"/>
      </right>
      <top style="thick">
        <color indexed="8"/>
      </top>
      <bottom>
        <color indexed="8"/>
      </bottom>
      <diagonal/>
    </border>
    <border>
      <left style="thick">
        <color indexed="8"/>
      </left>
      <right/>
      <top>
        <color indexed="8"/>
      </top>
      <bottom style="thick">
        <color indexed="8"/>
      </bottom>
      <diagonal/>
    </border>
    <border>
      <left/>
      <right/>
      <top>
        <color indexed="8"/>
      </top>
      <bottom style="thick">
        <color indexed="8"/>
      </bottom>
      <diagonal/>
    </border>
    <border>
      <left/>
      <right style="thick">
        <color indexed="8"/>
      </right>
      <top>
        <color indexed="8"/>
      </top>
      <bottom style="thick">
        <color indexed="8"/>
      </bottom>
      <diagonal/>
    </border>
    <border>
      <left style="thick">
        <color indexed="8"/>
      </left>
      <right/>
      <top>
        <color indexed="8"/>
      </top>
      <bottom>
        <color indexed="8"/>
      </bottom>
      <diagonal/>
    </border>
    <border>
      <left/>
      <right/>
      <top>
        <color indexed="8"/>
      </top>
      <bottom>
        <color indexed="8"/>
      </bottom>
      <diagonal/>
    </border>
    <border>
      <left/>
      <right style="thick"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/>
      <top style="thick">
        <color indexed="8"/>
      </top>
      <bottom>
        <color indexed="8"/>
      </bottom>
      <diagonal/>
    </border>
    <border>
      <left style="thick"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 style="thick">
        <color indexed="8"/>
      </right>
      <top>
        <color indexed="8"/>
      </top>
      <bottom/>
      <diagonal/>
    </border>
    <border>
      <left style="thick">
        <color indexed="8"/>
      </left>
      <right>
        <color indexed="8"/>
      </right>
      <top>
        <color indexed="8"/>
      </top>
      <bottom/>
      <diagonal/>
    </border>
    <border>
      <left>
        <color indexed="8"/>
      </left>
      <right style="thick">
        <color indexed="10"/>
      </right>
      <top>
        <color indexed="8"/>
      </top>
      <bottom/>
      <diagonal/>
    </border>
    <border>
      <left>
        <color indexed="8"/>
      </left>
      <right/>
      <top>
        <color indexed="8"/>
      </top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>
        <color indexed="8"/>
      </right>
      <top/>
      <bottom/>
      <diagonal/>
    </border>
    <border>
      <left>
        <color indexed="8"/>
      </left>
      <right style="thick">
        <color indexed="10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/>
      <right>
        <color indexed="8"/>
      </right>
      <top>
        <color indexed="8"/>
      </top>
      <bottom/>
      <diagonal/>
    </border>
    <border>
      <left/>
      <right>
        <color indexed="8"/>
      </right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 style="thick"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ck"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  <diagonal/>
    </border>
    <border>
      <left>
        <color indexed="8"/>
      </left>
      <right/>
      <top style="thick">
        <color indexed="8"/>
      </top>
      <bottom/>
      <diagonal/>
    </border>
    <border>
      <left>
        <color indexed="8"/>
      </left>
      <right/>
      <top/>
      <bottom style="thick">
        <color indexed="8"/>
      </bottom>
      <diagonal/>
    </border>
    <border>
      <left/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ck">
        <color indexed="14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8"/>
      </left>
      <right style="thick">
        <color indexed="14"/>
      </right>
      <top/>
      <bottom/>
      <diagonal/>
    </border>
    <border>
      <left style="thick">
        <color indexed="14"/>
      </left>
      <right>
        <color indexed="8"/>
      </right>
      <top style="thick">
        <color indexed="14"/>
      </top>
      <bottom style="thick">
        <color indexed="14"/>
      </bottom>
      <diagonal/>
    </border>
    <border>
      <left>
        <color indexed="8"/>
      </left>
      <right>
        <color indexed="8"/>
      </right>
      <top style="thick">
        <color indexed="14"/>
      </top>
      <bottom style="thick">
        <color indexed="14"/>
      </bottom>
      <diagonal/>
    </border>
    <border>
      <left>
        <color indexed="8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ck">
        <color indexed="14"/>
      </left>
      <right>
        <color indexed="8"/>
      </right>
      <top>
        <color indexed="8"/>
      </top>
      <bottom>
        <color indexed="8"/>
      </bottom>
      <diagonal/>
    </border>
    <border>
      <left/>
      <right/>
      <top style="thick">
        <color indexed="14"/>
      </top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  <diagonal/>
    </border>
    <border>
      <left>
        <color indexed="8"/>
      </left>
      <right/>
      <top style="thick">
        <color indexed="8"/>
      </top>
      <bottom style="thick">
        <color indexed="10"/>
      </bottom>
      <diagonal/>
    </border>
    <border>
      <left/>
      <right/>
      <top style="thick">
        <color indexed="8"/>
      </top>
      <bottom style="thick">
        <color indexed="10"/>
      </bottom>
      <diagonal/>
    </border>
    <border>
      <left/>
      <right/>
      <top>
        <color indexed="8"/>
      </top>
      <bottom style="thick">
        <color indexed="10"/>
      </bottom>
      <diagonal/>
    </border>
    <border>
      <left/>
      <right>
        <color indexed="8"/>
      </right>
      <top>
        <color indexed="8"/>
      </top>
      <bottom style="thick">
        <color indexed="10"/>
      </bottom>
      <diagonal/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  <diagonal/>
    </border>
    <border>
      <left>
        <color indexed="8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>
        <color indexed="8"/>
      </right>
      <top style="thick">
        <color indexed="10"/>
      </top>
      <bottom/>
      <diagonal/>
    </border>
    <border>
      <left>
        <color indexed="8"/>
      </left>
      <right>
        <color indexed="8"/>
      </right>
      <top style="thick">
        <color indexed="10"/>
      </top>
      <bottom/>
      <diagonal/>
    </border>
    <border>
      <left>
        <color indexed="8"/>
      </left>
      <right>
        <color indexed="8"/>
      </right>
      <top>
        <color indexed="8"/>
      </top>
      <bottom style="thick">
        <color indexed="10"/>
      </bottom>
      <diagonal/>
    </border>
    <border>
      <left>
        <color indexed="8"/>
      </left>
      <right>
        <color indexed="8"/>
      </right>
      <top/>
      <bottom style="thick">
        <color indexed="10"/>
      </bottom>
      <diagonal/>
    </border>
    <border>
      <left>
        <color indexed="8"/>
      </left>
      <right>
        <color indexed="8"/>
      </right>
      <top style="thick">
        <color indexed="10"/>
      </top>
      <bottom style="thick"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/>
      <diagonal/>
    </border>
    <border>
      <left style="thick">
        <color indexed="8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>
        <color indexed="8"/>
      </bottom>
      <diagonal/>
    </border>
    <border>
      <left/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>
        <color indexed="8"/>
      </left>
      <right/>
      <top>
        <color indexed="8"/>
      </top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10"/>
      </bottom>
      <diagonal/>
    </border>
    <border>
      <left/>
      <right>
        <color indexed="8"/>
      </right>
      <top>
        <color indexed="8"/>
      </top>
      <bottom style="thick"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/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left/>
      <right>
        <color indexed="8"/>
      </right>
      <top style="thick">
        <color indexed="8"/>
      </top>
      <bottom>
        <color indexed="8"/>
      </bottom>
      <diagonal/>
    </border>
    <border>
      <left/>
      <right>
        <color indexed="8"/>
      </right>
      <top style="thick">
        <color indexed="8"/>
      </top>
      <bottom/>
      <diagonal/>
    </border>
    <border>
      <left>
        <color indexed="8"/>
      </left>
      <right/>
      <top/>
      <bottom/>
      <diagonal/>
    </border>
    <border>
      <left>
        <color indexed="8"/>
      </left>
      <right/>
      <top/>
      <bottom style="thick">
        <color indexed="14"/>
      </bottom>
      <diagonal/>
    </border>
    <border>
      <left/>
      <right/>
      <top/>
      <bottom style="thick">
        <color indexed="14"/>
      </bottom>
      <diagonal/>
    </border>
    <border>
      <left/>
      <right>
        <color indexed="8"/>
      </right>
      <top/>
      <bottom style="thick">
        <color indexed="14"/>
      </bottom>
      <diagonal/>
    </border>
    <border>
      <left style="thick">
        <color indexed="10"/>
      </left>
      <right style="thick">
        <color indexed="14"/>
      </right>
      <top>
        <color indexed="8"/>
      </top>
      <bottom>
        <color indexed="8"/>
      </bottom>
      <diagonal/>
    </border>
    <border>
      <left style="thick">
        <color indexed="14"/>
      </left>
      <right/>
      <top style="thick">
        <color indexed="14"/>
      </top>
      <bottom style="thick">
        <color indexed="14"/>
      </bottom>
      <diagonal/>
    </border>
    <border>
      <left/>
      <right/>
      <top style="thick">
        <color indexed="14"/>
      </top>
      <bottom style="thick">
        <color indexed="14"/>
      </bottom>
      <diagonal/>
    </border>
    <border>
      <left/>
      <right>
        <color indexed="8"/>
      </right>
      <top style="thick">
        <color indexed="14"/>
      </top>
      <bottom style="thick">
        <color indexed="14"/>
      </bottom>
      <diagonal/>
    </border>
    <border>
      <left style="thick">
        <color indexed="14"/>
      </left>
      <right>
        <color indexed="8"/>
      </right>
      <top style="thick">
        <color indexed="14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4"/>
      </top>
      <bottom>
        <color indexed="8"/>
      </bottom>
      <diagonal/>
    </border>
    <border>
      <left>
        <color indexed="8"/>
      </left>
      <right style="thick">
        <color indexed="14"/>
      </right>
      <top style="thick">
        <color indexed="14"/>
      </top>
      <bottom>
        <color indexed="8"/>
      </bottom>
      <diagonal/>
    </border>
    <border>
      <left style="thick">
        <color indexed="14"/>
      </left>
      <right/>
      <top>
        <color indexed="8"/>
      </top>
      <bottom/>
      <diagonal/>
    </border>
    <border>
      <left>
        <color indexed="8"/>
      </left>
      <right style="thick">
        <color indexed="14"/>
      </right>
      <top>
        <color indexed="8"/>
      </top>
      <bottom>
        <color indexed="8"/>
      </bottom>
      <diagonal/>
    </border>
    <border>
      <left style="thick">
        <color indexed="14"/>
      </left>
      <right/>
      <top/>
      <bottom/>
      <diagonal/>
    </border>
    <border>
      <left style="thick">
        <color indexed="14"/>
      </left>
      <right/>
      <top/>
      <bottom style="thick">
        <color indexed="14"/>
      </bottom>
      <diagonal/>
    </border>
    <border>
      <left>
        <color indexed="8"/>
      </left>
      <right style="thick">
        <color indexed="14"/>
      </right>
      <top>
        <color indexed="8"/>
      </top>
      <bottom style="thick">
        <color indexed="14"/>
      </bottom>
      <diagonal/>
    </border>
    <border>
      <left>
        <color indexed="8"/>
      </left>
      <right/>
      <top style="thick">
        <color indexed="14"/>
      </top>
      <bottom/>
      <diagonal/>
    </border>
    <border>
      <left/>
      <right/>
      <top style="thick">
        <color indexed="14"/>
      </top>
      <bottom/>
      <diagonal/>
    </border>
    <border>
      <left/>
      <right>
        <color indexed="8"/>
      </right>
      <top style="thick">
        <color indexed="14"/>
      </top>
      <bottom/>
      <diagonal/>
    </border>
    <border>
      <left>
        <color indexed="8"/>
      </left>
      <right/>
      <top style="thick">
        <color indexed="14"/>
      </top>
      <bottom style="thick">
        <color indexed="10"/>
      </bottom>
      <diagonal/>
    </border>
    <border>
      <left/>
      <right/>
      <top style="thick">
        <color indexed="14"/>
      </top>
      <bottom style="thick">
        <color indexed="10"/>
      </bottom>
      <diagonal/>
    </border>
    <border>
      <left/>
      <right>
        <color indexed="8"/>
      </right>
      <top style="thick">
        <color indexed="14"/>
      </top>
      <bottom style="thick">
        <color indexed="10"/>
      </bottom>
      <diagonal/>
    </border>
    <border>
      <left>
        <color indexed="8"/>
      </left>
      <right>
        <color indexed="8"/>
      </right>
      <top style="thick">
        <color indexed="14"/>
      </top>
      <bottom style="thick">
        <color indexed="10"/>
      </bottom>
      <diagonal/>
    </border>
    <border>
      <left style="thick"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 style="thick">
        <color indexed="8"/>
      </left>
      <right style="thick">
        <color indexed="8"/>
      </right>
      <top>
        <color indexed="8"/>
      </top>
      <bottom style="thick">
        <color indexed="8"/>
      </bottom>
      <diagonal/>
    </border>
    <border>
      <left>
        <color indexed="8"/>
      </left>
      <right/>
      <top>
        <color indexed="8"/>
      </top>
      <bottom/>
      <diagonal/>
    </border>
    <border>
      <left/>
      <right/>
      <top style="thick">
        <color indexed="8"/>
      </top>
      <bottom style="thick">
        <color indexed="14"/>
      </bottom>
      <diagonal/>
    </border>
    <border>
      <left/>
      <right/>
      <top>
        <color indexed="8"/>
      </top>
      <bottom style="thick">
        <color indexed="14"/>
      </bottom>
      <diagonal/>
    </border>
    <border>
      <left/>
      <right style="thick">
        <color indexed="10"/>
      </right>
      <top>
        <color indexed="8"/>
      </top>
      <bottom>
        <color indexed="8"/>
      </bottom>
      <diagonal/>
    </border>
    <border>
      <left style="thick">
        <color indexed="14"/>
      </left>
      <right style="thick">
        <color indexed="10"/>
      </right>
      <top>
        <color indexed="8"/>
      </top>
      <bottom>
        <color indexed="8"/>
      </bottom>
      <diagonal/>
    </border>
    <border>
      <left style="thick">
        <color indexed="14"/>
      </left>
      <right>
        <color indexed="8"/>
      </right>
      <top>
        <color indexed="8"/>
      </top>
      <bottom style="thick">
        <color indexed="14"/>
      </bottom>
      <diagonal/>
    </border>
    <border>
      <left>
        <color indexed="8"/>
      </left>
      <right>
        <color indexed="8"/>
      </right>
      <top style="thick">
        <color indexed="14"/>
      </top>
      <bottom/>
      <diagonal/>
    </border>
    <border>
      <left>
        <color indexed="8"/>
      </left>
      <right/>
      <top>
        <color indexed="8"/>
      </top>
      <bottom style="thick">
        <color indexed="14"/>
      </bottom>
      <diagonal/>
    </border>
    <border>
      <left/>
      <right>
        <color indexed="8"/>
      </right>
      <top>
        <color indexed="8"/>
      </top>
      <bottom style="thick">
        <color indexed="14"/>
      </bottom>
      <diagonal/>
    </border>
    <border>
      <left>
        <color indexed="8"/>
      </left>
      <right/>
      <top style="thick">
        <color indexed="14"/>
      </top>
      <bottom>
        <color indexed="8"/>
      </bottom>
      <diagonal/>
    </border>
    <border>
      <left/>
      <right>
        <color indexed="8"/>
      </right>
      <top style="thick">
        <color indexed="14"/>
      </top>
      <bottom>
        <color indexed="8"/>
      </bottom>
      <diagonal/>
    </border>
    <border>
      <left>
        <color indexed="8"/>
      </left>
      <right/>
      <top>
        <color indexed="8"/>
      </top>
      <bottom style="thick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/>
    </xf>
    <xf numFmtId="0" fontId="3" fillId="2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vertical="top" wrapText="1"/>
    </xf>
    <xf numFmtId="0" fontId="5" fillId="2" borderId="4" applyNumberFormat="0" applyFont="1" applyFill="1" applyBorder="1" applyAlignment="1" applyProtection="0">
      <alignment horizontal="center" vertical="top" wrapText="1"/>
    </xf>
    <xf numFmtId="0" fontId="5" fillId="2" borderId="5" applyNumberFormat="0" applyFont="1" applyFill="1" applyBorder="1" applyAlignment="1" applyProtection="0">
      <alignment horizontal="center" vertical="top" wrapText="1"/>
    </xf>
    <xf numFmtId="49" fontId="5" fillId="2" borderId="6" applyNumberFormat="1" applyFont="1" applyFill="1" applyBorder="1" applyAlignment="1" applyProtection="0">
      <alignment horizontal="center" vertical="top" wrapText="1"/>
    </xf>
    <xf numFmtId="0" fontId="5" fillId="2" borderId="6" applyNumberFormat="0" applyFont="1" applyFill="1" applyBorder="1" applyAlignment="1" applyProtection="0">
      <alignment horizontal="center" vertical="top" wrapText="1"/>
    </xf>
    <xf numFmtId="0" fontId="5" fillId="2" borderId="7" applyNumberFormat="0" applyFont="1" applyFill="1" applyBorder="1" applyAlignment="1" applyProtection="0">
      <alignment horizontal="center" vertical="top" wrapText="1"/>
    </xf>
    <xf numFmtId="0" fontId="5" fillId="2" borderId="8" applyNumberFormat="0" applyFont="1" applyFill="1" applyBorder="1" applyAlignment="1" applyProtection="0">
      <alignment horizontal="center" vertical="top" wrapText="1"/>
    </xf>
    <xf numFmtId="0" fontId="5" fillId="2" borderId="9" applyNumberFormat="0" applyFont="1" applyFill="1" applyBorder="1" applyAlignment="1" applyProtection="0">
      <alignment horizontal="center" vertical="top" wrapText="1"/>
    </xf>
    <xf numFmtId="0" fontId="3" fillId="2" borderId="10" applyNumberFormat="0" applyFont="1" applyFill="1" applyBorder="1" applyAlignment="1" applyProtection="0">
      <alignment vertical="top" wrapText="1"/>
    </xf>
    <xf numFmtId="0" fontId="5" fillId="2" borderId="11" applyNumberFormat="0" applyFont="1" applyFill="1" applyBorder="1" applyAlignment="1" applyProtection="0">
      <alignment horizontal="center" vertical="top" wrapText="1"/>
    </xf>
    <xf numFmtId="49" fontId="5" fillId="3" borderId="12" applyNumberFormat="1" applyFont="1" applyFill="1" applyBorder="1" applyAlignment="1" applyProtection="0">
      <alignment horizontal="left" vertical="top" wrapText="1"/>
    </xf>
    <xf numFmtId="49" fontId="5" fillId="3" borderId="13" applyNumberFormat="1" applyFont="1" applyFill="1" applyBorder="1" applyAlignment="1" applyProtection="0">
      <alignment horizontal="center" vertical="top" wrapText="1"/>
    </xf>
    <xf numFmtId="49" fontId="5" fillId="3" borderId="14" applyNumberFormat="1" applyFont="1" applyFill="1" applyBorder="1" applyAlignment="1" applyProtection="0">
      <alignment horizontal="center" vertical="top" wrapText="1"/>
    </xf>
    <xf numFmtId="0" fontId="5" fillId="2" borderId="15" applyNumberFormat="0" applyFont="1" applyFill="1" applyBorder="1" applyAlignment="1" applyProtection="0">
      <alignment horizontal="center" vertical="top" wrapText="1"/>
    </xf>
    <xf numFmtId="49" fontId="3" fillId="3" borderId="12" applyNumberFormat="1" applyFont="1" applyFill="1" applyBorder="1" applyAlignment="1" applyProtection="0">
      <alignment horizontal="center" vertical="top" wrapText="1"/>
    </xf>
    <xf numFmtId="49" fontId="3" fillId="3" borderId="13" applyNumberFormat="1" applyFont="1" applyFill="1" applyBorder="1" applyAlignment="1" applyProtection="0">
      <alignment horizontal="center" vertical="top" wrapText="1"/>
    </xf>
    <xf numFmtId="49" fontId="3" fillId="3" borderId="14" applyNumberFormat="1" applyFont="1" applyFill="1" applyBorder="1" applyAlignment="1" applyProtection="0">
      <alignment horizontal="center" vertical="top" wrapText="1"/>
    </xf>
    <xf numFmtId="0" fontId="3" fillId="2" borderId="16" applyNumberFormat="0" applyFont="1" applyFill="1" applyBorder="1" applyAlignment="1" applyProtection="0">
      <alignment horizontal="center" vertical="top" wrapText="1"/>
    </xf>
    <xf numFmtId="0" fontId="3" fillId="2" borderId="17" applyNumberFormat="0" applyFont="1" applyFill="1" applyBorder="1" applyAlignment="1" applyProtection="0">
      <alignment vertical="top" wrapText="1"/>
    </xf>
    <xf numFmtId="0" fontId="3" fillId="2" borderId="11" applyNumberFormat="0" applyFont="1" applyFill="1" applyBorder="1" applyAlignment="1" applyProtection="0">
      <alignment horizontal="left" vertical="top" wrapText="1"/>
    </xf>
    <xf numFmtId="49" fontId="3" borderId="18" applyNumberFormat="1" applyFont="1" applyFill="0" applyBorder="1" applyAlignment="1" applyProtection="0">
      <alignment horizontal="left" vertical="top" wrapText="1"/>
    </xf>
    <xf numFmtId="0" fontId="3" borderId="19" applyNumberFormat="1" applyFont="1" applyFill="0" applyBorder="1" applyAlignment="1" applyProtection="0">
      <alignment horizontal="center" vertical="top" wrapText="1"/>
    </xf>
    <xf numFmtId="49" fontId="3" borderId="19" applyNumberFormat="1" applyFont="1" applyFill="0" applyBorder="1" applyAlignment="1" applyProtection="0">
      <alignment horizontal="center" vertical="top" wrapText="1"/>
    </xf>
    <xf numFmtId="49" fontId="3" borderId="20" applyNumberFormat="1" applyFont="1" applyFill="0" applyBorder="1" applyAlignment="1" applyProtection="0">
      <alignment horizontal="center" vertical="top" wrapText="1"/>
    </xf>
    <xf numFmtId="0" fontId="3" fillId="2" borderId="15" applyNumberFormat="0" applyFont="1" applyFill="1" applyBorder="1" applyAlignment="1" applyProtection="0">
      <alignment horizontal="center" vertical="top" wrapText="1"/>
    </xf>
    <xf numFmtId="49" fontId="3" borderId="18" applyNumberFormat="1" applyFont="1" applyFill="0" applyBorder="1" applyAlignment="1" applyProtection="0">
      <alignment horizontal="center" vertical="top" wrapText="1"/>
    </xf>
    <xf numFmtId="49" fontId="3" fillId="3" borderId="21" applyNumberFormat="1" applyFont="1" applyFill="1" applyBorder="1" applyAlignment="1" applyProtection="0">
      <alignment horizontal="left" vertical="top" wrapText="1"/>
    </xf>
    <xf numFmtId="0" fontId="3" fillId="3" borderId="22" applyNumberFormat="1" applyFont="1" applyFill="1" applyBorder="1" applyAlignment="1" applyProtection="0">
      <alignment horizontal="center" vertical="top" wrapText="1"/>
    </xf>
    <xf numFmtId="49" fontId="3" fillId="3" borderId="23" applyNumberFormat="1" applyFont="1" applyFill="1" applyBorder="1" applyAlignment="1" applyProtection="0">
      <alignment horizontal="center" vertical="top" wrapText="1"/>
    </xf>
    <xf numFmtId="49" fontId="3" fillId="3" borderId="24" applyNumberFormat="1" applyFont="1" applyFill="1" applyBorder="1" applyAlignment="1" applyProtection="0">
      <alignment horizontal="center" vertical="top" wrapText="1"/>
    </xf>
    <xf numFmtId="0" fontId="3" fillId="3" borderId="25" applyNumberFormat="1" applyFont="1" applyFill="1" applyBorder="1" applyAlignment="1" applyProtection="0">
      <alignment horizontal="center" vertical="top" wrapText="1"/>
    </xf>
    <xf numFmtId="49" fontId="3" fillId="3" borderId="26" applyNumberFormat="1" applyFont="1" applyFill="1" applyBorder="1" applyAlignment="1" applyProtection="0">
      <alignment horizontal="center" vertical="top" wrapText="1"/>
    </xf>
    <xf numFmtId="0" fontId="3" borderId="27" applyNumberFormat="0" applyFont="1" applyFill="0" applyBorder="1" applyAlignment="1" applyProtection="0">
      <alignment horizontal="center" vertical="top" wrapText="1"/>
    </xf>
    <xf numFmtId="0" fontId="3" borderId="28" applyNumberFormat="0" applyFont="1" applyFill="0" applyBorder="1" applyAlignment="1" applyProtection="0">
      <alignment horizontal="center" vertical="top" wrapText="1"/>
    </xf>
    <xf numFmtId="0" fontId="3" borderId="19" applyNumberFormat="0" applyFont="1" applyFill="0" applyBorder="1" applyAlignment="1" applyProtection="0">
      <alignment horizontal="center" vertical="top" wrapText="1"/>
    </xf>
    <xf numFmtId="0" fontId="3" borderId="26" applyNumberFormat="0" applyFont="1" applyFill="0" applyBorder="1" applyAlignment="1" applyProtection="0">
      <alignment horizontal="center" vertical="top" wrapText="1"/>
    </xf>
    <xf numFmtId="49" fontId="3" borderId="29" applyNumberFormat="1" applyFont="1" applyFill="0" applyBorder="1" applyAlignment="1" applyProtection="0">
      <alignment horizontal="center" vertical="top" wrapText="1"/>
    </xf>
    <xf numFmtId="0" fontId="3" borderId="30" applyNumberFormat="1" applyFont="1" applyFill="0" applyBorder="1" applyAlignment="1" applyProtection="0">
      <alignment horizontal="center" vertical="top" wrapText="1"/>
    </xf>
    <xf numFmtId="49" fontId="3" borderId="31" applyNumberFormat="1" applyFont="1" applyFill="0" applyBorder="1" applyAlignment="1" applyProtection="0">
      <alignment horizontal="center" vertical="top" wrapText="1"/>
    </xf>
    <xf numFmtId="0" fontId="3" fillId="2" borderId="32" applyNumberFormat="0" applyFont="1" applyFill="1" applyBorder="1" applyAlignment="1" applyProtection="0">
      <alignment horizontal="center" vertical="top" wrapText="1"/>
    </xf>
    <xf numFmtId="0" fontId="3" fillId="2" borderId="33" applyNumberFormat="0" applyFont="1" applyFill="1" applyBorder="1" applyAlignment="1" applyProtection="0">
      <alignment horizontal="center" vertical="top" wrapText="1"/>
    </xf>
    <xf numFmtId="0" fontId="3" fillId="2" borderId="27" applyNumberFormat="0" applyFont="1" applyFill="1" applyBorder="1" applyAlignment="1" applyProtection="0">
      <alignment horizontal="center" vertical="top" wrapText="1"/>
    </xf>
    <xf numFmtId="0" fontId="3" fillId="2" borderId="34" applyNumberFormat="0" applyFont="1" applyFill="1" applyBorder="1" applyAlignment="1" applyProtection="0">
      <alignment horizontal="center" vertical="top" wrapText="1"/>
    </xf>
    <xf numFmtId="49" fontId="5" fillId="2" borderId="22" applyNumberFormat="1" applyFont="1" applyFill="1" applyBorder="1" applyAlignment="1" applyProtection="0">
      <alignment horizontal="center" vertical="top" wrapText="1"/>
    </xf>
    <xf numFmtId="0" fontId="3" fillId="2" borderId="22" applyNumberFormat="0" applyFont="1" applyFill="1" applyBorder="1" applyAlignment="1" applyProtection="0">
      <alignment horizontal="center" vertical="top" wrapText="1"/>
    </xf>
    <xf numFmtId="0" fontId="3" fillId="2" borderId="31" applyNumberFormat="0" applyFont="1" applyFill="1" applyBorder="1" applyAlignment="1" applyProtection="0">
      <alignment horizontal="center" vertical="top" wrapText="1"/>
    </xf>
    <xf numFmtId="49" fontId="3" fillId="3" borderId="35" applyNumberFormat="1" applyFont="1" applyFill="1" applyBorder="1" applyAlignment="1" applyProtection="0">
      <alignment horizontal="center" vertical="top" wrapText="1"/>
    </xf>
    <xf numFmtId="0" fontId="3" fillId="3" borderId="36" applyNumberFormat="1" applyFont="1" applyFill="1" applyBorder="1" applyAlignment="1" applyProtection="0">
      <alignment horizontal="center" vertical="top" wrapText="1"/>
    </xf>
    <xf numFmtId="49" fontId="3" fillId="3" borderId="37" applyNumberFormat="1" applyFont="1" applyFill="1" applyBorder="1" applyAlignment="1" applyProtection="0">
      <alignment horizontal="center" vertical="top" wrapText="1"/>
    </xf>
    <xf numFmtId="0" fontId="3" fillId="2" borderId="38" applyNumberFormat="0" applyFont="1" applyFill="1" applyBorder="1" applyAlignment="1" applyProtection="0">
      <alignment horizontal="center" vertical="top" wrapText="1"/>
    </xf>
    <xf numFmtId="0" fontId="3" fillId="2" borderId="39" applyNumberFormat="0" applyFont="1" applyFill="1" applyBorder="1" applyAlignment="1" applyProtection="0">
      <alignment horizontal="center" vertical="top" wrapText="1"/>
    </xf>
    <xf numFmtId="0" fontId="3" fillId="2" borderId="40" applyNumberFormat="0" applyFont="1" applyFill="1" applyBorder="1" applyAlignment="1" applyProtection="0">
      <alignment horizontal="center" vertical="top" wrapText="1"/>
    </xf>
    <xf numFmtId="49" fontId="3" borderId="35" applyNumberFormat="1" applyFont="1" applyFill="0" applyBorder="1" applyAlignment="1" applyProtection="0">
      <alignment horizontal="center" vertical="top" wrapText="1"/>
    </xf>
    <xf numFmtId="0" fontId="3" borderId="36" applyNumberFormat="1" applyFont="1" applyFill="0" applyBorder="1" applyAlignment="1" applyProtection="0">
      <alignment horizontal="center" vertical="top" wrapText="1"/>
    </xf>
    <xf numFmtId="49" fontId="3" borderId="37" applyNumberFormat="1" applyFont="1" applyFill="0" applyBorder="1" applyAlignment="1" applyProtection="0">
      <alignment horizontal="center" vertical="top" wrapText="1"/>
    </xf>
    <xf numFmtId="49" fontId="3" fillId="2" borderId="41" applyNumberFormat="1" applyFont="1" applyFill="1" applyBorder="1" applyAlignment="1" applyProtection="0">
      <alignment horizontal="left" vertical="top" wrapText="1"/>
    </xf>
    <xf numFmtId="0" fontId="3" fillId="2" borderId="42" applyNumberFormat="1" applyFont="1" applyFill="1" applyBorder="1" applyAlignment="1" applyProtection="0">
      <alignment horizontal="center" vertical="top" wrapText="1"/>
    </xf>
    <xf numFmtId="49" fontId="3" fillId="2" borderId="43" applyNumberFormat="1" applyFont="1" applyFill="1" applyBorder="1" applyAlignment="1" applyProtection="0">
      <alignment horizontal="center" vertical="top" wrapText="1"/>
    </xf>
    <xf numFmtId="0" fontId="3" fillId="3" borderId="35" applyNumberFormat="0" applyFont="1" applyFill="1" applyBorder="1" applyAlignment="1" applyProtection="0">
      <alignment horizontal="center" vertical="top" wrapText="1"/>
    </xf>
    <xf numFmtId="0" fontId="3" fillId="3" borderId="36" applyNumberFormat="0" applyFont="1" applyFill="1" applyBorder="1" applyAlignment="1" applyProtection="0">
      <alignment horizontal="center" vertical="top" wrapText="1"/>
    </xf>
    <xf numFmtId="49" fontId="3" fillId="3" borderId="36" applyNumberFormat="1" applyFont="1" applyFill="1" applyBorder="1" applyAlignment="1" applyProtection="0">
      <alignment horizontal="center" vertical="top" wrapText="1"/>
    </xf>
    <xf numFmtId="49" fontId="3" fillId="3" borderId="35" applyNumberFormat="1" applyFont="1" applyFill="1" applyBorder="1" applyAlignment="1" applyProtection="0">
      <alignment horizontal="left" vertical="top" wrapText="1"/>
    </xf>
    <xf numFmtId="49" fontId="3" borderId="44" applyNumberFormat="1" applyFont="1" applyFill="0" applyBorder="1" applyAlignment="1" applyProtection="0">
      <alignment horizontal="center" vertical="top" wrapText="1"/>
    </xf>
    <xf numFmtId="0" fontId="3" borderId="45" applyNumberFormat="1" applyFont="1" applyFill="0" applyBorder="1" applyAlignment="1" applyProtection="0">
      <alignment horizontal="center" vertical="top" wrapText="1"/>
    </xf>
    <xf numFmtId="0" fontId="3" borderId="46" applyNumberFormat="1" applyFont="1" applyFill="0" applyBorder="1" applyAlignment="1" applyProtection="0">
      <alignment horizontal="center" vertical="top" wrapText="1"/>
    </xf>
    <xf numFmtId="0" fontId="3" fillId="2" borderId="47" applyNumberFormat="0" applyFont="1" applyFill="1" applyBorder="1" applyAlignment="1" applyProtection="0">
      <alignment horizontal="center" vertical="top" wrapText="1"/>
    </xf>
    <xf numFmtId="0" fontId="3" fillId="2" borderId="48" applyNumberFormat="0" applyFont="1" applyFill="1" applyBorder="1" applyAlignment="1" applyProtection="0">
      <alignment horizontal="center" vertical="top" wrapText="1"/>
    </xf>
    <xf numFmtId="49" fontId="3" fillId="2" borderId="35" applyNumberFormat="1" applyFont="1" applyFill="1" applyBorder="1" applyAlignment="1" applyProtection="0">
      <alignment horizontal="left" vertical="top" wrapText="1"/>
    </xf>
    <xf numFmtId="0" fontId="3" fillId="2" borderId="36" applyNumberFormat="1" applyFont="1" applyFill="1" applyBorder="1" applyAlignment="1" applyProtection="0">
      <alignment horizontal="center" vertical="top" wrapText="1"/>
    </xf>
    <xf numFmtId="49" fontId="3" fillId="2" borderId="37" applyNumberFormat="1" applyFont="1" applyFill="1" applyBorder="1" applyAlignment="1" applyProtection="0">
      <alignment horizontal="center" vertical="top" wrapText="1"/>
    </xf>
    <xf numFmtId="0" fontId="3" fillId="2" borderId="35" applyNumberFormat="0" applyFont="1" applyFill="1" applyBorder="1" applyAlignment="1" applyProtection="0">
      <alignment horizontal="center" vertical="top" wrapText="1"/>
    </xf>
    <xf numFmtId="0" fontId="0" fillId="2" borderId="42" applyNumberFormat="0" applyFont="1" applyFill="1" applyBorder="1" applyAlignment="1" applyProtection="0">
      <alignment vertical="top" wrapText="1"/>
    </xf>
    <xf numFmtId="0" fontId="3" fillId="2" borderId="49" applyNumberFormat="0" applyFont="1" applyFill="1" applyBorder="1" applyAlignment="1" applyProtection="0">
      <alignment horizontal="center" vertical="top" wrapText="1"/>
    </xf>
    <xf numFmtId="0" fontId="3" fillId="3" borderId="35" applyNumberFormat="0" applyFont="1" applyFill="1" applyBorder="1" applyAlignment="1" applyProtection="0">
      <alignment horizontal="left" vertical="top" wrapText="1"/>
    </xf>
    <xf numFmtId="0" fontId="3" fillId="3" borderId="37" applyNumberFormat="0" applyFont="1" applyFill="1" applyBorder="1" applyAlignment="1" applyProtection="0">
      <alignment horizontal="center" vertical="top" wrapText="1"/>
    </xf>
    <xf numFmtId="49" fontId="3" fillId="2" borderId="35" applyNumberFormat="1" applyFont="1" applyFill="1" applyBorder="1" applyAlignment="1" applyProtection="0">
      <alignment horizontal="center" vertical="top" wrapText="1"/>
    </xf>
    <xf numFmtId="0" fontId="0" fillId="2" borderId="45" applyNumberFormat="0" applyFont="1" applyFill="1" applyBorder="1" applyAlignment="1" applyProtection="0">
      <alignment vertical="top" wrapText="1"/>
    </xf>
    <xf numFmtId="49" fontId="5" fillId="2" borderId="45" applyNumberFormat="1" applyFont="1" applyFill="1" applyBorder="1" applyAlignment="1" applyProtection="0">
      <alignment horizontal="center" vertical="top" wrapText="1"/>
    </xf>
    <xf numFmtId="0" fontId="3" fillId="2" borderId="50" applyNumberFormat="0" applyFont="1" applyFill="1" applyBorder="1" applyAlignment="1" applyProtection="0">
      <alignment horizontal="center" vertical="top" wrapText="1"/>
    </xf>
    <xf numFmtId="49" fontId="3" fillId="3" borderId="12" applyNumberFormat="1" applyFont="1" applyFill="1" applyBorder="1" applyAlignment="1" applyProtection="0">
      <alignment horizontal="left" vertical="top" wrapText="1"/>
    </xf>
    <xf numFmtId="0" fontId="3" fillId="2" borderId="11" applyNumberFormat="0" applyFont="1" applyFill="1" applyBorder="1" applyAlignment="1" applyProtection="0">
      <alignment horizontal="center" vertical="top" wrapText="1"/>
    </xf>
    <xf numFmtId="0" fontId="3" fillId="3" borderId="51" applyNumberFormat="0" applyFont="1" applyFill="1" applyBorder="1" applyAlignment="1" applyProtection="0">
      <alignment horizontal="center" vertical="top" wrapText="1"/>
    </xf>
    <xf numFmtId="0" fontId="3" fillId="3" borderId="52" applyNumberFormat="1" applyFont="1" applyFill="1" applyBorder="1" applyAlignment="1" applyProtection="0">
      <alignment horizontal="center" vertical="top" wrapText="1"/>
    </xf>
    <xf numFmtId="49" fontId="3" fillId="3" borderId="53" applyNumberFormat="1" applyFont="1" applyFill="1" applyBorder="1" applyAlignment="1" applyProtection="0">
      <alignment horizontal="center" vertical="top" wrapText="1"/>
    </xf>
    <xf numFmtId="49" fontId="3" borderId="41" applyNumberFormat="1" applyFont="1" applyFill="0" applyBorder="1" applyAlignment="1" applyProtection="0">
      <alignment horizontal="left" vertical="top" wrapText="1"/>
    </xf>
    <xf numFmtId="0" fontId="3" borderId="42" applyNumberFormat="1" applyFont="1" applyFill="0" applyBorder="1" applyAlignment="1" applyProtection="0">
      <alignment horizontal="center" vertical="top" wrapText="1"/>
    </xf>
    <xf numFmtId="49" fontId="3" borderId="43" applyNumberFormat="1" applyFont="1" applyFill="0" applyBorder="1" applyAlignment="1" applyProtection="0">
      <alignment horizontal="center" vertical="top" wrapText="1"/>
    </xf>
    <xf numFmtId="0" fontId="0" fillId="2" borderId="11" applyNumberFormat="0" applyFont="1" applyFill="1" applyBorder="1" applyAlignment="1" applyProtection="0">
      <alignment vertical="top" wrapText="1"/>
    </xf>
    <xf numFmtId="49" fontId="3" fillId="2" borderId="54" applyNumberFormat="1" applyFont="1" applyFill="1" applyBorder="1" applyAlignment="1" applyProtection="0">
      <alignment vertical="top" wrapText="1"/>
    </xf>
    <xf numFmtId="0" fontId="3" fillId="2" borderId="55" applyNumberFormat="1" applyFont="1" applyFill="1" applyBorder="1" applyAlignment="1" applyProtection="0">
      <alignment horizontal="center" vertical="top" wrapText="1"/>
    </xf>
    <xf numFmtId="49" fontId="3" fillId="2" borderId="56" applyNumberFormat="1" applyFont="1" applyFill="1" applyBorder="1" applyAlignment="1" applyProtection="0">
      <alignment horizontal="center" vertical="top" wrapText="1"/>
    </xf>
    <xf numFmtId="0" fontId="0" borderId="57" applyNumberFormat="0" applyFont="1" applyFill="0" applyBorder="1" applyAlignment="1" applyProtection="0">
      <alignment vertical="top" wrapText="1"/>
    </xf>
    <xf numFmtId="0" fontId="0" borderId="42" applyNumberFormat="0" applyFont="1" applyFill="0" applyBorder="1" applyAlignment="1" applyProtection="0">
      <alignment vertical="top" wrapText="1"/>
    </xf>
    <xf numFmtId="0" fontId="3" fillId="2" borderId="37" applyNumberFormat="0" applyFont="1" applyFill="1" applyBorder="1" applyAlignment="1" applyProtection="0">
      <alignment horizontal="center" vertical="top" wrapText="1"/>
    </xf>
    <xf numFmtId="49" fontId="3" borderId="35" applyNumberFormat="1" applyFont="1" applyFill="0" applyBorder="1" applyAlignment="1" applyProtection="0">
      <alignment horizontal="left" vertical="top" wrapText="1"/>
    </xf>
    <xf numFmtId="0" fontId="3" fillId="2" borderId="58" applyNumberFormat="0" applyFont="1" applyFill="1" applyBorder="1" applyAlignment="1" applyProtection="0">
      <alignment horizontal="center" vertical="top" wrapText="1"/>
    </xf>
    <xf numFmtId="0" fontId="3" fillId="2" borderId="45" applyNumberFormat="0" applyFont="1" applyFill="1" applyBorder="1" applyAlignment="1" applyProtection="0">
      <alignment horizontal="center" vertical="top" wrapText="1"/>
    </xf>
    <xf numFmtId="0" fontId="3" borderId="35" applyNumberFormat="0" applyFont="1" applyFill="0" applyBorder="1" applyAlignment="1" applyProtection="0">
      <alignment horizontal="left" vertical="top" wrapText="1"/>
    </xf>
    <xf numFmtId="0" fontId="3" borderId="36" applyNumberFormat="0" applyFont="1" applyFill="0" applyBorder="1" applyAlignment="1" applyProtection="0">
      <alignment horizontal="center" vertical="top" wrapText="1"/>
    </xf>
    <xf numFmtId="0" fontId="3" borderId="37" applyNumberFormat="0" applyFont="1" applyFill="0" applyBorder="1" applyAlignment="1" applyProtection="0">
      <alignment horizontal="center" vertical="top" wrapText="1"/>
    </xf>
    <xf numFmtId="49" fontId="3" fillId="3" borderId="44" applyNumberFormat="1" applyFont="1" applyFill="1" applyBorder="1" applyAlignment="1" applyProtection="0">
      <alignment horizontal="left" vertical="top" wrapText="1"/>
    </xf>
    <xf numFmtId="0" fontId="3" fillId="3" borderId="45" applyNumberFormat="1" applyFont="1" applyFill="1" applyBorder="1" applyAlignment="1" applyProtection="0">
      <alignment horizontal="center" vertical="top" wrapText="1"/>
    </xf>
    <xf numFmtId="49" fontId="3" fillId="3" borderId="46" applyNumberFormat="1" applyFont="1" applyFill="1" applyBorder="1" applyAlignment="1" applyProtection="0">
      <alignment horizontal="center"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3" fillId="2" borderId="59" applyNumberFormat="0" applyFont="1" applyFill="1" applyBorder="1" applyAlignment="1" applyProtection="0">
      <alignment horizontal="center" vertical="top" wrapText="1"/>
    </xf>
    <xf numFmtId="0" fontId="3" fillId="2" borderId="17" applyNumberFormat="0" applyFont="1" applyFill="1" applyBorder="1" applyAlignment="1" applyProtection="0">
      <alignment horizontal="center" vertical="top" wrapText="1"/>
    </xf>
    <xf numFmtId="0" fontId="6" fillId="2" borderId="60" applyNumberFormat="0" applyFont="1" applyFill="1" applyBorder="1" applyAlignment="1" applyProtection="0">
      <alignment horizontal="center" vertical="top" wrapText="1"/>
    </xf>
    <xf numFmtId="49" fontId="5" fillId="2" borderId="60" applyNumberFormat="1" applyFont="1" applyFill="1" applyBorder="1" applyAlignment="1" applyProtection="0">
      <alignment horizontal="center" vertical="top" wrapText="1"/>
    </xf>
    <xf numFmtId="0" fontId="3" fillId="2" borderId="60" applyNumberFormat="0" applyFont="1" applyFill="1" applyBorder="1" applyAlignment="1" applyProtection="0">
      <alignment horizontal="center" vertical="top" wrapText="1"/>
    </xf>
    <xf numFmtId="0" fontId="3" fillId="2" borderId="61" applyNumberFormat="0" applyFont="1" applyFill="1" applyBorder="1" applyAlignment="1" applyProtection="0">
      <alignment horizontal="center" vertical="top" wrapText="1"/>
    </xf>
    <xf numFmtId="0" fontId="3" fillId="2" borderId="62" applyNumberFormat="0" applyFont="1" applyFill="1" applyBorder="1" applyAlignment="1" applyProtection="0">
      <alignment horizontal="center" vertical="top" wrapText="1"/>
    </xf>
    <xf numFmtId="0" fontId="6" fillId="3" borderId="63" applyNumberFormat="0" applyFont="1" applyFill="1" applyBorder="1" applyAlignment="1" applyProtection="0">
      <alignment horizontal="center" vertical="top" wrapText="1"/>
    </xf>
    <xf numFmtId="49" fontId="3" fillId="3" borderId="64" applyNumberFormat="1" applyFont="1" applyFill="1" applyBorder="1" applyAlignment="1" applyProtection="0">
      <alignment horizontal="center" vertical="top" wrapText="1"/>
    </xf>
    <xf numFmtId="49" fontId="3" fillId="3" borderId="65" applyNumberFormat="1" applyFont="1" applyFill="1" applyBorder="1" applyAlignment="1" applyProtection="0">
      <alignment horizontal="center" vertical="top" wrapText="1"/>
    </xf>
    <xf numFmtId="0" fontId="3" fillId="2" borderId="66" applyNumberFormat="0" applyFont="1" applyFill="1" applyBorder="1" applyAlignment="1" applyProtection="0">
      <alignment horizontal="center" vertical="top" wrapText="1"/>
    </xf>
    <xf numFmtId="49" fontId="7" fillId="2" borderId="63" applyNumberFormat="1" applyFont="1" applyFill="1" applyBorder="1" applyAlignment="1" applyProtection="0">
      <alignment horizontal="left" vertical="top" wrapText="1"/>
    </xf>
    <xf numFmtId="0" fontId="3" fillId="2" borderId="64" applyNumberFormat="1" applyFont="1" applyFill="1" applyBorder="1" applyAlignment="1" applyProtection="0">
      <alignment horizontal="center" vertical="top" wrapText="1"/>
    </xf>
    <xf numFmtId="49" fontId="3" fillId="2" borderId="65" applyNumberFormat="1" applyFont="1" applyFill="1" applyBorder="1" applyAlignment="1" applyProtection="0">
      <alignment horizontal="center" vertical="top" wrapText="1"/>
    </xf>
    <xf numFmtId="0" fontId="3" fillId="3" borderId="44" applyNumberFormat="0" applyFont="1" applyFill="1" applyBorder="1" applyAlignment="1" applyProtection="0">
      <alignment horizontal="center" vertical="top" wrapText="1"/>
    </xf>
    <xf numFmtId="0" fontId="3" fillId="2" borderId="51" applyNumberFormat="0" applyFont="1" applyFill="1" applyBorder="1" applyAlignment="1" applyProtection="0">
      <alignment horizontal="center" vertical="top" wrapText="1"/>
    </xf>
    <xf numFmtId="0" fontId="0" fillId="2" borderId="67" applyNumberFormat="0" applyFont="1" applyFill="1" applyBorder="1" applyAlignment="1" applyProtection="0">
      <alignment vertical="top" wrapText="1"/>
    </xf>
    <xf numFmtId="0" fontId="3" fillId="2" borderId="68" applyNumberFormat="0" applyFont="1" applyFill="1" applyBorder="1" applyAlignment="1" applyProtection="0">
      <alignment horizontal="center" vertical="top" wrapText="1"/>
    </xf>
    <xf numFmtId="0" fontId="3" fillId="2" borderId="69" applyNumberFormat="0" applyFont="1" applyFill="1" applyBorder="1" applyAlignment="1" applyProtection="0">
      <alignment horizontal="center" vertical="top" wrapText="1"/>
    </xf>
    <xf numFmtId="0" fontId="3" fillId="2" borderId="70" applyNumberFormat="0" applyFont="1" applyFill="1" applyBorder="1" applyAlignment="1" applyProtection="0">
      <alignment horizontal="center" vertical="top" wrapText="1"/>
    </xf>
    <xf numFmtId="0" fontId="3" fillId="2" borderId="71" applyNumberFormat="0" applyFont="1" applyFill="1" applyBorder="1" applyAlignment="1" applyProtection="0">
      <alignment horizontal="center" vertical="top" wrapText="1"/>
    </xf>
    <xf numFmtId="0" fontId="0" fillId="2" borderId="71" applyNumberFormat="0" applyFont="1" applyFill="1" applyBorder="1" applyAlignment="1" applyProtection="0">
      <alignment vertical="top" wrapText="1"/>
    </xf>
    <xf numFmtId="0" fontId="3" fillId="2" borderId="72" applyNumberFormat="0" applyFont="1" applyFill="1" applyBorder="1" applyAlignment="1" applyProtection="0">
      <alignment horizontal="center" vertical="top" wrapText="1"/>
    </xf>
    <xf numFmtId="0" fontId="3" fillId="2" borderId="73" applyNumberFormat="0" applyFont="1" applyFill="1" applyBorder="1" applyAlignment="1" applyProtection="0">
      <alignment horizontal="center" vertical="top" wrapText="1"/>
    </xf>
    <xf numFmtId="0" fontId="3" fillId="2" borderId="9" applyNumberFormat="0" applyFont="1" applyFill="1" applyBorder="1" applyAlignment="1" applyProtection="0">
      <alignment horizontal="center" vertical="top" wrapText="1"/>
    </xf>
    <xf numFmtId="0" fontId="3" fillId="2" borderId="74" applyNumberFormat="0" applyFont="1" applyFill="1" applyBorder="1" applyAlignment="1" applyProtection="0">
      <alignment horizontal="center" vertical="top" wrapText="1"/>
    </xf>
    <xf numFmtId="0" fontId="3" fillId="2" borderId="75" applyNumberFormat="0" applyFont="1" applyFill="1" applyBorder="1" applyAlignment="1" applyProtection="0">
      <alignment horizontal="center" vertical="top" wrapText="1"/>
    </xf>
    <xf numFmtId="0" fontId="0" fillId="2" borderId="75" applyNumberFormat="0" applyFont="1" applyFill="1" applyBorder="1" applyAlignment="1" applyProtection="0">
      <alignment vertical="top" wrapText="1"/>
    </xf>
    <xf numFmtId="0" fontId="3" fillId="2" borderId="76" applyNumberFormat="0" applyFont="1" applyFill="1" applyBorder="1" applyAlignment="1" applyProtection="0">
      <alignment horizontal="center" vertical="top" wrapText="1"/>
    </xf>
    <xf numFmtId="0" fontId="3" fillId="2" borderId="77" applyNumberFormat="0" applyFont="1" applyFill="1" applyBorder="1" applyAlignment="1" applyProtection="0">
      <alignment horizontal="center" vertical="top" wrapText="1"/>
    </xf>
    <xf numFmtId="0" fontId="3" fillId="2" borderId="78" applyNumberFormat="0" applyFont="1" applyFill="1" applyBorder="1" applyAlignment="1" applyProtection="0">
      <alignment horizontal="center" vertical="top" wrapText="1"/>
    </xf>
    <xf numFmtId="49" fontId="4" fillId="2" borderId="3" applyNumberFormat="1" applyFont="1" applyFill="1" applyBorder="1" applyAlignment="1" applyProtection="0">
      <alignment vertical="top"/>
    </xf>
    <xf numFmtId="0" fontId="3" fillId="2" borderId="1" applyNumberFormat="0" applyFont="1" applyFill="1" applyBorder="1" applyAlignment="1" applyProtection="0">
      <alignment horizontal="center" vertical="top" wrapText="1"/>
    </xf>
    <xf numFmtId="0" fontId="5" fillId="2" borderId="1" applyNumberFormat="0" applyFont="1" applyFill="1" applyBorder="1" applyAlignment="1" applyProtection="0">
      <alignment horizontal="center" vertical="top" wrapText="1"/>
    </xf>
    <xf numFmtId="0" fontId="3" fillId="2" borderId="2" applyNumberFormat="0" applyFont="1" applyFill="1" applyBorder="1" applyAlignment="1" applyProtection="0">
      <alignment horizontal="center" vertical="top" wrapText="1"/>
    </xf>
    <xf numFmtId="0" fontId="3" fillId="2" borderId="79" applyNumberFormat="0" applyFont="1" applyFill="1" applyBorder="1" applyAlignment="1" applyProtection="0">
      <alignment horizontal="center" vertical="top" wrapText="1"/>
    </xf>
    <xf numFmtId="0" fontId="3" fillId="2" borderId="4" applyNumberFormat="0" applyFont="1" applyFill="1" applyBorder="1" applyAlignment="1" applyProtection="0">
      <alignment horizontal="center" vertical="top" wrapText="1"/>
    </xf>
    <xf numFmtId="0" fontId="3" fillId="2" borderId="80" applyNumberFormat="0" applyFont="1" applyFill="1" applyBorder="1" applyAlignment="1" applyProtection="0">
      <alignment horizontal="center" vertical="top" wrapText="1"/>
    </xf>
    <xf numFmtId="49" fontId="5" fillId="2" borderId="80" applyNumberFormat="1" applyFont="1" applyFill="1" applyBorder="1" applyAlignment="1" applyProtection="0">
      <alignment horizontal="center" vertical="top" wrapText="1"/>
    </xf>
    <xf numFmtId="0" fontId="0" fillId="2" borderId="80" applyNumberFormat="0" applyFont="1" applyFill="1" applyBorder="1" applyAlignment="1" applyProtection="0">
      <alignment vertical="top" wrapText="1"/>
    </xf>
    <xf numFmtId="0" fontId="0" fillId="2" borderId="74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49" fontId="3" fillId="2" borderId="8" applyNumberFormat="1" applyFont="1" applyFill="1" applyBorder="1" applyAlignment="1" applyProtection="0">
      <alignment horizontal="center" vertical="top" wrapText="1"/>
    </xf>
    <xf numFmtId="0" fontId="3" fillId="2" borderId="5" applyNumberFormat="0" applyFont="1" applyFill="1" applyBorder="1" applyAlignment="1" applyProtection="0">
      <alignment horizontal="center" vertical="top" wrapText="1"/>
    </xf>
    <xf numFmtId="0" fontId="3" fillId="2" borderId="81" applyNumberFormat="0" applyFont="1" applyFill="1" applyBorder="1" applyAlignment="1" applyProtection="0">
      <alignment horizontal="center" vertical="top" wrapText="1"/>
    </xf>
    <xf numFmtId="49" fontId="5" fillId="3" borderId="82" applyNumberFormat="1" applyFont="1" applyFill="1" applyBorder="1" applyAlignment="1" applyProtection="0">
      <alignment horizontal="left" vertical="top" wrapText="1"/>
    </xf>
    <xf numFmtId="49" fontId="5" fillId="3" borderId="83" applyNumberFormat="1" applyFont="1" applyFill="1" applyBorder="1" applyAlignment="1" applyProtection="0">
      <alignment horizontal="center" vertical="top" wrapText="1"/>
    </xf>
    <xf numFmtId="49" fontId="5" fillId="3" borderId="84" applyNumberFormat="1" applyFont="1" applyFill="1" applyBorder="1" applyAlignment="1" applyProtection="0">
      <alignment horizontal="center" vertical="top" wrapText="1"/>
    </xf>
    <xf numFmtId="0" fontId="0" fillId="2" borderId="40" applyNumberFormat="0" applyFont="1" applyFill="1" applyBorder="1" applyAlignment="1" applyProtection="0">
      <alignment vertical="top" wrapText="1"/>
    </xf>
    <xf numFmtId="49" fontId="5" fillId="3" borderId="12" applyNumberFormat="1" applyFont="1" applyFill="1" applyBorder="1" applyAlignment="1" applyProtection="0">
      <alignment horizontal="center" vertical="top" wrapText="1"/>
    </xf>
    <xf numFmtId="0" fontId="3" fillId="2" borderId="85" applyNumberFormat="0" applyFont="1" applyFill="1" applyBorder="1" applyAlignment="1" applyProtection="0">
      <alignment horizontal="center" vertical="top" wrapText="1"/>
    </xf>
    <xf numFmtId="49" fontId="3" fillId="2" borderId="12" applyNumberFormat="1" applyFont="1" applyFill="1" applyBorder="1" applyAlignment="1" applyProtection="0">
      <alignment horizontal="center" vertical="center" wrapText="1"/>
    </xf>
    <xf numFmtId="0" fontId="3" fillId="2" borderId="13" applyNumberFormat="1" applyFont="1" applyFill="1" applyBorder="1" applyAlignment="1" applyProtection="0">
      <alignment horizontal="center" vertical="center" wrapText="1"/>
    </xf>
    <xf numFmtId="49" fontId="3" fillId="2" borderId="13" applyNumberFormat="1" applyFont="1" applyFill="1" applyBorder="1" applyAlignment="1" applyProtection="0">
      <alignment horizontal="center" vertical="center" wrapText="1"/>
    </xf>
    <xf numFmtId="49" fontId="3" fillId="2" borderId="14" applyNumberFormat="1" applyFont="1" applyFill="1" applyBorder="1" applyAlignment="1" applyProtection="0">
      <alignment horizontal="center" vertical="center" wrapText="1"/>
    </xf>
    <xf numFmtId="0" fontId="0" fillId="2" borderId="86" applyNumberFormat="0" applyFont="1" applyFill="1" applyBorder="1" applyAlignment="1" applyProtection="0">
      <alignment vertical="top" wrapText="1"/>
    </xf>
    <xf numFmtId="0" fontId="5" fillId="2" borderId="12" applyNumberFormat="1" applyFont="1" applyFill="1" applyBorder="1" applyAlignment="1" applyProtection="0">
      <alignment horizontal="center" vertical="top" wrapText="1"/>
    </xf>
    <xf numFmtId="0" fontId="5" fillId="2" borderId="87" applyNumberFormat="1" applyFont="1" applyFill="1" applyBorder="1" applyAlignment="1" applyProtection="0">
      <alignment horizontal="center" vertical="top" wrapText="1"/>
    </xf>
    <xf numFmtId="0" fontId="5" fillId="4" borderId="84" applyNumberFormat="1" applyFont="1" applyFill="1" applyBorder="1" applyAlignment="1" applyProtection="0">
      <alignment horizontal="center" vertical="top" wrapText="1"/>
    </xf>
    <xf numFmtId="0" fontId="3" fillId="2" borderId="88" applyNumberFormat="0" applyFont="1" applyFill="1" applyBorder="1" applyAlignment="1" applyProtection="0">
      <alignment horizontal="left" vertical="top" wrapText="1"/>
    </xf>
    <xf numFmtId="0" fontId="3" fillId="2" borderId="88" applyNumberFormat="0" applyFont="1" applyFill="1" applyBorder="1" applyAlignment="1" applyProtection="0">
      <alignment horizontal="center" vertical="top" wrapText="1"/>
    </xf>
    <xf numFmtId="0" fontId="3" fillId="2" borderId="89" applyNumberFormat="0" applyFont="1" applyFill="1" applyBorder="1" applyAlignment="1" applyProtection="0">
      <alignment horizontal="center" vertical="top" wrapText="1"/>
    </xf>
    <xf numFmtId="0" fontId="3" fillId="2" borderId="19" applyNumberFormat="0" applyFont="1" applyFill="1" applyBorder="1" applyAlignment="1" applyProtection="0">
      <alignment horizontal="center" vertical="top" wrapText="1"/>
    </xf>
    <xf numFmtId="0" fontId="3" fillId="2" borderId="52" applyNumberFormat="0" applyFont="1" applyFill="1" applyBorder="1" applyAlignment="1" applyProtection="0">
      <alignment horizontal="center" vertical="top" wrapText="1"/>
    </xf>
    <xf numFmtId="0" fontId="3" fillId="2" borderId="55" applyNumberFormat="0" applyFont="1" applyFill="1" applyBorder="1" applyAlignment="1" applyProtection="0">
      <alignment horizontal="left" vertical="top" wrapText="1"/>
    </xf>
    <xf numFmtId="49" fontId="5" fillId="2" borderId="55" applyNumberFormat="1" applyFont="1" applyFill="1" applyBorder="1" applyAlignment="1" applyProtection="0">
      <alignment horizontal="center" vertical="top"/>
    </xf>
    <xf numFmtId="0" fontId="3" fillId="2" borderId="55" applyNumberFormat="0" applyFont="1" applyFill="1" applyBorder="1" applyAlignment="1" applyProtection="0">
      <alignment horizontal="center" vertical="top" wrapText="1"/>
    </xf>
    <xf numFmtId="0" fontId="3" fillId="2" borderId="82" applyNumberFormat="1" applyFont="1" applyFill="1" applyBorder="1" applyAlignment="1" applyProtection="0">
      <alignment horizontal="center" vertical="top" wrapText="1"/>
    </xf>
    <xf numFmtId="0" fontId="3" fillId="2" borderId="83" applyNumberFormat="1" applyFont="1" applyFill="1" applyBorder="1" applyAlignment="1" applyProtection="0">
      <alignment horizontal="center" vertical="top" wrapText="1"/>
    </xf>
    <xf numFmtId="0" fontId="3" fillId="2" borderId="84" applyNumberFormat="1" applyFont="1" applyFill="1" applyBorder="1" applyAlignment="1" applyProtection="0">
      <alignment horizontal="center" vertical="top" wrapText="1"/>
    </xf>
    <xf numFmtId="49" fontId="3" fillId="2" borderId="55" applyNumberFormat="1" applyFont="1" applyFill="1" applyBorder="1" applyAlignment="1" applyProtection="0">
      <alignment horizontal="center" vertical="top"/>
    </xf>
    <xf numFmtId="49" fontId="3" fillId="3" borderId="90" applyNumberFormat="1" applyFont="1" applyFill="1" applyBorder="1" applyAlignment="1" applyProtection="0">
      <alignment horizontal="center" vertical="top" wrapText="1"/>
    </xf>
    <xf numFmtId="49" fontId="3" fillId="3" borderId="88" applyNumberFormat="1" applyFont="1" applyFill="1" applyBorder="1" applyAlignment="1" applyProtection="0">
      <alignment horizontal="center" vertical="top" wrapText="1"/>
    </xf>
    <xf numFmtId="49" fontId="3" fillId="3" borderId="91" applyNumberFormat="1" applyFont="1" applyFill="1" applyBorder="1" applyAlignment="1" applyProtection="0">
      <alignment horizontal="center" vertical="top" wrapText="1"/>
    </xf>
    <xf numFmtId="0" fontId="3" fillId="2" borderId="54" applyNumberFormat="1" applyFont="1" applyFill="1" applyBorder="1" applyAlignment="1" applyProtection="0">
      <alignment horizontal="center" vertical="top" wrapText="1"/>
    </xf>
    <xf numFmtId="0" fontId="3" fillId="2" borderId="56" applyNumberFormat="1" applyFont="1" applyFill="1" applyBorder="1" applyAlignment="1" applyProtection="0">
      <alignment horizontal="center" vertical="top" wrapText="1"/>
    </xf>
    <xf numFmtId="0" fontId="3" fillId="2" borderId="92" applyNumberFormat="0" applyFont="1" applyFill="1" applyBorder="1" applyAlignment="1" applyProtection="0">
      <alignment horizontal="left" vertical="top" wrapText="1"/>
    </xf>
    <xf numFmtId="0" fontId="3" fillId="2" borderId="92" applyNumberFormat="0" applyFont="1" applyFill="1" applyBorder="1" applyAlignment="1" applyProtection="0">
      <alignment horizontal="center" vertical="top" wrapText="1"/>
    </xf>
    <xf numFmtId="0" fontId="3" fillId="2" borderId="9" applyNumberFormat="0" applyFont="1" applyFill="1" applyBorder="1" applyAlignment="1" applyProtection="0">
      <alignment horizontal="left" vertical="top" wrapText="1"/>
    </xf>
    <xf numFmtId="0" fontId="3" fillId="2" borderId="61" applyNumberFormat="0" applyFont="1" applyFill="1" applyBorder="1" applyAlignment="1" applyProtection="0">
      <alignment horizontal="left" vertical="top" wrapText="1"/>
    </xf>
    <xf numFmtId="49" fontId="4" fillId="2" borderId="78" applyNumberFormat="1" applyFont="1" applyFill="1" applyBorder="1" applyAlignment="1" applyProtection="0">
      <alignment vertical="top"/>
    </xf>
    <xf numFmtId="0" fontId="3" fillId="2" borderId="10" applyNumberFormat="0" applyFont="1" applyFill="1" applyBorder="1" applyAlignment="1" applyProtection="0">
      <alignment horizontal="center" vertical="top" wrapText="1"/>
    </xf>
    <xf numFmtId="0" fontId="5" fillId="2" borderId="34" applyNumberFormat="0" applyFont="1" applyFill="1" applyBorder="1" applyAlignment="1" applyProtection="0">
      <alignment horizontal="center" vertical="top" wrapText="1"/>
    </xf>
    <xf numFmtId="0" fontId="5" fillId="2" borderId="22" applyNumberFormat="0" applyFont="1" applyFill="1" applyBorder="1" applyAlignment="1" applyProtection="0">
      <alignment horizontal="center" vertical="top" wrapText="1"/>
    </xf>
    <xf numFmtId="0" fontId="5" fillId="2" borderId="93" applyNumberFormat="0" applyFont="1" applyFill="1" applyBorder="1" applyAlignment="1" applyProtection="0">
      <alignment horizontal="center" vertical="top" wrapText="1"/>
    </xf>
    <xf numFmtId="49" fontId="3" fillId="2" borderId="94" applyNumberFormat="1" applyFont="1" applyFill="1" applyBorder="1" applyAlignment="1" applyProtection="0">
      <alignment horizontal="left" vertical="top" wrapText="1"/>
    </xf>
    <xf numFmtId="0" fontId="3" fillId="2" borderId="88" applyNumberFormat="1" applyFont="1" applyFill="1" applyBorder="1" applyAlignment="1" applyProtection="0">
      <alignment horizontal="center" vertical="top" wrapText="1"/>
    </xf>
    <xf numFmtId="49" fontId="3" fillId="2" borderId="91" applyNumberFormat="1" applyFont="1" applyFill="1" applyBorder="1" applyAlignment="1" applyProtection="0">
      <alignment horizontal="center" vertical="top" wrapText="1"/>
    </xf>
    <xf numFmtId="49" fontId="3" fillId="2" borderId="18" applyNumberFormat="1" applyFont="1" applyFill="1" applyBorder="1" applyAlignment="1" applyProtection="0">
      <alignment horizontal="center" vertical="top" wrapText="1"/>
    </xf>
    <xf numFmtId="0" fontId="3" fillId="2" borderId="19" applyNumberFormat="1" applyFont="1" applyFill="1" applyBorder="1" applyAlignment="1" applyProtection="0">
      <alignment horizontal="center" vertical="top" wrapText="1"/>
    </xf>
    <xf numFmtId="49" fontId="3" fillId="2" borderId="20" applyNumberFormat="1" applyFont="1" applyFill="1" applyBorder="1" applyAlignment="1" applyProtection="0">
      <alignment horizontal="center" vertical="top" wrapText="1"/>
    </xf>
    <xf numFmtId="49" fontId="3" fillId="3" borderId="38" applyNumberFormat="1" applyFont="1" applyFill="1" applyBorder="1" applyAlignment="1" applyProtection="0">
      <alignment horizontal="left" vertical="top" wrapText="1"/>
    </xf>
    <xf numFmtId="0" fontId="3" fillId="3" borderId="61" applyNumberFormat="1" applyFont="1" applyFill="1" applyBorder="1" applyAlignment="1" applyProtection="0">
      <alignment horizontal="center" vertical="top" wrapText="1"/>
    </xf>
    <xf numFmtId="49" fontId="3" fillId="3" borderId="95" applyNumberFormat="1" applyFont="1" applyFill="1" applyBorder="1" applyAlignment="1" applyProtection="0">
      <alignment horizontal="center" vertical="top" wrapText="1"/>
    </xf>
    <xf numFmtId="49" fontId="3" fillId="2" borderId="38" applyNumberFormat="1" applyFont="1" applyFill="1" applyBorder="1" applyAlignment="1" applyProtection="0">
      <alignment horizontal="left" vertical="top" wrapText="1"/>
    </xf>
    <xf numFmtId="0" fontId="3" fillId="2" borderId="61" applyNumberFormat="1" applyFont="1" applyFill="1" applyBorder="1" applyAlignment="1" applyProtection="0">
      <alignment horizontal="center" vertical="top" wrapText="1"/>
    </xf>
    <xf numFmtId="49" fontId="3" fillId="2" borderId="95" applyNumberFormat="1" applyFont="1" applyFill="1" applyBorder="1" applyAlignment="1" applyProtection="0">
      <alignment horizontal="center" vertical="top" wrapText="1"/>
    </xf>
    <xf numFmtId="49" fontId="3" fillId="2" borderId="29" applyNumberFormat="1" applyFont="1" applyFill="1" applyBorder="1" applyAlignment="1" applyProtection="0">
      <alignment horizontal="center" vertical="top" wrapText="1"/>
    </xf>
    <xf numFmtId="0" fontId="3" fillId="2" borderId="30" applyNumberFormat="1" applyFont="1" applyFill="1" applyBorder="1" applyAlignment="1" applyProtection="0">
      <alignment horizontal="center" vertical="top" wrapText="1"/>
    </xf>
    <xf numFmtId="49" fontId="3" fillId="2" borderId="31" applyNumberFormat="1" applyFont="1" applyFill="1" applyBorder="1" applyAlignment="1" applyProtection="0">
      <alignment horizontal="center" vertical="top" wrapText="1"/>
    </xf>
    <xf numFmtId="49" fontId="3" fillId="3" borderId="47" applyNumberFormat="1" applyFont="1" applyFill="1" applyBorder="1" applyAlignment="1" applyProtection="0">
      <alignment horizontal="left" vertical="top" wrapText="1"/>
    </xf>
    <xf numFmtId="49" fontId="3" fillId="2" borderId="54" applyNumberFormat="1" applyFont="1" applyFill="1" applyBorder="1" applyAlignment="1" applyProtection="0">
      <alignment horizontal="left"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96" applyNumberFormat="0" applyFont="1" applyFill="1" applyBorder="1" applyAlignment="1" applyProtection="0">
      <alignment vertical="top" wrapText="1"/>
    </xf>
    <xf numFmtId="0" fontId="3" fillId="2" borderId="95" applyNumberFormat="0" applyFont="1" applyFill="1" applyBorder="1" applyAlignment="1" applyProtection="0">
      <alignment horizontal="center" vertical="top" wrapText="1"/>
    </xf>
    <xf numFmtId="49" fontId="3" fillId="2" borderId="55" applyNumberFormat="1" applyFont="1" applyFill="1" applyBorder="1" applyAlignment="1" applyProtection="0">
      <alignment horizontal="center" vertical="top" wrapText="1"/>
    </xf>
    <xf numFmtId="49" fontId="3" fillId="2" borderId="44" applyNumberFormat="1" applyFont="1" applyFill="1" applyBorder="1" applyAlignment="1" applyProtection="0">
      <alignment horizontal="center" vertical="top" wrapText="1"/>
    </xf>
    <xf numFmtId="0" fontId="3" fillId="2" borderId="45" applyNumberFormat="1" applyFont="1" applyFill="1" applyBorder="1" applyAlignment="1" applyProtection="0">
      <alignment horizontal="center" vertical="top" wrapText="1"/>
    </xf>
    <xf numFmtId="0" fontId="3" fillId="2" borderId="46" applyNumberFormat="1" applyFont="1" applyFill="1" applyBorder="1" applyAlignment="1" applyProtection="0">
      <alignment horizontal="center" vertical="top" wrapText="1"/>
    </xf>
    <xf numFmtId="49" fontId="3" fillId="3" borderId="82" applyNumberFormat="1" applyFont="1" applyFill="1" applyBorder="1" applyAlignment="1" applyProtection="0">
      <alignment horizontal="center" vertical="top" wrapText="1"/>
    </xf>
    <xf numFmtId="49" fontId="3" fillId="3" borderId="83" applyNumberFormat="1" applyFont="1" applyFill="1" applyBorder="1" applyAlignment="1" applyProtection="0">
      <alignment horizontal="center" vertical="top" wrapText="1"/>
    </xf>
    <xf numFmtId="49" fontId="3" fillId="3" borderId="84" applyNumberFormat="1" applyFont="1" applyFill="1" applyBorder="1" applyAlignment="1" applyProtection="0">
      <alignment horizontal="center" vertical="top" wrapText="1"/>
    </xf>
    <xf numFmtId="0" fontId="3" fillId="2" borderId="28" applyNumberFormat="0" applyFont="1" applyFill="1" applyBorder="1" applyAlignment="1" applyProtection="0">
      <alignment horizontal="center" vertical="top" wrapText="1"/>
    </xf>
    <xf numFmtId="0" fontId="3" fillId="2" borderId="96" applyNumberFormat="0" applyFont="1" applyFill="1" applyBorder="1" applyAlignment="1" applyProtection="0">
      <alignment horizontal="center" vertical="top" wrapText="1"/>
    </xf>
    <xf numFmtId="49" fontId="3" fillId="2" borderId="90" applyNumberFormat="1" applyFont="1" applyFill="1" applyBorder="1" applyAlignment="1" applyProtection="0">
      <alignment horizontal="center" vertical="top" wrapText="1"/>
    </xf>
    <xf numFmtId="49" fontId="3" fillId="3" borderId="16" applyNumberFormat="1" applyFont="1" applyFill="1" applyBorder="1" applyAlignment="1" applyProtection="0">
      <alignment horizontal="center" vertical="top" wrapText="1"/>
    </xf>
    <xf numFmtId="49" fontId="3" fillId="2" borderId="16" applyNumberFormat="1" applyFont="1" applyFill="1" applyBorder="1" applyAlignment="1" applyProtection="0">
      <alignment horizontal="center" vertical="top" wrapText="1"/>
    </xf>
    <xf numFmtId="0" fontId="3" fillId="3" borderId="16" applyNumberFormat="0" applyFont="1" applyFill="1" applyBorder="1" applyAlignment="1" applyProtection="0">
      <alignment horizontal="center" vertical="top" wrapText="1"/>
    </xf>
    <xf numFmtId="0" fontId="3" fillId="3" borderId="61" applyNumberFormat="0" applyFont="1" applyFill="1" applyBorder="1" applyAlignment="1" applyProtection="0">
      <alignment horizontal="center" vertical="top" wrapText="1"/>
    </xf>
    <xf numFmtId="49" fontId="3" fillId="3" borderId="61" applyNumberFormat="1" applyFont="1" applyFill="1" applyBorder="1" applyAlignment="1" applyProtection="0">
      <alignment horizontal="center" vertical="top" wrapText="1"/>
    </xf>
    <xf numFmtId="49" fontId="3" fillId="2" borderId="54" applyNumberFormat="1" applyFont="1" applyFill="1" applyBorder="1" applyAlignment="1" applyProtection="0">
      <alignment horizontal="center" vertical="top" wrapText="1"/>
    </xf>
    <xf numFmtId="59" fontId="3" fillId="2" borderId="55" applyNumberFormat="1" applyFont="1" applyFill="1" applyBorder="1" applyAlignment="1" applyProtection="0">
      <alignment horizontal="center" vertical="top" wrapText="1"/>
    </xf>
    <xf numFmtId="0" fontId="0" fillId="2" borderId="57" applyNumberFormat="0" applyFont="1" applyFill="1" applyBorder="1" applyAlignment="1" applyProtection="0">
      <alignment vertical="top" wrapText="1"/>
    </xf>
    <xf numFmtId="0" fontId="0" fillId="2" borderId="97" applyNumberFormat="0" applyFont="1" applyFill="1" applyBorder="1" applyAlignment="1" applyProtection="0">
      <alignment vertical="top" wrapText="1"/>
    </xf>
    <xf numFmtId="0" fontId="0" fillId="2" borderId="98" applyNumberFormat="0" applyFont="1" applyFill="1" applyBorder="1" applyAlignment="1" applyProtection="0">
      <alignment vertical="top" wrapText="1"/>
    </xf>
    <xf numFmtId="0" fontId="0" fillId="2" borderId="36" applyNumberFormat="0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0" fontId="0" fillId="2" borderId="99" applyNumberFormat="0" applyFont="1" applyFill="1" applyBorder="1" applyAlignment="1" applyProtection="0">
      <alignment vertical="top" wrapText="1"/>
    </xf>
    <xf numFmtId="49" fontId="3" fillId="2" borderId="100" applyNumberFormat="1" applyFont="1" applyFill="1" applyBorder="1" applyAlignment="1" applyProtection="0">
      <alignment horizontal="center" vertical="top"/>
    </xf>
    <xf numFmtId="0" fontId="3" fillId="2" borderId="100" applyNumberFormat="0" applyFont="1" applyFill="1" applyBorder="1" applyAlignment="1" applyProtection="0">
      <alignment horizontal="left" vertical="top" wrapText="1"/>
    </xf>
    <xf numFmtId="0" fontId="0" fillId="2" borderId="101" applyNumberFormat="0" applyFont="1" applyFill="1" applyBorder="1" applyAlignment="1" applyProtection="0">
      <alignment vertical="top" wrapText="1"/>
    </xf>
    <xf numFmtId="0" fontId="3" fillId="2" borderId="102" applyNumberFormat="0" applyFont="1" applyFill="1" applyBorder="1" applyAlignment="1" applyProtection="0">
      <alignment horizontal="center" vertical="top" wrapText="1"/>
    </xf>
    <xf numFmtId="49" fontId="5" fillId="3" borderId="103" applyNumberFormat="1" applyFont="1" applyFill="1" applyBorder="1" applyAlignment="1" applyProtection="0">
      <alignment horizontal="left" vertical="top" wrapText="1"/>
    </xf>
    <xf numFmtId="49" fontId="5" fillId="3" borderId="104" applyNumberFormat="1" applyFont="1" applyFill="1" applyBorder="1" applyAlignment="1" applyProtection="0">
      <alignment horizontal="center" vertical="top" wrapText="1"/>
    </xf>
    <xf numFmtId="49" fontId="5" fillId="3" borderId="105" applyNumberFormat="1" applyFont="1" applyFill="1" applyBorder="1" applyAlignment="1" applyProtection="0">
      <alignment horizontal="center" vertical="top" wrapText="1"/>
    </xf>
    <xf numFmtId="0" fontId="0" fillId="2" borderId="61" applyNumberFormat="0" applyFont="1" applyFill="1" applyBorder="1" applyAlignment="1" applyProtection="0">
      <alignment vertical="top" wrapText="1"/>
    </xf>
    <xf numFmtId="0" fontId="5" fillId="2" borderId="61" applyNumberFormat="0" applyFont="1" applyFill="1" applyBorder="1" applyAlignment="1" applyProtection="0">
      <alignment horizontal="center" vertical="top"/>
    </xf>
    <xf numFmtId="49" fontId="3" fillId="2" borderId="106" applyNumberFormat="1" applyFont="1" applyFill="1" applyBorder="1" applyAlignment="1" applyProtection="0">
      <alignment horizontal="left" vertical="top" wrapText="1"/>
    </xf>
    <xf numFmtId="59" fontId="3" fillId="2" borderId="107" applyNumberFormat="1" applyFont="1" applyFill="1" applyBorder="1" applyAlignment="1" applyProtection="0">
      <alignment horizontal="center" vertical="top" wrapText="1"/>
    </xf>
    <xf numFmtId="0" fontId="3" fillId="2" borderId="107" applyNumberFormat="1" applyFont="1" applyFill="1" applyBorder="1" applyAlignment="1" applyProtection="0">
      <alignment horizontal="center" vertical="top" wrapText="1"/>
    </xf>
    <xf numFmtId="49" fontId="3" fillId="2" borderId="108" applyNumberFormat="1" applyFont="1" applyFill="1" applyBorder="1" applyAlignment="1" applyProtection="0">
      <alignment horizontal="center" vertical="top" wrapText="1"/>
    </xf>
    <xf numFmtId="49" fontId="3" fillId="3" borderId="109" applyNumberFormat="1" applyFont="1" applyFill="1" applyBorder="1" applyAlignment="1" applyProtection="0">
      <alignment horizontal="left" vertical="top" wrapText="1"/>
    </xf>
    <xf numFmtId="0" fontId="3" fillId="3" borderId="30" applyNumberFormat="1" applyFont="1" applyFill="1" applyBorder="1" applyAlignment="1" applyProtection="0">
      <alignment horizontal="center" vertical="top" wrapText="1"/>
    </xf>
    <xf numFmtId="49" fontId="3" fillId="3" borderId="49" applyNumberFormat="1" applyFont="1" applyFill="1" applyBorder="1" applyAlignment="1" applyProtection="0">
      <alignment horizontal="center" vertical="top" wrapText="1"/>
    </xf>
    <xf numFmtId="49" fontId="3" fillId="3" borderId="110" applyNumberFormat="1" applyFont="1" applyFill="1" applyBorder="1" applyAlignment="1" applyProtection="0">
      <alignment horizontal="center" vertical="top" wrapText="1"/>
    </xf>
    <xf numFmtId="49" fontId="3" fillId="2" borderId="111" applyNumberFormat="1" applyFont="1" applyFill="1" applyBorder="1" applyAlignment="1" applyProtection="0">
      <alignment horizontal="left" vertical="top" wrapText="1"/>
    </xf>
    <xf numFmtId="49" fontId="3" fillId="2" borderId="85" applyNumberFormat="1" applyFont="1" applyFill="1" applyBorder="1" applyAlignment="1" applyProtection="0">
      <alignment horizontal="center" vertical="top" wrapText="1"/>
    </xf>
    <xf numFmtId="49" fontId="3" fillId="2" borderId="110" applyNumberFormat="1" applyFont="1" applyFill="1" applyBorder="1" applyAlignment="1" applyProtection="0">
      <alignment horizontal="center" vertical="top" wrapText="1"/>
    </xf>
    <xf numFmtId="49" fontId="3" fillId="3" borderId="111" applyNumberFormat="1" applyFont="1" applyFill="1" applyBorder="1" applyAlignment="1" applyProtection="0">
      <alignment horizontal="left" vertical="top" wrapText="1"/>
    </xf>
    <xf numFmtId="0" fontId="3" fillId="3" borderId="85" applyNumberFormat="1" applyFont="1" applyFill="1" applyBorder="1" applyAlignment="1" applyProtection="0">
      <alignment horizontal="center" vertical="top" wrapText="1"/>
    </xf>
    <xf numFmtId="0" fontId="3" fillId="2" borderId="85" applyNumberFormat="1" applyFont="1" applyFill="1" applyBorder="1" applyAlignment="1" applyProtection="0">
      <alignment horizontal="center" vertical="top" wrapText="1"/>
    </xf>
    <xf numFmtId="49" fontId="3" fillId="3" borderId="112" applyNumberFormat="1" applyFont="1" applyFill="1" applyBorder="1" applyAlignment="1" applyProtection="0">
      <alignment horizontal="left" vertical="top" wrapText="1"/>
    </xf>
    <xf numFmtId="0" fontId="3" fillId="3" borderId="100" applyNumberFormat="1" applyFont="1" applyFill="1" applyBorder="1" applyAlignment="1" applyProtection="0">
      <alignment horizontal="center" vertical="top" wrapText="1"/>
    </xf>
    <xf numFmtId="0" fontId="3" fillId="3" borderId="101" applyNumberFormat="1" applyFont="1" applyFill="1" applyBorder="1" applyAlignment="1" applyProtection="0">
      <alignment horizontal="center" vertical="top" wrapText="1"/>
    </xf>
    <xf numFmtId="49" fontId="3" fillId="3" borderId="113" applyNumberFormat="1" applyFont="1" applyFill="1" applyBorder="1" applyAlignment="1" applyProtection="0">
      <alignment horizontal="center" vertical="top" wrapText="1"/>
    </xf>
    <xf numFmtId="0" fontId="3" fillId="2" borderId="114" applyNumberFormat="0" applyFont="1" applyFill="1" applyBorder="1" applyAlignment="1" applyProtection="0">
      <alignment horizontal="left" vertical="top" wrapText="1"/>
    </xf>
    <xf numFmtId="0" fontId="0" fillId="2" borderId="115" applyNumberFormat="0" applyFont="1" applyFill="1" applyBorder="1" applyAlignment="1" applyProtection="0">
      <alignment vertical="top" wrapText="1"/>
    </xf>
    <xf numFmtId="0" fontId="0" fillId="2" borderId="116" applyNumberFormat="0" applyFont="1" applyFill="1" applyBorder="1" applyAlignment="1" applyProtection="0">
      <alignment vertical="top" wrapText="1"/>
    </xf>
    <xf numFmtId="0" fontId="3" fillId="2" borderId="107" applyNumberFormat="0" applyFont="1" applyFill="1" applyBorder="1" applyAlignment="1" applyProtection="0">
      <alignment horizontal="center" vertical="top" wrapText="1"/>
    </xf>
    <xf numFmtId="0" fontId="3" fillId="2" borderId="99" applyNumberFormat="0" applyFont="1" applyFill="1" applyBorder="1" applyAlignment="1" applyProtection="0">
      <alignment horizontal="left" vertical="top" wrapText="1"/>
    </xf>
    <xf numFmtId="49" fontId="5" fillId="2" borderId="100" applyNumberFormat="1" applyFont="1" applyFill="1" applyBorder="1" applyAlignment="1" applyProtection="0">
      <alignment horizontal="center" vertical="top"/>
    </xf>
    <xf numFmtId="0" fontId="0" fillId="2" borderId="100" applyNumberFormat="0" applyFont="1" applyFill="1" applyBorder="1" applyAlignment="1" applyProtection="0">
      <alignment vertical="top" wrapText="1"/>
    </xf>
    <xf numFmtId="49" fontId="3" fillId="2" borderId="103" applyNumberFormat="1" applyFont="1" applyFill="1" applyBorder="1" applyAlignment="1" applyProtection="0">
      <alignment horizontal="center" vertical="top" wrapText="1"/>
    </xf>
    <xf numFmtId="0" fontId="3" fillId="2" borderId="104" applyNumberFormat="1" applyFont="1" applyFill="1" applyBorder="1" applyAlignment="1" applyProtection="0">
      <alignment vertical="center" wrapText="1"/>
    </xf>
    <xf numFmtId="0" fontId="3" fillId="2" borderId="105" applyNumberFormat="1" applyFont="1" applyFill="1" applyBorder="1" applyAlignment="1" applyProtection="0">
      <alignment vertical="center" wrapText="1"/>
    </xf>
    <xf numFmtId="49" fontId="3" fillId="2" borderId="65" applyNumberFormat="1" applyFont="1" applyFill="1" applyBorder="1" applyAlignment="1" applyProtection="0">
      <alignment horizontal="center" vertical="center" wrapText="1"/>
    </xf>
    <xf numFmtId="0" fontId="0" fillId="2" borderId="117" applyNumberFormat="0" applyFont="1" applyFill="1" applyBorder="1" applyAlignment="1" applyProtection="0">
      <alignment vertical="top" wrapText="1"/>
    </xf>
    <xf numFmtId="0" fontId="0" fillId="2" borderId="118" applyNumberFormat="0" applyFont="1" applyFill="1" applyBorder="1" applyAlignment="1" applyProtection="0">
      <alignment vertical="top" wrapText="1"/>
    </xf>
    <xf numFmtId="0" fontId="0" fillId="2" borderId="119" applyNumberFormat="0" applyFont="1" applyFill="1" applyBorder="1" applyAlignment="1" applyProtection="0">
      <alignment vertical="top" wrapText="1"/>
    </xf>
    <xf numFmtId="0" fontId="3" fillId="2" borderId="120" applyNumberFormat="0" applyFont="1" applyFill="1" applyBorder="1" applyAlignment="1" applyProtection="0">
      <alignment horizontal="center"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78" applyNumberFormat="0" applyFont="1" applyFill="1" applyBorder="1" applyAlignment="1" applyProtection="0">
      <alignment vertical="top" wrapText="1"/>
    </xf>
    <xf numFmtId="0" fontId="0" fillId="2" borderId="55" applyNumberFormat="0" applyFont="1" applyFill="1" applyBorder="1" applyAlignment="1" applyProtection="0">
      <alignment vertical="top" wrapText="1"/>
    </xf>
    <xf numFmtId="0" fontId="5" fillId="2" borderId="55" applyNumberFormat="0" applyFont="1" applyFill="1" applyBorder="1" applyAlignment="1" applyProtection="0">
      <alignment vertical="top" wrapText="1"/>
    </xf>
    <xf numFmtId="49" fontId="8" fillId="2" borderId="55" applyNumberFormat="1" applyFont="1" applyFill="1" applyBorder="1" applyAlignment="1" applyProtection="0">
      <alignment vertical="top" wrapText="1"/>
    </xf>
    <xf numFmtId="0" fontId="3" fillId="2" borderId="121" applyNumberFormat="0" applyFont="1" applyFill="1" applyBorder="1" applyAlignment="1" applyProtection="0">
      <alignment horizontal="center" vertical="top" wrapText="1"/>
    </xf>
    <xf numFmtId="0" fontId="3" fillId="2" borderId="90" applyNumberFormat="0" applyFont="1" applyFill="1" applyBorder="1" applyAlignment="1" applyProtection="0">
      <alignment horizontal="center" vertical="top" wrapText="1"/>
    </xf>
    <xf numFmtId="0" fontId="3" fillId="2" borderId="91" applyNumberFormat="0" applyFont="1" applyFill="1" applyBorder="1" applyAlignment="1" applyProtection="0">
      <alignment horizontal="center" vertical="top" wrapText="1"/>
    </xf>
    <xf numFmtId="0" fontId="3" fillId="2" borderId="90" applyNumberFormat="1" applyFont="1" applyFill="1" applyBorder="1" applyAlignment="1" applyProtection="0">
      <alignment horizontal="center" vertical="top" wrapText="1"/>
    </xf>
    <xf numFmtId="0" fontId="3" fillId="2" borderId="91" applyNumberFormat="1" applyFont="1" applyFill="1" applyBorder="1" applyAlignment="1" applyProtection="0">
      <alignment horizontal="center" vertical="top" wrapText="1"/>
    </xf>
    <xf numFmtId="0" fontId="3" fillId="2" borderId="16" applyNumberFormat="1" applyFont="1" applyFill="1" applyBorder="1" applyAlignment="1" applyProtection="0">
      <alignment horizontal="center" vertical="top" wrapText="1"/>
    </xf>
    <xf numFmtId="0" fontId="3" fillId="2" borderId="95" applyNumberFormat="1" applyFont="1" applyFill="1" applyBorder="1" applyAlignment="1" applyProtection="0">
      <alignment horizontal="center" vertical="top" wrapText="1"/>
    </xf>
    <xf numFmtId="0" fontId="3" fillId="3" borderId="16" applyNumberFormat="1" applyFont="1" applyFill="1" applyBorder="1" applyAlignment="1" applyProtection="0">
      <alignment horizontal="center" vertical="top" wrapText="1"/>
    </xf>
    <xf numFmtId="0" fontId="3" fillId="3" borderId="95" applyNumberFormat="1" applyFont="1" applyFill="1" applyBorder="1" applyAlignment="1" applyProtection="0">
      <alignment horizontal="center" vertical="top" wrapText="1"/>
    </xf>
    <xf numFmtId="0" fontId="3" fillId="2" borderId="54" applyNumberFormat="0" applyFont="1" applyFill="1" applyBorder="1" applyAlignment="1" applyProtection="0">
      <alignment horizontal="center" vertical="top" wrapText="1"/>
    </xf>
    <xf numFmtId="0" fontId="3" fillId="2" borderId="56" applyNumberFormat="0" applyFont="1" applyFill="1" applyBorder="1" applyAlignment="1" applyProtection="0">
      <alignment horizontal="center" vertical="top" wrapText="1"/>
    </xf>
    <xf numFmtId="0" fontId="3" fillId="3" borderId="90" applyNumberFormat="1" applyFont="1" applyFill="1" applyBorder="1" applyAlignment="1" applyProtection="0">
      <alignment horizontal="center" vertical="top" wrapText="1"/>
    </xf>
    <xf numFmtId="0" fontId="3" fillId="3" borderId="91" applyNumberFormat="1" applyFont="1" applyFill="1" applyBorder="1" applyAlignment="1" applyProtection="0">
      <alignment horizontal="center" vertical="top" wrapText="1"/>
    </xf>
    <xf numFmtId="0" fontId="3" fillId="3" borderId="54" applyNumberFormat="1" applyFont="1" applyFill="1" applyBorder="1" applyAlignment="1" applyProtection="0">
      <alignment horizontal="center" vertical="top" wrapText="1"/>
    </xf>
    <xf numFmtId="0" fontId="3" fillId="3" borderId="56" applyNumberFormat="1" applyFont="1" applyFill="1" applyBorder="1" applyAlignment="1" applyProtection="0">
      <alignment horizontal="center" vertical="top" wrapText="1"/>
    </xf>
    <xf numFmtId="0" fontId="3" fillId="2" borderId="88" applyNumberFormat="0" applyFont="1" applyFill="1" applyBorder="1" applyAlignment="1" applyProtection="0">
      <alignment vertical="top" wrapText="1"/>
    </xf>
    <xf numFmtId="0" fontId="3" fillId="2" borderId="55" applyNumberFormat="0" applyFont="1" applyFill="1" applyBorder="1" applyAlignment="1" applyProtection="0">
      <alignment vertical="top" wrapText="1"/>
    </xf>
    <xf numFmtId="49" fontId="3" fillId="2" borderId="55" applyNumberFormat="1" applyFont="1" applyFill="1" applyBorder="1" applyAlignment="1" applyProtection="0">
      <alignment vertical="top"/>
    </xf>
    <xf numFmtId="0" fontId="3" fillId="2" borderId="55" applyNumberFormat="0" applyFont="1" applyFill="1" applyBorder="1" applyAlignment="1" applyProtection="0">
      <alignment horizontal="center" vertical="top"/>
    </xf>
    <xf numFmtId="49" fontId="3" fillId="3" borderId="122" applyNumberFormat="1" applyFont="1" applyFill="1" applyBorder="1" applyAlignment="1" applyProtection="0">
      <alignment horizontal="center" vertical="top" wrapText="1"/>
    </xf>
    <xf numFmtId="0" fontId="3" fillId="2" borderId="123" applyNumberFormat="1" applyFont="1" applyFill="1" applyBorder="1" applyAlignment="1" applyProtection="0">
      <alignment horizontal="center" vertical="top" wrapText="1"/>
    </xf>
    <xf numFmtId="0" fontId="3" fillId="3" borderId="15" applyNumberFormat="1" applyFont="1" applyFill="1" applyBorder="1" applyAlignment="1" applyProtection="0">
      <alignment horizontal="center" vertical="top" wrapText="1"/>
    </xf>
    <xf numFmtId="59" fontId="3" fillId="3" borderId="16" applyNumberFormat="1" applyFont="1" applyFill="1" applyBorder="1" applyAlignment="1" applyProtection="0">
      <alignment horizontal="center" vertical="top" wrapText="1"/>
    </xf>
    <xf numFmtId="0" fontId="3" fillId="2" borderId="15" applyNumberFormat="1" applyFont="1" applyFill="1" applyBorder="1" applyAlignment="1" applyProtection="0">
      <alignment horizontal="center" vertical="top" wrapText="1"/>
    </xf>
    <xf numFmtId="0" fontId="3" fillId="3" borderId="124" applyNumberFormat="1" applyFont="1" applyFill="1" applyBorder="1" applyAlignment="1" applyProtection="0">
      <alignment horizontal="center" vertical="top" wrapText="1"/>
    </xf>
    <xf numFmtId="0" fontId="3" fillId="3" borderId="55" applyNumberFormat="1" applyFont="1" applyFill="1" applyBorder="1" applyAlignment="1" applyProtection="0">
      <alignment horizontal="center" vertical="top" wrapText="1"/>
    </xf>
    <xf numFmtId="0" fontId="3" fillId="2" borderId="88" applyNumberFormat="0" applyFont="1" applyFill="1" applyBorder="1" applyAlignment="1" applyProtection="0">
      <alignment horizontal="right" vertical="top"/>
    </xf>
    <xf numFmtId="0" fontId="0" fillId="2" borderId="89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fillId="2" borderId="93" applyNumberFormat="0" applyFont="1" applyFill="1" applyBorder="1" applyAlignment="1" applyProtection="0">
      <alignment vertical="top" wrapText="1"/>
    </xf>
    <xf numFmtId="0" fontId="0" fillId="2" borderId="125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fillId="2" borderId="31" applyNumberFormat="0" applyFont="1" applyFill="1" applyBorder="1" applyAlignment="1" applyProtection="0">
      <alignment vertical="top" wrapText="1"/>
    </xf>
    <xf numFmtId="49" fontId="3" fillId="2" borderId="82" applyNumberFormat="1" applyFont="1" applyFill="1" applyBorder="1" applyAlignment="1" applyProtection="0">
      <alignment horizontal="right" vertical="top" wrapText="1"/>
    </xf>
    <xf numFmtId="49" fontId="3" fillId="2" borderId="100" applyNumberFormat="1" applyFont="1" applyFill="1" applyBorder="1" applyAlignment="1" applyProtection="0">
      <alignment vertical="top" wrapText="1"/>
    </xf>
    <xf numFmtId="0" fontId="0" fillId="2" borderId="126" applyNumberFormat="0" applyFont="1" applyFill="1" applyBorder="1" applyAlignment="1" applyProtection="0">
      <alignment vertical="top" wrapText="1"/>
    </xf>
    <xf numFmtId="0" fontId="0" fillId="2" borderId="127" applyNumberFormat="0" applyFont="1" applyFill="1" applyBorder="1" applyAlignment="1" applyProtection="0">
      <alignment vertical="top" wrapText="1"/>
    </xf>
    <xf numFmtId="49" fontId="3" fillId="2" borderId="127" applyNumberFormat="1" applyFont="1" applyFill="1" applyBorder="1" applyAlignment="1" applyProtection="0">
      <alignment vertical="top" wrapText="1"/>
    </xf>
    <xf numFmtId="0" fontId="0" fillId="2" borderId="128" applyNumberFormat="0" applyFont="1" applyFill="1" applyBorder="1" applyAlignment="1" applyProtection="0">
      <alignment vertical="top" wrapText="1"/>
    </xf>
    <xf numFmtId="49" fontId="5" fillId="3" borderId="63" applyNumberFormat="1" applyFont="1" applyFill="1" applyBorder="1" applyAlignment="1" applyProtection="0">
      <alignment horizontal="left" vertical="top" wrapText="1"/>
    </xf>
    <xf numFmtId="49" fontId="5" fillId="3" borderId="64" applyNumberFormat="1" applyFont="1" applyFill="1" applyBorder="1" applyAlignment="1" applyProtection="0">
      <alignment horizontal="center" vertical="top" wrapText="1"/>
    </xf>
    <xf numFmtId="0" fontId="3" fillId="2" borderId="129" applyNumberFormat="0" applyFont="1" applyFill="1" applyBorder="1" applyAlignment="1" applyProtection="0">
      <alignment horizontal="center" vertical="top" wrapText="1"/>
    </xf>
    <xf numFmtId="0" fontId="5" fillId="2" borderId="107" applyNumberFormat="1" applyFont="1" applyFill="1" applyBorder="1" applyAlignment="1" applyProtection="0">
      <alignment horizontal="center" vertical="top" wrapText="1"/>
    </xf>
    <xf numFmtId="49" fontId="5" fillId="2" borderId="107" applyNumberFormat="1" applyFont="1" applyFill="1" applyBorder="1" applyAlignment="1" applyProtection="0">
      <alignment horizontal="center" vertical="top" wrapText="1"/>
    </xf>
    <xf numFmtId="49" fontId="3" fillId="3" borderId="66" applyNumberFormat="1" applyFont="1" applyFill="1" applyBorder="1" applyAlignment="1" applyProtection="0">
      <alignment horizontal="left" vertical="top" wrapText="1"/>
    </xf>
    <xf numFmtId="0" fontId="5" fillId="3" borderId="61" applyNumberFormat="1" applyFont="1" applyFill="1" applyBorder="1" applyAlignment="1" applyProtection="0">
      <alignment horizontal="center" vertical="top" wrapText="1"/>
    </xf>
    <xf numFmtId="49" fontId="3" fillId="2" borderId="66" applyNumberFormat="1" applyFont="1" applyFill="1" applyBorder="1" applyAlignment="1" applyProtection="0">
      <alignment horizontal="left" vertical="top" wrapText="1"/>
    </xf>
    <xf numFmtId="0" fontId="5" fillId="2" borderId="61" applyNumberFormat="1" applyFont="1" applyFill="1" applyBorder="1" applyAlignment="1" applyProtection="0">
      <alignment horizontal="center" vertical="top" wrapText="1"/>
    </xf>
    <xf numFmtId="49" fontId="5" fillId="3" borderId="66" applyNumberFormat="1" applyFont="1" applyFill="1" applyBorder="1" applyAlignment="1" applyProtection="0">
      <alignment horizontal="left" vertical="top" wrapText="1"/>
    </xf>
    <xf numFmtId="49" fontId="5" fillId="2" borderId="130" applyNumberFormat="1" applyFont="1" applyFill="1" applyBorder="1" applyAlignment="1" applyProtection="0">
      <alignment horizontal="left" vertical="top" wrapText="1"/>
    </xf>
    <xf numFmtId="0" fontId="5" fillId="2" borderId="60" applyNumberFormat="1" applyFont="1" applyFill="1" applyBorder="1" applyAlignment="1" applyProtection="0">
      <alignment horizontal="center" vertical="top" wrapText="1"/>
    </xf>
    <xf numFmtId="0" fontId="3" fillId="2" borderId="60" applyNumberFormat="1" applyFont="1" applyFill="1" applyBorder="1" applyAlignment="1" applyProtection="0">
      <alignment vertical="top" wrapText="1"/>
    </xf>
    <xf numFmtId="49" fontId="3" fillId="2" borderId="113" applyNumberFormat="1" applyFont="1" applyFill="1" applyBorder="1" applyAlignment="1" applyProtection="0">
      <alignment horizontal="center" vertical="top" wrapText="1"/>
    </xf>
    <xf numFmtId="0" fontId="3" fillId="2" borderId="60" applyNumberFormat="1" applyFont="1" applyFill="1" applyBorder="1" applyAlignment="1" applyProtection="0">
      <alignment horizontal="center" vertical="top" wrapText="1"/>
    </xf>
    <xf numFmtId="0" fontId="5" fillId="2" borderId="107" applyNumberFormat="0" applyFont="1" applyFill="1" applyBorder="1" applyAlignment="1" applyProtection="0">
      <alignment horizontal="center" vertical="top" wrapText="1"/>
    </xf>
    <xf numFmtId="0" fontId="0" fillId="2" borderId="107" applyNumberFormat="0" applyFont="1" applyFill="1" applyBorder="1" applyAlignment="1" applyProtection="0">
      <alignment vertical="top" wrapText="1"/>
    </xf>
    <xf numFmtId="0" fontId="0" fillId="2" borderId="131" applyNumberFormat="0" applyFont="1" applyFill="1" applyBorder="1" applyAlignment="1" applyProtection="0">
      <alignment vertical="top" wrapText="1"/>
    </xf>
    <xf numFmtId="0" fontId="0" fillId="2" borderId="132" applyNumberFormat="0" applyFont="1" applyFill="1" applyBorder="1" applyAlignment="1" applyProtection="0">
      <alignment vertical="top" wrapText="1"/>
    </xf>
    <xf numFmtId="0" fontId="0" fillId="2" borderId="133" applyNumberFormat="0" applyFont="1" applyFill="1" applyBorder="1" applyAlignment="1" applyProtection="0">
      <alignment vertical="top" wrapText="1"/>
    </xf>
    <xf numFmtId="0" fontId="0" fillId="2" borderId="134" applyNumberFormat="0" applyFont="1" applyFill="1" applyBorder="1" applyAlignment="1" applyProtection="0">
      <alignment vertical="top" wrapText="1"/>
    </xf>
    <xf numFmtId="0" fontId="0" fillId="2" borderId="135" applyNumberFormat="0" applyFont="1" applyFill="1" applyBorder="1" applyAlignment="1" applyProtection="0">
      <alignment vertical="top" wrapText="1"/>
    </xf>
    <xf numFmtId="0" fontId="0" fillId="2" borderId="136" applyNumberFormat="0" applyFont="1" applyFill="1" applyBorder="1" applyAlignment="1" applyProtection="0">
      <alignment vertical="top" wrapText="1"/>
    </xf>
    <xf numFmtId="0" fontId="0" fillId="2" borderId="72" applyNumberFormat="0" applyFont="1" applyFill="1" applyBorder="1" applyAlignment="1" applyProtection="0">
      <alignment vertical="top" wrapText="1"/>
    </xf>
    <xf numFmtId="0" fontId="0" fillId="2" borderId="76" applyNumberFormat="0" applyFont="1" applyFill="1" applyBorder="1" applyAlignment="1" applyProtection="0">
      <alignment vertical="top" wrapText="1"/>
    </xf>
    <xf numFmtId="0" fontId="0" fillId="2" borderId="8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7f00"/>
      <rgbColor rgb="ff017000"/>
      <rgbColor rgb="ffd5d5d5"/>
      <rgbColor rgb="ff212121"/>
      <rgbColor rgb="ffff0000"/>
      <rgbColor rgb="ffff968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137"/>
  <sheetViews>
    <sheetView workbookViewId="0" showGridLines="0" defaultGridColor="1">
      <pane topLeftCell="A7" xSplit="0" ySplit="6" activePane="bottomLeft" state="frozen"/>
    </sheetView>
  </sheetViews>
  <sheetFormatPr defaultColWidth="16.3333" defaultRowHeight="19.9" customHeight="1" outlineLevelRow="0" outlineLevelCol="0"/>
  <cols>
    <col min="1" max="1" width="11.6641" style="1" customWidth="1"/>
    <col min="2" max="2" width="28.6875" style="1" customWidth="1"/>
    <col min="3" max="3" width="20.0703" style="1" customWidth="1"/>
    <col min="4" max="4" width="28.0781" style="1" customWidth="1"/>
    <col min="5" max="5" width="23.8984" style="1" customWidth="1"/>
    <col min="6" max="6" width="23.5469" style="1" customWidth="1"/>
    <col min="7" max="7" width="30.1797" style="1" customWidth="1"/>
    <col min="8" max="8" width="22.125" style="1" customWidth="1"/>
    <col min="9" max="9" width="20.1562" style="1" customWidth="1"/>
    <col min="10" max="10" width="19.9219" style="1" customWidth="1"/>
    <col min="11" max="11" width="15.9844" style="1" customWidth="1"/>
    <col min="12" max="12" width="10.9062" style="1" customWidth="1"/>
    <col min="13" max="256" width="16.3516" style="1" customWidth="1"/>
  </cols>
  <sheetData>
    <row r="1" ht="37.4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6.05" customHeight="1">
      <c r="A2" s="3"/>
      <c r="B2" t="s" s="4">
        <v>1</v>
      </c>
      <c r="C2" s="3"/>
      <c r="D2" s="3"/>
      <c r="E2" s="3"/>
      <c r="F2" s="3"/>
      <c r="G2" s="3"/>
      <c r="H2" s="3"/>
      <c r="I2" s="3"/>
      <c r="J2" s="3"/>
      <c r="K2" s="5"/>
      <c r="L2" s="6"/>
    </row>
    <row r="3" ht="23.65" customHeight="1">
      <c r="A3" s="7"/>
      <c r="B3" s="8"/>
      <c r="C3" t="s" s="9">
        <v>2</v>
      </c>
      <c r="D3" s="10"/>
      <c r="E3" s="10"/>
      <c r="F3" s="11"/>
      <c r="G3" s="10"/>
      <c r="H3" t="s" s="9">
        <v>3</v>
      </c>
      <c r="I3" s="10"/>
      <c r="J3" s="12"/>
      <c r="K3" s="13"/>
      <c r="L3" s="14"/>
    </row>
    <row r="4" ht="23.65" customHeight="1">
      <c r="A4" s="15"/>
      <c r="B4" t="s" s="16">
        <v>4</v>
      </c>
      <c r="C4" t="s" s="17">
        <v>5</v>
      </c>
      <c r="D4" t="s" s="17">
        <v>6</v>
      </c>
      <c r="E4" t="s" s="18">
        <v>7</v>
      </c>
      <c r="F4" s="19"/>
      <c r="G4" t="s" s="20">
        <v>8</v>
      </c>
      <c r="H4" t="s" s="21">
        <v>9</v>
      </c>
      <c r="I4" t="s" s="21">
        <v>6</v>
      </c>
      <c r="J4" t="s" s="22">
        <v>7</v>
      </c>
      <c r="K4" s="23"/>
      <c r="L4" s="24"/>
    </row>
    <row r="5" ht="21.2" customHeight="1">
      <c r="A5" s="25"/>
      <c r="B5" t="s" s="26">
        <v>10</v>
      </c>
      <c r="C5" s="27">
        <f>4180</f>
        <v>4180</v>
      </c>
      <c r="D5" t="s" s="28">
        <v>11</v>
      </c>
      <c r="E5" t="s" s="29">
        <v>12</v>
      </c>
      <c r="F5" s="30"/>
      <c r="G5" t="s" s="31">
        <v>13</v>
      </c>
      <c r="H5" s="27">
        <v>219.8</v>
      </c>
      <c r="I5" s="27">
        <v>2</v>
      </c>
      <c r="J5" t="s" s="29">
        <v>14</v>
      </c>
      <c r="K5" s="23"/>
      <c r="L5" s="24"/>
    </row>
    <row r="6" ht="21.2" customHeight="1">
      <c r="A6" s="25"/>
      <c r="B6" t="s" s="32">
        <v>15</v>
      </c>
      <c r="C6" s="33">
        <f>1000</f>
        <v>1000</v>
      </c>
      <c r="D6" s="33">
        <f>10</f>
        <v>10</v>
      </c>
      <c r="E6" t="s" s="34">
        <v>16</v>
      </c>
      <c r="F6" s="30"/>
      <c r="G6" t="s" s="35">
        <v>17</v>
      </c>
      <c r="H6" s="36">
        <v>221.3</v>
      </c>
      <c r="I6" s="36">
        <v>2</v>
      </c>
      <c r="J6" t="s" s="37">
        <v>14</v>
      </c>
      <c r="K6" s="23"/>
      <c r="L6" s="24"/>
    </row>
    <row r="7" ht="21.2" customHeight="1">
      <c r="A7" s="38"/>
      <c r="B7" s="39"/>
      <c r="C7" s="40"/>
      <c r="D7" s="40"/>
      <c r="E7" s="40"/>
      <c r="F7" s="41"/>
      <c r="G7" t="s" s="42">
        <v>18</v>
      </c>
      <c r="H7" s="43">
        <f>220.7</f>
        <v>220.7</v>
      </c>
      <c r="I7" s="43">
        <v>2</v>
      </c>
      <c r="J7" t="s" s="44">
        <v>14</v>
      </c>
      <c r="K7" s="45"/>
      <c r="L7" s="46"/>
    </row>
    <row r="8" ht="22.15" customHeight="1">
      <c r="A8" s="47"/>
      <c r="B8" s="48"/>
      <c r="C8" t="s" s="49">
        <v>19</v>
      </c>
      <c r="D8" s="50"/>
      <c r="E8" s="50"/>
      <c r="F8" s="51"/>
      <c r="G8" t="s" s="52">
        <v>20</v>
      </c>
      <c r="H8" s="53">
        <f>223.3</f>
        <v>223.3</v>
      </c>
      <c r="I8" s="53">
        <v>2</v>
      </c>
      <c r="J8" t="s" s="54">
        <v>14</v>
      </c>
      <c r="K8" s="55"/>
      <c r="L8" s="56"/>
    </row>
    <row r="9" ht="23.65" customHeight="1">
      <c r="A9" s="25"/>
      <c r="B9" t="s" s="16">
        <v>4</v>
      </c>
      <c r="C9" t="s" s="21">
        <v>9</v>
      </c>
      <c r="D9" t="s" s="21">
        <v>6</v>
      </c>
      <c r="E9" t="s" s="22">
        <v>7</v>
      </c>
      <c r="F9" s="57"/>
      <c r="G9" t="s" s="58">
        <v>21</v>
      </c>
      <c r="H9" s="59">
        <v>221.9</v>
      </c>
      <c r="I9" s="59">
        <v>2</v>
      </c>
      <c r="J9" t="s" s="60">
        <v>14</v>
      </c>
      <c r="K9" s="55"/>
      <c r="L9" s="56"/>
    </row>
    <row r="10" ht="21.2" customHeight="1">
      <c r="A10" s="25"/>
      <c r="B10" t="s" s="61">
        <v>22</v>
      </c>
      <c r="C10" s="62">
        <f>5.4</f>
        <v>5.4</v>
      </c>
      <c r="D10" s="62">
        <f>0.01</f>
        <v>0.01</v>
      </c>
      <c r="E10" t="s" s="63">
        <v>23</v>
      </c>
      <c r="F10" s="57"/>
      <c r="G10" s="64"/>
      <c r="H10" s="65"/>
      <c r="I10" t="s" s="66">
        <v>24</v>
      </c>
      <c r="J10" t="s" s="54">
        <v>25</v>
      </c>
      <c r="K10" s="55"/>
      <c r="L10" s="56"/>
    </row>
    <row r="11" ht="21.2" customHeight="1">
      <c r="A11" s="25"/>
      <c r="B11" t="s" s="67">
        <v>26</v>
      </c>
      <c r="C11" s="53">
        <f>5.3</f>
        <v>5.3</v>
      </c>
      <c r="D11" s="53">
        <f>0.05</f>
        <v>0.05</v>
      </c>
      <c r="E11" t="s" s="54">
        <v>27</v>
      </c>
      <c r="F11" s="57"/>
      <c r="G11" t="s" s="68">
        <v>28</v>
      </c>
      <c r="H11" s="69">
        <f>AVERAGE(H5:H9)</f>
        <v>221.4</v>
      </c>
      <c r="I11" s="69">
        <f t="shared" si="10" ref="I11:I54">SQRT(20)/5</f>
        <v>0.894427190999916</v>
      </c>
      <c r="J11" s="70">
        <f>STDEV(H5:H9)/SQRT(5)</f>
        <v>0.5882176467941108</v>
      </c>
      <c r="K11" s="71"/>
      <c r="L11" s="72"/>
    </row>
    <row r="12" ht="21.2" customHeight="1">
      <c r="A12" s="25"/>
      <c r="B12" t="s" s="73">
        <v>29</v>
      </c>
      <c r="C12" s="74">
        <f>288.2</f>
        <v>288.2</v>
      </c>
      <c r="D12" s="74">
        <f>2</f>
        <v>2</v>
      </c>
      <c r="E12" t="s" s="75">
        <v>30</v>
      </c>
      <c r="F12" s="76"/>
      <c r="G12" s="77"/>
      <c r="H12" s="77"/>
      <c r="I12" s="77"/>
      <c r="J12" s="77"/>
      <c r="K12" s="78"/>
      <c r="L12" s="46"/>
    </row>
    <row r="13" ht="22.15" customHeight="1">
      <c r="A13" s="25"/>
      <c r="B13" s="79"/>
      <c r="C13" s="65"/>
      <c r="D13" s="65"/>
      <c r="E13" s="80"/>
      <c r="F13" s="81"/>
      <c r="G13" s="82"/>
      <c r="H13" t="s" s="83">
        <v>31</v>
      </c>
      <c r="I13" s="82"/>
      <c r="J13" s="82"/>
      <c r="K13" s="84"/>
      <c r="L13" s="72"/>
    </row>
    <row r="14" ht="22.7" customHeight="1">
      <c r="A14" s="25"/>
      <c r="B14" t="s" s="73">
        <v>32</v>
      </c>
      <c r="C14" s="74">
        <f>C10*C11/C12</f>
        <v>0.09930603747397641</v>
      </c>
      <c r="D14" s="74">
        <f>SQRT((D10*C11/C12)^2+(D11*C10/C12)^2+(C10*C11*D12/C12^2)^2)</f>
        <v>0.00117746728524303</v>
      </c>
      <c r="E14" t="s" s="75">
        <v>33</v>
      </c>
      <c r="F14" s="57"/>
      <c r="G14" t="s" s="85">
        <v>34</v>
      </c>
      <c r="H14" t="s" s="21">
        <v>9</v>
      </c>
      <c r="I14" t="s" s="21">
        <v>6</v>
      </c>
      <c r="J14" t="s" s="22">
        <v>7</v>
      </c>
      <c r="K14" s="45"/>
      <c r="L14" s="46"/>
    </row>
    <row r="15" ht="21.2" customHeight="1">
      <c r="A15" s="86"/>
      <c r="B15" s="87"/>
      <c r="C15" s="88">
        <f>60*C14</f>
        <v>5.958362248438585</v>
      </c>
      <c r="D15" s="88">
        <f>60*D14</f>
        <v>0.07064803711458181</v>
      </c>
      <c r="E15" t="s" s="89">
        <v>35</v>
      </c>
      <c r="F15" s="57"/>
      <c r="G15" t="s" s="90">
        <v>36</v>
      </c>
      <c r="H15" s="91">
        <v>290.35</v>
      </c>
      <c r="I15" s="91">
        <v>0.2</v>
      </c>
      <c r="J15" t="s" s="92">
        <v>37</v>
      </c>
      <c r="K15" s="55"/>
      <c r="L15" s="56"/>
    </row>
    <row r="16" ht="21.2" customHeight="1">
      <c r="A16" s="93"/>
      <c r="B16" t="s" s="94">
        <v>38</v>
      </c>
      <c r="C16" s="95">
        <f>C10*C11</f>
        <v>28.62</v>
      </c>
      <c r="D16" s="95">
        <f>C16*SQRT((D10/C10)^2+(D11/C11)^2)</f>
        <v>0.2751526848860466</v>
      </c>
      <c r="E16" t="s" s="96">
        <v>39</v>
      </c>
      <c r="F16" s="57"/>
      <c r="G16" t="s" s="67">
        <v>36</v>
      </c>
      <c r="H16" s="53">
        <v>293.45</v>
      </c>
      <c r="I16" s="53">
        <v>0.2</v>
      </c>
      <c r="J16" t="s" s="54">
        <v>37</v>
      </c>
      <c r="K16" s="55"/>
      <c r="L16" s="56"/>
    </row>
    <row r="17" ht="21.2" customHeight="1">
      <c r="A17" s="47"/>
      <c r="B17" s="97"/>
      <c r="C17" s="98"/>
      <c r="D17" s="98"/>
      <c r="E17" s="98"/>
      <c r="F17" s="99"/>
      <c r="G17" t="s" s="100">
        <v>40</v>
      </c>
      <c r="H17" s="59">
        <f>H15-H16</f>
        <v>-3.099999999999966</v>
      </c>
      <c r="I17" s="59">
        <f>SQRT(2)*I15</f>
        <v>0.2828427124746191</v>
      </c>
      <c r="J17" t="s" s="60">
        <v>37</v>
      </c>
      <c r="K17" s="55"/>
      <c r="L17" s="56"/>
    </row>
    <row r="18" ht="22.15" customHeight="1">
      <c r="A18" s="47"/>
      <c r="B18" s="101"/>
      <c r="C18" t="s" s="83">
        <v>41</v>
      </c>
      <c r="D18" s="102"/>
      <c r="E18" s="102"/>
      <c r="F18" s="99"/>
      <c r="G18" t="s" s="67">
        <v>29</v>
      </c>
      <c r="H18" s="53">
        <v>288.2</v>
      </c>
      <c r="I18" s="53">
        <v>2</v>
      </c>
      <c r="J18" t="s" s="54">
        <v>30</v>
      </c>
      <c r="K18" s="55"/>
      <c r="L18" s="56"/>
    </row>
    <row r="19" ht="23.65" customHeight="1">
      <c r="A19" s="25"/>
      <c r="B19" t="s" s="16">
        <v>4</v>
      </c>
      <c r="C19" t="s" s="21">
        <v>9</v>
      </c>
      <c r="D19" t="s" s="21">
        <v>6</v>
      </c>
      <c r="E19" t="s" s="22">
        <v>7</v>
      </c>
      <c r="F19" s="57"/>
      <c r="G19" s="103"/>
      <c r="H19" s="104"/>
      <c r="I19" s="104"/>
      <c r="J19" s="105"/>
      <c r="K19" s="55"/>
      <c r="L19" s="56"/>
    </row>
    <row r="20" ht="22.7" customHeight="1">
      <c r="A20" s="25"/>
      <c r="B20" t="s" s="61">
        <v>42</v>
      </c>
      <c r="C20" s="62">
        <f>23.9</f>
        <v>23.9</v>
      </c>
      <c r="D20" s="62">
        <v>0.1</v>
      </c>
      <c r="E20" t="s" s="63">
        <v>23</v>
      </c>
      <c r="F20" s="57"/>
      <c r="G20" t="s" s="106">
        <v>43</v>
      </c>
      <c r="H20" s="107">
        <f>10^-6*C$5*C$6*H17*H11/H18</f>
        <v>-9.954549618320501</v>
      </c>
      <c r="I20" s="107">
        <f>H20*SQRT((D$6/C$6)^2+(I17/H17)^2+((1.1*10^-6)/(H11*10^-6))^2+(I18/H18)^2)</f>
        <v>-0.9176294244314167</v>
      </c>
      <c r="J20" t="s" s="108">
        <v>35</v>
      </c>
      <c r="K20" s="71"/>
      <c r="L20" s="72"/>
    </row>
    <row r="21" ht="21.2" customHeight="1">
      <c r="A21" s="25"/>
      <c r="B21" t="s" s="67">
        <v>44</v>
      </c>
      <c r="C21" s="53">
        <v>1.6</v>
      </c>
      <c r="D21" s="53">
        <v>0.2</v>
      </c>
      <c r="E21" t="s" s="54">
        <v>27</v>
      </c>
      <c r="F21" s="76"/>
      <c r="G21" s="109"/>
      <c r="H21" s="109"/>
      <c r="I21" s="109"/>
      <c r="J21" s="109"/>
      <c r="K21" s="110"/>
      <c r="L21" s="111"/>
    </row>
    <row r="22" ht="26.5" customHeight="1">
      <c r="A22" s="86"/>
      <c r="B22" t="s" s="73">
        <v>29</v>
      </c>
      <c r="C22" s="74">
        <f>C12</f>
        <v>288.2</v>
      </c>
      <c r="D22" s="74">
        <f>D12</f>
        <v>2</v>
      </c>
      <c r="E22" t="s" s="75">
        <v>30</v>
      </c>
      <c r="F22" s="55"/>
      <c r="G22" s="112"/>
      <c r="H22" t="s" s="113">
        <v>45</v>
      </c>
      <c r="I22" t="s" s="113">
        <v>46</v>
      </c>
      <c r="J22" s="114"/>
      <c r="K22" s="115"/>
      <c r="L22" s="111"/>
    </row>
    <row r="23" ht="28" customHeight="1">
      <c r="A23" s="25"/>
      <c r="B23" s="64"/>
      <c r="C23" s="65"/>
      <c r="D23" s="65"/>
      <c r="E23" s="80"/>
      <c r="F23" s="116"/>
      <c r="G23" s="117"/>
      <c r="H23" t="s" s="118">
        <v>47</v>
      </c>
      <c r="I23" t="s" s="118">
        <v>6</v>
      </c>
      <c r="J23" t="s" s="119">
        <v>7</v>
      </c>
      <c r="K23" s="120"/>
      <c r="L23" s="111"/>
    </row>
    <row r="24" ht="25" customHeight="1">
      <c r="A24" s="86"/>
      <c r="B24" t="s" s="73">
        <v>48</v>
      </c>
      <c r="C24" s="74">
        <f>C20*C21/C22</f>
        <v>0.1326856349757113</v>
      </c>
      <c r="D24" s="74">
        <f>SQRT((D20*C21/C22)^2+(D21*C20/C22)^2+(C20*C21*D22/C22^2)^2)</f>
        <v>0.0166205190918604</v>
      </c>
      <c r="E24" t="s" s="75">
        <v>33</v>
      </c>
      <c r="F24" s="116"/>
      <c r="G24" t="s" s="121">
        <v>49</v>
      </c>
      <c r="H24" s="122">
        <f>H20+C25+C15</f>
        <v>3.964950728660763</v>
      </c>
      <c r="I24" s="122">
        <f>SQRT(I20^2+D15^2+D25^2)</f>
        <v>1.357020583229636</v>
      </c>
      <c r="J24" t="s" s="123">
        <v>35</v>
      </c>
      <c r="K24" s="120"/>
      <c r="L24" s="111"/>
    </row>
    <row r="25" ht="22.7" customHeight="1">
      <c r="A25" s="93"/>
      <c r="B25" s="124"/>
      <c r="C25" s="107">
        <f>60*C24</f>
        <v>7.961138098542679</v>
      </c>
      <c r="D25" s="107">
        <f>60*D24</f>
        <v>0.9972311455116241</v>
      </c>
      <c r="E25" t="s" s="108">
        <v>35</v>
      </c>
      <c r="F25" s="125"/>
      <c r="G25" s="126"/>
      <c r="H25" s="126"/>
      <c r="I25" s="126"/>
      <c r="J25" s="126"/>
      <c r="K25" s="110"/>
      <c r="L25" s="111"/>
    </row>
    <row r="26" ht="22.7" customHeight="1">
      <c r="A26" s="127"/>
      <c r="B26" s="128"/>
      <c r="C26" s="129"/>
      <c r="D26" s="129"/>
      <c r="E26" s="129"/>
      <c r="F26" s="130"/>
      <c r="G26" s="131"/>
      <c r="H26" s="131"/>
      <c r="I26" s="131"/>
      <c r="J26" s="131"/>
      <c r="K26" s="132"/>
      <c r="L26" s="133"/>
    </row>
    <row r="27" ht="21.2" customHeight="1">
      <c r="A27" s="134"/>
      <c r="B27" s="135"/>
      <c r="C27" s="136"/>
      <c r="D27" s="136"/>
      <c r="E27" s="136"/>
      <c r="F27" s="136"/>
      <c r="G27" s="137"/>
      <c r="H27" s="137"/>
      <c r="I27" s="137"/>
      <c r="J27" s="137"/>
      <c r="K27" s="138"/>
      <c r="L27" s="139"/>
    </row>
    <row r="28" ht="26.05" customHeight="1">
      <c r="A28" s="140"/>
      <c r="B28" t="s" s="141">
        <v>50</v>
      </c>
      <c r="C28" s="142"/>
      <c r="D28" s="142"/>
      <c r="E28" s="142"/>
      <c r="F28" s="143"/>
      <c r="G28" s="142"/>
      <c r="H28" s="142"/>
      <c r="I28" s="142"/>
      <c r="J28" s="142"/>
      <c r="K28" s="144"/>
      <c r="L28" s="145"/>
    </row>
    <row r="29" ht="23.65" customHeight="1">
      <c r="A29" s="146"/>
      <c r="B29" s="147"/>
      <c r="C29" t="s" s="148">
        <v>2</v>
      </c>
      <c r="D29" s="147"/>
      <c r="E29" s="149"/>
      <c r="F29" s="150"/>
      <c r="G29" s="151"/>
      <c r="H29" t="s" s="152">
        <v>51</v>
      </c>
      <c r="I29" s="153"/>
      <c r="J29" s="136"/>
      <c r="K29" s="138"/>
      <c r="L29" s="154"/>
    </row>
    <row r="30" ht="23.65" customHeight="1">
      <c r="A30" s="86"/>
      <c r="B30" t="s" s="155">
        <v>4</v>
      </c>
      <c r="C30" t="s" s="156">
        <v>5</v>
      </c>
      <c r="D30" t="s" s="156">
        <v>6</v>
      </c>
      <c r="E30" t="s" s="157">
        <v>7</v>
      </c>
      <c r="F30" s="158"/>
      <c r="G30" t="s" s="159">
        <v>52</v>
      </c>
      <c r="H30" t="s" s="17">
        <v>53</v>
      </c>
      <c r="I30" t="s" s="18">
        <v>54</v>
      </c>
      <c r="J30" s="76"/>
      <c r="K30" s="160"/>
      <c r="L30" s="56"/>
    </row>
    <row r="31" ht="34.7" customHeight="1">
      <c r="A31" s="86"/>
      <c r="B31" t="s" s="161">
        <v>55</v>
      </c>
      <c r="C31" s="162">
        <v>335000</v>
      </c>
      <c r="D31" t="s" s="163">
        <v>11</v>
      </c>
      <c r="E31" t="s" s="164">
        <v>56</v>
      </c>
      <c r="F31" s="165"/>
      <c r="G31" s="166">
        <f>C16-D39</f>
        <v>26.75888888888889</v>
      </c>
      <c r="H31" s="167">
        <f>SQRT((D16)^2+(E39)^2)</f>
        <v>0.3917331672134452</v>
      </c>
      <c r="I31" s="168">
        <f>ROUND(G31/H31,0)</f>
        <v>68</v>
      </c>
      <c r="J31" s="76"/>
      <c r="K31" s="160"/>
      <c r="L31" s="56"/>
    </row>
    <row r="32" ht="21.2" customHeight="1">
      <c r="A32" s="47"/>
      <c r="B32" s="169"/>
      <c r="C32" s="170"/>
      <c r="D32" s="170"/>
      <c r="E32" s="170"/>
      <c r="F32" s="171"/>
      <c r="G32" s="172"/>
      <c r="H32" s="172"/>
      <c r="I32" s="172"/>
      <c r="J32" s="173"/>
      <c r="K32" s="84"/>
      <c r="L32" s="72"/>
    </row>
    <row r="33" ht="22.15" customHeight="1">
      <c r="A33" s="47"/>
      <c r="B33" s="174"/>
      <c r="C33" t="s" s="175">
        <v>57</v>
      </c>
      <c r="D33" s="176"/>
      <c r="E33" s="176"/>
      <c r="F33" s="115"/>
      <c r="G33" s="115"/>
      <c r="H33" s="115"/>
      <c r="I33" s="115"/>
      <c r="J33" s="115"/>
      <c r="K33" s="115"/>
      <c r="L33" s="111"/>
    </row>
    <row r="34" ht="23.65" customHeight="1">
      <c r="A34" s="86"/>
      <c r="B34" t="s" s="16">
        <v>58</v>
      </c>
      <c r="C34" t="s" s="21">
        <v>59</v>
      </c>
      <c r="D34" t="s" s="21">
        <v>60</v>
      </c>
      <c r="E34" t="s" s="22">
        <v>61</v>
      </c>
      <c r="F34" s="23"/>
      <c r="G34" s="115"/>
      <c r="H34" s="115"/>
      <c r="I34" s="115"/>
      <c r="J34" s="115"/>
      <c r="K34" s="115"/>
      <c r="L34" s="111"/>
    </row>
    <row r="35" ht="22.7" customHeight="1">
      <c r="A35" s="86"/>
      <c r="B35" s="177">
        <v>180</v>
      </c>
      <c r="C35" s="178">
        <v>20</v>
      </c>
      <c r="D35" s="178">
        <v>1</v>
      </c>
      <c r="E35" s="179">
        <v>0.1</v>
      </c>
      <c r="F35" s="23"/>
      <c r="G35" s="115"/>
      <c r="H35" s="115"/>
      <c r="I35" s="115"/>
      <c r="J35" s="115"/>
      <c r="K35" s="115"/>
      <c r="L35" s="111"/>
    </row>
    <row r="36" ht="21.2" customHeight="1">
      <c r="A36" s="47"/>
      <c r="B36" s="169"/>
      <c r="C36" s="170"/>
      <c r="D36" s="170"/>
      <c r="E36" s="170"/>
      <c r="F36" s="115"/>
      <c r="G36" s="115"/>
      <c r="H36" s="115"/>
      <c r="I36" s="115"/>
      <c r="J36" s="115"/>
      <c r="K36" s="115"/>
      <c r="L36" s="111"/>
    </row>
    <row r="37" ht="21.2" customHeight="1">
      <c r="A37" s="47"/>
      <c r="B37" s="174"/>
      <c r="C37" t="s" s="180">
        <v>62</v>
      </c>
      <c r="D37" s="176"/>
      <c r="E37" s="176"/>
      <c r="F37" s="115"/>
      <c r="G37" s="115"/>
      <c r="H37" s="115"/>
      <c r="I37" s="115"/>
      <c r="J37" s="115"/>
      <c r="K37" s="115"/>
      <c r="L37" s="111"/>
    </row>
    <row r="38" ht="21.2" customHeight="1">
      <c r="A38" s="86"/>
      <c r="B38" t="s" s="181">
        <v>63</v>
      </c>
      <c r="C38" t="s" s="182">
        <v>64</v>
      </c>
      <c r="D38" t="s" s="182">
        <v>65</v>
      </c>
      <c r="E38" t="s" s="183">
        <v>66</v>
      </c>
      <c r="F38" s="23"/>
      <c r="G38" s="115"/>
      <c r="H38" s="115"/>
      <c r="I38" s="115"/>
      <c r="J38" s="115"/>
      <c r="K38" s="115"/>
      <c r="L38" s="111"/>
    </row>
    <row r="39" ht="21.2" customHeight="1">
      <c r="A39" s="86"/>
      <c r="B39" s="184">
        <f>C$6*D35*10^-6</f>
        <v>0.001</v>
      </c>
      <c r="C39" s="95">
        <f>B39*SQRT((D$6/C$6)^2+(E35/D35)^2)</f>
        <v>0.0001004987562112089</v>
      </c>
      <c r="D39" s="95">
        <f>B39*C31/B35</f>
        <v>1.861111111111111</v>
      </c>
      <c r="E39" s="185">
        <f>D39*SQRT((C39/B39)^2+(C35/B35)^2)</f>
        <v>0.278829471711792</v>
      </c>
      <c r="F39" s="23"/>
      <c r="G39" s="115"/>
      <c r="H39" s="115"/>
      <c r="I39" s="115"/>
      <c r="J39" s="115"/>
      <c r="K39" s="115"/>
      <c r="L39" s="111"/>
    </row>
    <row r="40" ht="22.7" customHeight="1">
      <c r="A40" s="127"/>
      <c r="B40" s="186"/>
      <c r="C40" s="187"/>
      <c r="D40" s="187"/>
      <c r="E40" s="187"/>
      <c r="F40" s="140"/>
      <c r="G40" s="140"/>
      <c r="H40" s="140"/>
      <c r="I40" s="140"/>
      <c r="J40" s="140"/>
      <c r="K40" s="140"/>
      <c r="L40" s="133"/>
    </row>
    <row r="41" ht="21.2" customHeight="1">
      <c r="A41" s="134"/>
      <c r="B41" s="188"/>
      <c r="C41" s="134"/>
      <c r="D41" s="134"/>
      <c r="E41" s="134"/>
      <c r="F41" s="134"/>
      <c r="G41" s="134"/>
      <c r="H41" s="134"/>
      <c r="I41" s="134"/>
      <c r="J41" s="134"/>
      <c r="K41" s="134"/>
      <c r="L41" s="134"/>
    </row>
    <row r="42" ht="19.7" customHeight="1">
      <c r="A42" s="115"/>
      <c r="B42" s="189"/>
      <c r="C42" s="115"/>
      <c r="D42" s="115"/>
      <c r="E42" s="115"/>
      <c r="F42" s="115"/>
      <c r="G42" s="115"/>
      <c r="H42" s="115"/>
      <c r="I42" s="115"/>
      <c r="J42" s="115"/>
      <c r="K42" s="115"/>
      <c r="L42" s="115"/>
    </row>
    <row r="43" ht="19.7" customHeight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</row>
    <row r="44" ht="26.05" customHeight="1">
      <c r="A44" s="140"/>
      <c r="B44" t="s" s="190">
        <v>67</v>
      </c>
      <c r="C44" s="140"/>
      <c r="D44" s="140"/>
      <c r="E44" s="140"/>
      <c r="F44" s="140"/>
      <c r="G44" s="140"/>
      <c r="H44" s="140"/>
      <c r="I44" s="140"/>
      <c r="J44" s="140"/>
      <c r="K44" s="140"/>
      <c r="L44" s="140"/>
    </row>
    <row r="45" ht="21.2" customHeight="1">
      <c r="A45" s="146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91"/>
    </row>
    <row r="46" ht="22.15" customHeight="1">
      <c r="A46" s="47"/>
      <c r="B46" s="176"/>
      <c r="C46" t="s" s="180">
        <v>68</v>
      </c>
      <c r="D46" s="176"/>
      <c r="E46" s="176"/>
      <c r="F46" s="115"/>
      <c r="G46" s="192"/>
      <c r="H46" t="s" s="49">
        <v>3</v>
      </c>
      <c r="I46" s="193"/>
      <c r="J46" s="194"/>
      <c r="K46" s="115"/>
      <c r="L46" s="111"/>
    </row>
    <row r="47" ht="23.65" customHeight="1">
      <c r="A47" s="86"/>
      <c r="B47" t="s" s="16">
        <v>4</v>
      </c>
      <c r="C47" t="s" s="17">
        <v>5</v>
      </c>
      <c r="D47" t="s" s="17">
        <v>6</v>
      </c>
      <c r="E47" t="s" s="18">
        <v>7</v>
      </c>
      <c r="F47" s="30"/>
      <c r="G47" t="s" s="20">
        <v>8</v>
      </c>
      <c r="H47" t="s" s="21">
        <v>9</v>
      </c>
      <c r="I47" t="s" s="21">
        <v>6</v>
      </c>
      <c r="J47" t="s" s="22">
        <v>7</v>
      </c>
      <c r="K47" s="23"/>
      <c r="L47" s="111"/>
    </row>
    <row r="48" ht="21.2" customHeight="1">
      <c r="A48" s="86"/>
      <c r="B48" t="s" s="195">
        <v>22</v>
      </c>
      <c r="C48" s="196">
        <v>11.86</v>
      </c>
      <c r="D48" s="196">
        <v>0.01</v>
      </c>
      <c r="E48" t="s" s="197">
        <v>23</v>
      </c>
      <c r="F48" s="30"/>
      <c r="G48" t="s" s="198">
        <v>13</v>
      </c>
      <c r="H48" s="199">
        <v>220.8</v>
      </c>
      <c r="I48" s="199">
        <v>2</v>
      </c>
      <c r="J48" t="s" s="200">
        <v>14</v>
      </c>
      <c r="K48" s="23"/>
      <c r="L48" s="111"/>
    </row>
    <row r="49" ht="19.7" customHeight="1">
      <c r="A49" s="86"/>
      <c r="B49" t="s" s="201">
        <v>26</v>
      </c>
      <c r="C49" s="202">
        <v>13</v>
      </c>
      <c r="D49" s="202">
        <v>0.05</v>
      </c>
      <c r="E49" t="s" s="203">
        <v>27</v>
      </c>
      <c r="F49" s="30"/>
      <c r="G49" t="s" s="35">
        <v>17</v>
      </c>
      <c r="H49" s="36">
        <v>221.5</v>
      </c>
      <c r="I49" s="36">
        <v>2</v>
      </c>
      <c r="J49" t="s" s="37">
        <v>14</v>
      </c>
      <c r="K49" s="23"/>
      <c r="L49" s="111"/>
    </row>
    <row r="50" ht="19.7" customHeight="1">
      <c r="A50" s="86"/>
      <c r="B50" t="s" s="204">
        <v>36</v>
      </c>
      <c r="C50" s="205">
        <v>290.45</v>
      </c>
      <c r="D50" s="205">
        <v>0.2</v>
      </c>
      <c r="E50" t="s" s="206">
        <v>37</v>
      </c>
      <c r="F50" s="30"/>
      <c r="G50" t="s" s="207">
        <v>18</v>
      </c>
      <c r="H50" s="208">
        <v>222</v>
      </c>
      <c r="I50" s="208">
        <v>2</v>
      </c>
      <c r="J50" t="s" s="209">
        <v>14</v>
      </c>
      <c r="K50" s="45"/>
      <c r="L50" s="46"/>
    </row>
    <row r="51" ht="19.7" customHeight="1">
      <c r="A51" s="86"/>
      <c r="B51" t="s" s="210">
        <v>69</v>
      </c>
      <c r="C51" s="202">
        <v>296.95</v>
      </c>
      <c r="D51" s="202">
        <v>0.2</v>
      </c>
      <c r="E51" t="s" s="203">
        <v>37</v>
      </c>
      <c r="F51" s="30"/>
      <c r="G51" t="s" s="52">
        <v>20</v>
      </c>
      <c r="H51" s="53">
        <f>219.9</f>
        <v>219.9</v>
      </c>
      <c r="I51" s="53">
        <v>2</v>
      </c>
      <c r="J51" t="s" s="54">
        <v>14</v>
      </c>
      <c r="K51" s="55"/>
      <c r="L51" s="56"/>
    </row>
    <row r="52" ht="21.2" customHeight="1">
      <c r="A52" s="86"/>
      <c r="B52" t="s" s="211">
        <v>40</v>
      </c>
      <c r="C52" s="95">
        <f>C50-C51</f>
        <v>-6.5</v>
      </c>
      <c r="D52" s="95">
        <f>I17</f>
        <v>0.2828427124746191</v>
      </c>
      <c r="E52" t="s" s="96">
        <v>37</v>
      </c>
      <c r="F52" s="30"/>
      <c r="G52" t="s" s="81">
        <v>21</v>
      </c>
      <c r="H52" s="74">
        <v>222.8</v>
      </c>
      <c r="I52" s="74">
        <v>2</v>
      </c>
      <c r="J52" t="s" s="75">
        <v>14</v>
      </c>
      <c r="K52" s="55"/>
      <c r="L52" s="56"/>
    </row>
    <row r="53" ht="21.2" customHeight="1">
      <c r="A53" s="47"/>
      <c r="B53" s="212"/>
      <c r="C53" s="109"/>
      <c r="D53" s="109"/>
      <c r="E53" s="213"/>
      <c r="F53" s="214"/>
      <c r="G53" s="64"/>
      <c r="H53" s="65"/>
      <c r="I53" t="s" s="66">
        <v>24</v>
      </c>
      <c r="J53" t="s" s="54">
        <v>25</v>
      </c>
      <c r="K53" s="55"/>
      <c r="L53" s="56"/>
    </row>
    <row r="54" ht="21.2" customHeight="1">
      <c r="A54" s="47"/>
      <c r="B54" s="176"/>
      <c r="C54" t="s" s="215">
        <v>70</v>
      </c>
      <c r="D54" s="176"/>
      <c r="E54" s="176"/>
      <c r="F54" s="214"/>
      <c r="G54" t="s" s="216">
        <v>28</v>
      </c>
      <c r="H54" s="217">
        <f>AVERAGE(H48:H52)</f>
        <v>221.4</v>
      </c>
      <c r="I54" s="217">
        <f t="shared" si="10"/>
        <v>0.894427190999916</v>
      </c>
      <c r="J54" s="218">
        <f>STDEV(H48:H52)/SQRT(5)</f>
        <v>0.4969909455915671</v>
      </c>
      <c r="K54" s="71"/>
      <c r="L54" s="72"/>
    </row>
    <row r="55" ht="22.7" customHeight="1">
      <c r="A55" s="86"/>
      <c r="B55" t="s" s="219">
        <v>8</v>
      </c>
      <c r="C55" t="s" s="220">
        <v>9</v>
      </c>
      <c r="D55" t="s" s="220">
        <v>6</v>
      </c>
      <c r="E55" t="s" s="221">
        <v>7</v>
      </c>
      <c r="F55" s="23"/>
      <c r="G55" s="222"/>
      <c r="H55" s="172"/>
      <c r="I55" s="172"/>
      <c r="J55" s="223"/>
      <c r="K55" s="115"/>
      <c r="L55" s="111"/>
    </row>
    <row r="56" ht="22.7" customHeight="1">
      <c r="A56" s="86"/>
      <c r="B56" t="s" s="224">
        <v>71</v>
      </c>
      <c r="C56" s="196">
        <v>313.8</v>
      </c>
      <c r="D56" s="196">
        <v>2</v>
      </c>
      <c r="E56" t="s" s="197">
        <v>30</v>
      </c>
      <c r="F56" s="23"/>
      <c r="G56" s="176"/>
      <c r="H56" t="s" s="215">
        <v>72</v>
      </c>
      <c r="I56" s="176"/>
      <c r="J56" s="176"/>
      <c r="K56" s="115"/>
      <c r="L56" s="111"/>
    </row>
    <row r="57" ht="22.7" customHeight="1">
      <c r="A57" s="86"/>
      <c r="B57" t="s" s="225">
        <v>73</v>
      </c>
      <c r="C57" s="202">
        <v>313.4</v>
      </c>
      <c r="D57" s="202">
        <v>2</v>
      </c>
      <c r="E57" t="s" s="203">
        <v>30</v>
      </c>
      <c r="F57" s="30"/>
      <c r="G57" t="s" s="219">
        <v>8</v>
      </c>
      <c r="H57" t="s" s="220">
        <v>9</v>
      </c>
      <c r="I57" t="s" s="220">
        <v>6</v>
      </c>
      <c r="J57" t="s" s="221">
        <v>7</v>
      </c>
      <c r="K57" s="23"/>
      <c r="L57" s="111"/>
    </row>
    <row r="58" ht="21.2" customHeight="1">
      <c r="A58" s="86"/>
      <c r="B58" t="s" s="226">
        <v>74</v>
      </c>
      <c r="C58" s="205">
        <v>314.8</v>
      </c>
      <c r="D58" s="205">
        <v>2</v>
      </c>
      <c r="E58" t="s" s="206">
        <v>30</v>
      </c>
      <c r="F58" s="30"/>
      <c r="G58" t="s" s="224">
        <v>75</v>
      </c>
      <c r="H58" s="196">
        <v>25501</v>
      </c>
      <c r="I58" s="196">
        <v>100</v>
      </c>
      <c r="J58" t="s" s="197">
        <v>76</v>
      </c>
      <c r="K58" s="23"/>
      <c r="L58" s="111"/>
    </row>
    <row r="59" ht="19.7" customHeight="1">
      <c r="A59" s="86"/>
      <c r="B59" s="227"/>
      <c r="C59" s="228"/>
      <c r="D59" t="s" s="229">
        <v>24</v>
      </c>
      <c r="E59" t="s" s="203">
        <v>25</v>
      </c>
      <c r="F59" s="30"/>
      <c r="G59" t="s" s="225">
        <v>77</v>
      </c>
      <c r="H59" s="202">
        <v>25183</v>
      </c>
      <c r="I59" s="202">
        <v>100</v>
      </c>
      <c r="J59" t="s" s="203">
        <v>76</v>
      </c>
      <c r="K59" s="23"/>
      <c r="L59" s="111"/>
    </row>
    <row r="60" ht="21.2" customHeight="1">
      <c r="A60" s="86"/>
      <c r="B60" t="s" s="230">
        <v>28</v>
      </c>
      <c r="C60" s="231">
        <f>AVERAGE(C56:C58)</f>
        <v>314</v>
      </c>
      <c r="D60" s="95">
        <f t="shared" si="47" ref="D60:D65">1/3*SQRT(12)</f>
        <v>1.154700538379251</v>
      </c>
      <c r="E60" s="185">
        <f>STDEV(C56:C58)/SQRT(3)</f>
        <v>0.4163331998932348</v>
      </c>
      <c r="F60" s="30"/>
      <c r="G60" t="s" s="226">
        <v>78</v>
      </c>
      <c r="H60" s="205">
        <v>25318</v>
      </c>
      <c r="I60" s="205">
        <v>100</v>
      </c>
      <c r="J60" t="s" s="206">
        <v>76</v>
      </c>
      <c r="K60" s="23"/>
      <c r="L60" s="111"/>
    </row>
    <row r="61" ht="21.2" customHeight="1">
      <c r="A61" s="47"/>
      <c r="B61" s="232"/>
      <c r="C61" s="77"/>
      <c r="D61" s="77"/>
      <c r="E61" s="233"/>
      <c r="F61" s="214"/>
      <c r="G61" s="227"/>
      <c r="H61" s="228"/>
      <c r="I61" t="s" s="229">
        <v>24</v>
      </c>
      <c r="J61" t="s" s="203">
        <v>25</v>
      </c>
      <c r="K61" s="23"/>
      <c r="L61" s="111"/>
    </row>
    <row r="62" ht="21.2" customHeight="1">
      <c r="A62" s="47"/>
      <c r="B62" s="234"/>
      <c r="C62" s="235"/>
      <c r="D62" s="235"/>
      <c r="E62" s="235"/>
      <c r="F62" s="236"/>
      <c r="G62" t="s" s="230">
        <v>28</v>
      </c>
      <c r="H62" s="95">
        <f>AVERAGE(H58:H60)</f>
        <v>25334</v>
      </c>
      <c r="I62" s="95">
        <f>1/3*SQRT(30000)</f>
        <v>57.73502691896257</v>
      </c>
      <c r="J62" s="185">
        <f>STDEV(H58:H60)/SQRT(3)</f>
        <v>92.14662229295223</v>
      </c>
      <c r="K62" s="23"/>
      <c r="L62" s="111"/>
    </row>
    <row r="63" ht="22.7" customHeight="1">
      <c r="A63" s="47"/>
      <c r="B63" s="237"/>
      <c r="C63" t="s" s="238">
        <v>79</v>
      </c>
      <c r="D63" s="239"/>
      <c r="E63" s="240"/>
      <c r="F63" s="114"/>
      <c r="G63" s="170"/>
      <c r="H63" s="170"/>
      <c r="I63" s="170"/>
      <c r="J63" s="170"/>
      <c r="K63" s="115"/>
      <c r="L63" s="111"/>
    </row>
    <row r="64" ht="23.65" customHeight="1">
      <c r="A64" s="241"/>
      <c r="B64" t="s" s="242">
        <v>4</v>
      </c>
      <c r="C64" t="s" s="243">
        <v>5</v>
      </c>
      <c r="D64" t="s" s="243">
        <v>24</v>
      </c>
      <c r="E64" t="s" s="244">
        <v>25</v>
      </c>
      <c r="F64" t="s" s="119">
        <v>7</v>
      </c>
      <c r="G64" s="120"/>
      <c r="H64" s="245"/>
      <c r="I64" s="246"/>
      <c r="J64" s="115"/>
      <c r="K64" s="115"/>
      <c r="L64" s="111"/>
    </row>
    <row r="65" ht="21.2" customHeight="1">
      <c r="A65" s="241"/>
      <c r="B65" t="s" s="247">
        <v>29</v>
      </c>
      <c r="C65" s="248">
        <f>AVERAGE(C56:C58)</f>
        <v>314</v>
      </c>
      <c r="D65" s="249">
        <f t="shared" si="47"/>
        <v>1.154700538379251</v>
      </c>
      <c r="E65" s="249">
        <f>STDEV(C56:C58)/SQRT(3)</f>
        <v>0.4163331998932348</v>
      </c>
      <c r="F65" t="s" s="250">
        <v>30</v>
      </c>
      <c r="G65" s="120"/>
      <c r="H65" s="115"/>
      <c r="I65" s="115"/>
      <c r="J65" s="115"/>
      <c r="K65" s="115"/>
      <c r="L65" s="111"/>
    </row>
    <row r="66" ht="19.7" customHeight="1">
      <c r="A66" s="241"/>
      <c r="B66" t="s" s="251">
        <v>80</v>
      </c>
      <c r="C66" s="252">
        <f>C48*C49</f>
        <v>154.18</v>
      </c>
      <c r="D66" s="252">
        <f>SQRT(D48^2+D49^2)</f>
        <v>0.05099019513592785</v>
      </c>
      <c r="E66" t="s" s="253">
        <v>11</v>
      </c>
      <c r="F66" t="s" s="254">
        <v>39</v>
      </c>
      <c r="G66" s="120"/>
      <c r="H66" s="115"/>
      <c r="I66" s="115"/>
      <c r="J66" s="115"/>
      <c r="K66" s="115"/>
      <c r="L66" s="111"/>
    </row>
    <row r="67" ht="19.7" customHeight="1">
      <c r="A67" s="241"/>
      <c r="B67" t="s" s="255">
        <v>81</v>
      </c>
      <c r="C67" s="74">
        <f>C48*C49/C65*60</f>
        <v>29.46114649681529</v>
      </c>
      <c r="D67" s="74">
        <f>C67*SQRT((D48/C48)^2+(D49/C49)^2+(D65/C65)^2)</f>
        <v>0.1587270626020404</v>
      </c>
      <c r="E67" t="s" s="256">
        <v>11</v>
      </c>
      <c r="F67" t="s" s="257">
        <v>35</v>
      </c>
      <c r="G67" s="120"/>
      <c r="H67" s="115"/>
      <c r="I67" s="115"/>
      <c r="J67" s="115"/>
      <c r="K67" s="115"/>
      <c r="L67" s="111"/>
    </row>
    <row r="68" ht="19.7" customHeight="1">
      <c r="A68" s="241"/>
      <c r="B68" t="s" s="258">
        <v>82</v>
      </c>
      <c r="C68" s="53">
        <f>C$5*C$6*H54*10^-6/60*C52</f>
        <v>-100.2573</v>
      </c>
      <c r="D68" s="53">
        <f>ABS(C68)*SQRT((D$6/C$6)^2+(D52/C52)^2+(I54/H54)^2)</f>
        <v>4.494627314222084</v>
      </c>
      <c r="E68" s="259">
        <f>C$5*C$6*ABS(C52)*J54*10^-6/60</f>
        <v>0.2250540665287146</v>
      </c>
      <c r="F68" t="s" s="254">
        <v>39</v>
      </c>
      <c r="G68" s="120"/>
      <c r="H68" s="115"/>
      <c r="I68" s="115"/>
      <c r="J68" s="115"/>
      <c r="K68" s="115"/>
      <c r="L68" s="111"/>
    </row>
    <row r="69" ht="19.7" customHeight="1">
      <c r="A69" s="241"/>
      <c r="B69" t="s" s="255">
        <v>83</v>
      </c>
      <c r="C69" s="74">
        <f>C$5*C$6*C52*H54*10^-6/C65</f>
        <v>-19.15744585987261</v>
      </c>
      <c r="D69" s="74">
        <f>ABS(C69)*SQRT((D68/C68)^2+(D60/C60)^2)</f>
        <v>0.8617305507942299</v>
      </c>
      <c r="E69" s="260">
        <f>ABS(C69)*SQRT((E68/C68)^2+(E60/C60)^2)</f>
        <v>0.04994543168438943</v>
      </c>
      <c r="F69" t="s" s="257">
        <v>35</v>
      </c>
      <c r="G69" s="120"/>
      <c r="H69" s="115"/>
      <c r="I69" s="115"/>
      <c r="J69" s="115"/>
      <c r="K69" s="115"/>
      <c r="L69" s="111"/>
    </row>
    <row r="70" ht="19.7" customHeight="1">
      <c r="A70" s="241"/>
      <c r="B70" t="s" s="258">
        <v>84</v>
      </c>
      <c r="C70" s="53">
        <f>C71*C60/60</f>
        <v>13.25812666666667</v>
      </c>
      <c r="D70" s="53">
        <f>C70*SQRT((D71/C71)^2+(D60/C60)^2)</f>
        <v>0.05735857183510556</v>
      </c>
      <c r="E70" s="259">
        <f>C70*SQRT((E71/C71)^2+(E60/C60)^2)</f>
        <v>0.05132754221590918</v>
      </c>
      <c r="F70" t="s" s="254">
        <v>39</v>
      </c>
      <c r="G70" s="120"/>
      <c r="H70" s="115"/>
      <c r="I70" s="115"/>
      <c r="J70" s="115"/>
      <c r="K70" s="115"/>
      <c r="L70" s="111"/>
    </row>
    <row r="71" ht="19.7" customHeight="1">
      <c r="A71" s="241"/>
      <c r="B71" t="s" s="255">
        <v>85</v>
      </c>
      <c r="C71" s="74">
        <f>H62*10^-4</f>
        <v>2.5334</v>
      </c>
      <c r="D71" s="74">
        <f>I62*10^-4</f>
        <v>0.005773502691896258</v>
      </c>
      <c r="E71" s="260">
        <f>J62*10^-4</f>
        <v>0.009214662229295224</v>
      </c>
      <c r="F71" t="s" s="257">
        <v>35</v>
      </c>
      <c r="G71" s="120"/>
      <c r="H71" s="115"/>
      <c r="I71" s="115"/>
      <c r="J71" s="115"/>
      <c r="K71" s="115"/>
      <c r="L71" s="111"/>
    </row>
    <row r="72" ht="21.2" customHeight="1">
      <c r="A72" s="241"/>
      <c r="B72" t="s" s="261">
        <v>86</v>
      </c>
      <c r="C72" s="262">
        <f>C71/C67</f>
        <v>0.08599122238076708</v>
      </c>
      <c r="D72" s="262">
        <f>C72*SQRT((D71/C71)^2+(D67/C67)^2)</f>
        <v>0.0005030351795971296</v>
      </c>
      <c r="E72" s="263">
        <f>C72*(E71/C71)</f>
        <v>0.0003127733752755113</v>
      </c>
      <c r="F72" t="s" s="264">
        <v>87</v>
      </c>
      <c r="G72" s="120"/>
      <c r="H72" s="115"/>
      <c r="I72" s="115"/>
      <c r="J72" s="115"/>
      <c r="K72" s="115"/>
      <c r="L72" s="111"/>
    </row>
    <row r="73" ht="21.2" customHeight="1">
      <c r="A73" s="47"/>
      <c r="B73" s="265"/>
      <c r="C73" s="266"/>
      <c r="D73" s="266"/>
      <c r="E73" s="267"/>
      <c r="F73" s="268"/>
      <c r="G73" s="115"/>
      <c r="H73" s="115"/>
      <c r="I73" s="115"/>
      <c r="J73" s="115"/>
      <c r="K73" s="115"/>
      <c r="L73" s="111"/>
    </row>
    <row r="74" ht="22.15" customHeight="1">
      <c r="A74" s="47"/>
      <c r="B74" s="269"/>
      <c r="C74" t="s" s="270">
        <v>88</v>
      </c>
      <c r="D74" s="271"/>
      <c r="E74" s="240"/>
      <c r="F74" s="114"/>
      <c r="G74" s="115"/>
      <c r="H74" s="115"/>
      <c r="I74" s="115"/>
      <c r="J74" s="115"/>
      <c r="K74" s="115"/>
      <c r="L74" s="111"/>
    </row>
    <row r="75" ht="23.65" customHeight="1">
      <c r="A75" s="241"/>
      <c r="B75" t="s" s="242">
        <v>4</v>
      </c>
      <c r="C75" t="s" s="243">
        <v>5</v>
      </c>
      <c r="D75" t="s" s="243">
        <v>24</v>
      </c>
      <c r="E75" t="s" s="244">
        <v>89</v>
      </c>
      <c r="F75" t="s" s="119">
        <v>7</v>
      </c>
      <c r="G75" s="120"/>
      <c r="H75" s="115"/>
      <c r="I75" s="115"/>
      <c r="J75" s="115"/>
      <c r="K75" s="115"/>
      <c r="L75" s="111"/>
    </row>
    <row r="76" ht="34.7" customHeight="1">
      <c r="A76" s="241"/>
      <c r="B76" t="s" s="272">
        <v>90</v>
      </c>
      <c r="C76" s="273">
        <f>-C67-C71-C69</f>
        <v>-12.83710063694268</v>
      </c>
      <c r="D76" s="273">
        <f>ABS(C76)*SQRT((D67/C67)^2+(D69/C69)^2+(D71/C71)^2)</f>
        <v>0.5822945553187905</v>
      </c>
      <c r="E76" s="274">
        <f>ABS(C76)*SQRT((E69/D69)^2+(E71/C71)^2)</f>
        <v>0.7454949851566125</v>
      </c>
      <c r="F76" t="s" s="275">
        <v>35</v>
      </c>
      <c r="G76" s="120"/>
      <c r="H76" s="115"/>
      <c r="I76" s="115"/>
      <c r="J76" s="115"/>
      <c r="K76" s="115"/>
      <c r="L76" s="111"/>
    </row>
    <row r="77" ht="22.7" customHeight="1">
      <c r="A77" s="127"/>
      <c r="B77" s="276"/>
      <c r="C77" s="277"/>
      <c r="D77" s="277"/>
      <c r="E77" s="278"/>
      <c r="F77" s="279"/>
      <c r="G77" s="140"/>
      <c r="H77" s="140"/>
      <c r="I77" s="140"/>
      <c r="J77" s="140"/>
      <c r="K77" s="140"/>
      <c r="L77" s="133"/>
    </row>
    <row r="78" ht="21.2" customHeight="1">
      <c r="A78" s="134"/>
      <c r="B78" s="280"/>
      <c r="C78" s="280"/>
      <c r="D78" s="280"/>
      <c r="E78" s="280"/>
      <c r="F78" s="134"/>
      <c r="G78" s="134"/>
      <c r="H78" s="134"/>
      <c r="I78" s="134"/>
      <c r="J78" s="134"/>
      <c r="K78" s="134"/>
      <c r="L78" s="134"/>
    </row>
    <row r="79" ht="19.7" customHeight="1">
      <c r="A79" s="115"/>
      <c r="B79" s="245"/>
      <c r="C79" s="245"/>
      <c r="D79" s="245"/>
      <c r="E79" s="245"/>
      <c r="F79" s="115"/>
      <c r="G79" s="115"/>
      <c r="H79" s="115"/>
      <c r="I79" s="115"/>
      <c r="J79" s="115"/>
      <c r="K79" s="115"/>
      <c r="L79" s="115"/>
    </row>
    <row r="80" ht="26.05" customHeight="1">
      <c r="A80" s="140"/>
      <c r="B80" t="s" s="190">
        <v>91</v>
      </c>
      <c r="C80" s="281"/>
      <c r="D80" s="281"/>
      <c r="E80" s="281"/>
      <c r="F80" s="140"/>
      <c r="G80" s="140"/>
      <c r="H80" s="140"/>
      <c r="I80" s="140"/>
      <c r="J80" s="140"/>
      <c r="K80" s="140"/>
      <c r="L80" s="140"/>
    </row>
    <row r="81" ht="21.2" customHeight="1">
      <c r="A81" s="146"/>
      <c r="B81" s="280"/>
      <c r="C81" s="280"/>
      <c r="D81" s="280"/>
      <c r="E81" s="280"/>
      <c r="F81" s="134"/>
      <c r="G81" s="134"/>
      <c r="H81" s="134"/>
      <c r="I81" s="134"/>
      <c r="J81" s="134"/>
      <c r="K81" s="134"/>
      <c r="L81" s="191"/>
    </row>
    <row r="82" ht="24.15" customHeight="1">
      <c r="A82" s="47"/>
      <c r="B82" s="282"/>
      <c r="C82" s="282"/>
      <c r="D82" s="282"/>
      <c r="E82" s="283"/>
      <c r="F82" t="s" s="284">
        <v>92</v>
      </c>
      <c r="G82" s="176"/>
      <c r="H82" s="176"/>
      <c r="I82" s="176"/>
      <c r="J82" s="176"/>
      <c r="K82" s="176"/>
      <c r="L82" s="111"/>
    </row>
    <row r="83" ht="22.7" customHeight="1">
      <c r="A83" s="86"/>
      <c r="B83" t="s" s="219">
        <v>93</v>
      </c>
      <c r="C83" t="s" s="220">
        <v>94</v>
      </c>
      <c r="D83" t="s" s="220">
        <v>95</v>
      </c>
      <c r="E83" t="s" s="220">
        <v>96</v>
      </c>
      <c r="F83" t="s" s="220">
        <v>97</v>
      </c>
      <c r="G83" t="s" s="220">
        <v>98</v>
      </c>
      <c r="H83" t="s" s="220">
        <v>99</v>
      </c>
      <c r="I83" t="s" s="220">
        <v>100</v>
      </c>
      <c r="J83" t="s" s="220">
        <v>101</v>
      </c>
      <c r="K83" t="s" s="221">
        <v>102</v>
      </c>
      <c r="L83" s="285"/>
    </row>
    <row r="84" ht="21.2" customHeight="1">
      <c r="A84" s="86"/>
      <c r="B84" s="286"/>
      <c r="C84" s="287"/>
      <c r="D84" s="288">
        <v>3.2007</v>
      </c>
      <c r="E84" s="289">
        <f t="shared" si="77" ref="E84:E95">100*10^-4</f>
        <v>0.01</v>
      </c>
      <c r="F84" s="288">
        <v>228</v>
      </c>
      <c r="G84" s="289">
        <v>2</v>
      </c>
      <c r="H84" s="286"/>
      <c r="I84" s="287"/>
      <c r="J84" s="286"/>
      <c r="K84" s="287"/>
      <c r="L84" s="285"/>
    </row>
    <row r="85" ht="19.7" customHeight="1">
      <c r="A85" s="86"/>
      <c r="B85" s="290">
        <v>0.75</v>
      </c>
      <c r="C85" s="291">
        <v>0.05</v>
      </c>
      <c r="D85" s="292">
        <v>3.1502</v>
      </c>
      <c r="E85" s="293">
        <f t="shared" si="77"/>
        <v>0.01</v>
      </c>
      <c r="F85" s="292">
        <v>228.6</v>
      </c>
      <c r="G85" s="293">
        <v>2</v>
      </c>
      <c r="H85" s="290">
        <f>2.56*5</f>
        <v>12.8</v>
      </c>
      <c r="I85" s="291">
        <v>0.5</v>
      </c>
      <c r="J85" s="290">
        <v>11.88</v>
      </c>
      <c r="K85" s="291">
        <v>0.05</v>
      </c>
      <c r="L85" s="285"/>
    </row>
    <row r="86" ht="21.2" customHeight="1">
      <c r="A86" s="86"/>
      <c r="B86" s="294"/>
      <c r="C86" s="295"/>
      <c r="D86" s="184">
        <v>3.1436</v>
      </c>
      <c r="E86" s="185">
        <f t="shared" si="77"/>
        <v>0.01</v>
      </c>
      <c r="F86" s="184">
        <v>230.2</v>
      </c>
      <c r="G86" s="185">
        <v>2</v>
      </c>
      <c r="H86" s="294"/>
      <c r="I86" s="295"/>
      <c r="J86" s="294"/>
      <c r="K86" s="295"/>
      <c r="L86" s="285"/>
    </row>
    <row r="87" ht="21.2" customHeight="1">
      <c r="A87" s="86"/>
      <c r="B87" s="286"/>
      <c r="C87" s="287"/>
      <c r="D87" s="296">
        <v>2.9643</v>
      </c>
      <c r="E87" s="297">
        <f t="shared" si="77"/>
        <v>0.01</v>
      </c>
      <c r="F87" s="296">
        <v>239.4</v>
      </c>
      <c r="G87" s="297">
        <v>2</v>
      </c>
      <c r="H87" s="286"/>
      <c r="I87" s="287"/>
      <c r="J87" s="286"/>
      <c r="K87" s="287"/>
      <c r="L87" s="285"/>
    </row>
    <row r="88" ht="19.7" customHeight="1">
      <c r="A88" s="86"/>
      <c r="B88" s="290">
        <v>0.6</v>
      </c>
      <c r="C88" s="291">
        <v>0.05</v>
      </c>
      <c r="D88" s="290">
        <v>2.98</v>
      </c>
      <c r="E88" s="291">
        <f t="shared" si="77"/>
        <v>0.01</v>
      </c>
      <c r="F88" s="290">
        <v>238.6</v>
      </c>
      <c r="G88" s="291">
        <v>2</v>
      </c>
      <c r="H88" s="290">
        <f>2.62*5</f>
        <v>13.1</v>
      </c>
      <c r="I88" s="291">
        <v>0.5</v>
      </c>
      <c r="J88" s="290">
        <v>11.88</v>
      </c>
      <c r="K88" s="291">
        <v>0.05</v>
      </c>
      <c r="L88" s="285"/>
    </row>
    <row r="89" ht="21.2" customHeight="1">
      <c r="A89" s="86"/>
      <c r="B89" s="294"/>
      <c r="C89" s="295"/>
      <c r="D89" s="298">
        <v>2.993</v>
      </c>
      <c r="E89" s="299">
        <f t="shared" si="77"/>
        <v>0.01</v>
      </c>
      <c r="F89" s="298">
        <v>239</v>
      </c>
      <c r="G89" s="299">
        <v>2</v>
      </c>
      <c r="H89" s="294"/>
      <c r="I89" s="295"/>
      <c r="J89" s="294"/>
      <c r="K89" s="295"/>
      <c r="L89" s="285"/>
    </row>
    <row r="90" ht="21.2" customHeight="1">
      <c r="A90" s="86"/>
      <c r="B90" s="286"/>
      <c r="C90" s="287"/>
      <c r="D90" s="288">
        <v>2.8792</v>
      </c>
      <c r="E90" s="289">
        <f t="shared" si="77"/>
        <v>0.01</v>
      </c>
      <c r="F90" s="288">
        <v>267.3</v>
      </c>
      <c r="G90" s="289">
        <v>2</v>
      </c>
      <c r="H90" s="286"/>
      <c r="I90" s="287"/>
      <c r="J90" s="286"/>
      <c r="K90" s="287"/>
      <c r="L90" s="285"/>
    </row>
    <row r="91" ht="19.7" customHeight="1">
      <c r="A91" s="86"/>
      <c r="B91" s="290">
        <v>0.4</v>
      </c>
      <c r="C91" s="291">
        <v>0.05</v>
      </c>
      <c r="D91" s="292">
        <v>2.8773</v>
      </c>
      <c r="E91" s="293">
        <f t="shared" si="77"/>
        <v>0.01</v>
      </c>
      <c r="F91" s="292">
        <v>269</v>
      </c>
      <c r="G91" s="293">
        <v>2</v>
      </c>
      <c r="H91" s="290">
        <f>2.27*5</f>
        <v>11.35</v>
      </c>
      <c r="I91" s="291">
        <v>0.5</v>
      </c>
      <c r="J91" s="290">
        <v>11.73</v>
      </c>
      <c r="K91" s="291">
        <v>0.05</v>
      </c>
      <c r="L91" s="285"/>
    </row>
    <row r="92" ht="21.2" customHeight="1">
      <c r="A92" s="86"/>
      <c r="B92" s="294"/>
      <c r="C92" s="295"/>
      <c r="D92" s="184">
        <v>2.8731</v>
      </c>
      <c r="E92" s="185">
        <f t="shared" si="77"/>
        <v>0.01</v>
      </c>
      <c r="F92" s="184">
        <v>270.4</v>
      </c>
      <c r="G92" s="185">
        <v>2</v>
      </c>
      <c r="H92" s="294"/>
      <c r="I92" s="295"/>
      <c r="J92" s="294"/>
      <c r="K92" s="295"/>
      <c r="L92" s="285"/>
    </row>
    <row r="93" ht="21.2" customHeight="1">
      <c r="A93" s="86"/>
      <c r="B93" s="286"/>
      <c r="C93" s="287"/>
      <c r="D93" s="296">
        <v>2.6797</v>
      </c>
      <c r="E93" s="297">
        <f t="shared" si="77"/>
        <v>0.01</v>
      </c>
      <c r="F93" s="296">
        <v>289.8</v>
      </c>
      <c r="G93" s="297">
        <v>2</v>
      </c>
      <c r="H93" s="286"/>
      <c r="I93" s="287"/>
      <c r="J93" s="286"/>
      <c r="K93" s="287"/>
      <c r="L93" s="285"/>
    </row>
    <row r="94" ht="19.7" customHeight="1">
      <c r="A94" s="86"/>
      <c r="B94" s="290">
        <v>0.22</v>
      </c>
      <c r="C94" s="291">
        <v>0.05</v>
      </c>
      <c r="D94" s="290">
        <v>2.6932</v>
      </c>
      <c r="E94" s="291">
        <f t="shared" si="77"/>
        <v>0.01</v>
      </c>
      <c r="F94" s="290">
        <v>292.2</v>
      </c>
      <c r="G94" s="291">
        <v>2</v>
      </c>
      <c r="H94" s="290">
        <f>2.11*5</f>
        <v>10.55</v>
      </c>
      <c r="I94" s="291">
        <v>0.5</v>
      </c>
      <c r="J94" s="290">
        <v>11.74</v>
      </c>
      <c r="K94" s="291">
        <v>0.05</v>
      </c>
      <c r="L94" s="285"/>
    </row>
    <row r="95" ht="21.2" customHeight="1">
      <c r="A95" s="86"/>
      <c r="B95" s="294"/>
      <c r="C95" s="295"/>
      <c r="D95" s="298">
        <v>2.6518</v>
      </c>
      <c r="E95" s="299">
        <f t="shared" si="77"/>
        <v>0.01</v>
      </c>
      <c r="F95" s="298">
        <v>295.9</v>
      </c>
      <c r="G95" s="299">
        <v>2</v>
      </c>
      <c r="H95" s="294"/>
      <c r="I95" s="295"/>
      <c r="J95" s="294"/>
      <c r="K95" s="295"/>
      <c r="L95" s="285"/>
    </row>
    <row r="96" ht="21.2" customHeight="1">
      <c r="A96" s="47"/>
      <c r="B96" s="300"/>
      <c r="C96" s="300"/>
      <c r="D96" s="300"/>
      <c r="E96" s="300"/>
      <c r="F96" s="170"/>
      <c r="G96" s="170"/>
      <c r="H96" s="170"/>
      <c r="I96" s="170"/>
      <c r="J96" s="170"/>
      <c r="K96" s="170"/>
      <c r="L96" s="111"/>
    </row>
    <row r="97" ht="22.15" customHeight="1">
      <c r="A97" s="47"/>
      <c r="B97" s="301"/>
      <c r="C97" s="301"/>
      <c r="D97" t="s" s="302">
        <v>103</v>
      </c>
      <c r="E97" s="303"/>
      <c r="F97" s="176"/>
      <c r="G97" s="176"/>
      <c r="H97" s="176"/>
      <c r="I97" s="115"/>
      <c r="J97" s="115"/>
      <c r="K97" s="115"/>
      <c r="L97" s="111"/>
    </row>
    <row r="98" ht="22.7" customHeight="1">
      <c r="A98" s="86"/>
      <c r="B98" t="s" s="304">
        <v>93</v>
      </c>
      <c r="C98" t="s" s="219">
        <v>104</v>
      </c>
      <c r="D98" t="s" s="220">
        <v>105</v>
      </c>
      <c r="E98" t="s" s="221">
        <v>106</v>
      </c>
      <c r="F98" t="s" s="219">
        <v>107</v>
      </c>
      <c r="G98" t="s" s="220">
        <v>108</v>
      </c>
      <c r="H98" t="s" s="221">
        <v>109</v>
      </c>
      <c r="I98" s="23"/>
      <c r="J98" s="115"/>
      <c r="K98" s="115"/>
      <c r="L98" s="111"/>
    </row>
    <row r="99" ht="21.2" customHeight="1">
      <c r="A99" s="86"/>
      <c r="B99" s="305">
        <v>0.75</v>
      </c>
      <c r="C99" s="288">
        <f>AVERAGE(D84:D86)</f>
        <v>3.164833333333333</v>
      </c>
      <c r="D99" s="196">
        <f t="shared" si="94" ref="D99:D102">0.01/SQRT(3)</f>
        <v>0.005773502691896258</v>
      </c>
      <c r="E99" s="289">
        <f>STDEV(D84,D85,D86)/SQRT(3)</f>
        <v>0.01803425752406908</v>
      </c>
      <c r="F99" s="288">
        <f>AVERAGE(F84:F86)</f>
        <v>228.9333333333333</v>
      </c>
      <c r="G99" s="196">
        <f t="shared" si="97" ref="G99:G102">2/SQRT(3)</f>
        <v>1.154700538379252</v>
      </c>
      <c r="H99" s="289">
        <f>STDEV(F84:F86)/SQRT(3)</f>
        <v>0.6565905201197372</v>
      </c>
      <c r="I99" s="23"/>
      <c r="J99" s="115"/>
      <c r="K99" s="115"/>
      <c r="L99" s="111"/>
    </row>
    <row r="100" ht="19.7" customHeight="1">
      <c r="A100" s="86"/>
      <c r="B100" s="306">
        <v>0.6</v>
      </c>
      <c r="C100" s="292">
        <f>AVERAGE(D87:D89)</f>
        <v>2.9791</v>
      </c>
      <c r="D100" s="202">
        <f t="shared" si="94"/>
        <v>0.005773502691896258</v>
      </c>
      <c r="E100" s="293">
        <f>STDEV(D87,D88,D89)/SQRT(3)</f>
        <v>0.008297188278768419</v>
      </c>
      <c r="F100" s="307">
        <f>AVERAGE(F87:F89)</f>
        <v>239</v>
      </c>
      <c r="G100" s="202">
        <f t="shared" si="97"/>
        <v>1.154700538379252</v>
      </c>
      <c r="H100" s="293">
        <f>STDEV(F87:F89)/SQRT(3)</f>
        <v>0.2309401076758536</v>
      </c>
      <c r="I100" s="23"/>
      <c r="J100" s="115"/>
      <c r="K100" s="115"/>
      <c r="L100" s="111"/>
    </row>
    <row r="101" ht="19.7" customHeight="1">
      <c r="A101" s="86"/>
      <c r="B101" s="308">
        <v>0.4</v>
      </c>
      <c r="C101" s="290">
        <f>AVERAGE(D90:D92)</f>
        <v>2.876533333333333</v>
      </c>
      <c r="D101" s="205">
        <f t="shared" si="94"/>
        <v>0.005773502691896258</v>
      </c>
      <c r="E101" s="291">
        <f>STDEV(D90,D91,D92)/SQRT(3)</f>
        <v>0.001802159198788433</v>
      </c>
      <c r="F101" s="290">
        <f>AVERAGE(F90:F92)</f>
        <v>268.9</v>
      </c>
      <c r="G101" s="205">
        <f t="shared" si="97"/>
        <v>1.154700538379252</v>
      </c>
      <c r="H101" s="291">
        <f>STDEV(F90:F92)/SQRT(3)</f>
        <v>0.8962886439832405</v>
      </c>
      <c r="I101" s="23"/>
      <c r="J101" s="115"/>
      <c r="K101" s="115"/>
      <c r="L101" s="111"/>
    </row>
    <row r="102" ht="21.2" customHeight="1">
      <c r="A102" s="86"/>
      <c r="B102" s="309">
        <v>0.22</v>
      </c>
      <c r="C102" s="298">
        <f>AVERAGE(D93:D95)</f>
        <v>2.6749</v>
      </c>
      <c r="D102" s="310">
        <f t="shared" si="94"/>
        <v>0.005773502691896258</v>
      </c>
      <c r="E102" s="299">
        <f>STDEV(D93,D94,D95)/SQRT(3)</f>
        <v>0.01218974979234599</v>
      </c>
      <c r="F102" s="298">
        <f>AVERAGE(F93:F95)</f>
        <v>292.6333333333333</v>
      </c>
      <c r="G102" s="310">
        <f t="shared" si="97"/>
        <v>1.154700538379252</v>
      </c>
      <c r="H102" s="299">
        <f>STDEV(F93:F95)/SQRT(3)</f>
        <v>1.774197784289492</v>
      </c>
      <c r="I102" s="23"/>
      <c r="J102" s="115"/>
      <c r="K102" s="115"/>
      <c r="L102" s="111"/>
    </row>
    <row r="103" ht="21.2" customHeight="1">
      <c r="A103" s="47"/>
      <c r="B103" s="300"/>
      <c r="C103" s="300"/>
      <c r="D103" s="300"/>
      <c r="E103" s="311"/>
      <c r="F103" s="170"/>
      <c r="G103" s="170"/>
      <c r="H103" s="170"/>
      <c r="I103" s="115"/>
      <c r="J103" s="115"/>
      <c r="K103" s="115"/>
      <c r="L103" s="111"/>
    </row>
    <row r="104" ht="21.2" customHeight="1">
      <c r="A104" s="47"/>
      <c r="B104" s="312"/>
      <c r="C104" s="313"/>
      <c r="D104" s="313"/>
      <c r="E104" s="313"/>
      <c r="F104" s="314"/>
      <c r="G104" s="176"/>
      <c r="H104" s="115"/>
      <c r="I104" s="115"/>
      <c r="J104" s="115"/>
      <c r="K104" s="115"/>
      <c r="L104" s="111"/>
    </row>
    <row r="105" ht="22.7" customHeight="1">
      <c r="A105" s="47"/>
      <c r="B105" s="315"/>
      <c r="C105" s="316"/>
      <c r="D105" s="316"/>
      <c r="E105" s="317"/>
      <c r="F105" t="s" s="318">
        <v>110</v>
      </c>
      <c r="G105" s="179">
        <f>0.25</f>
        <v>0.25</v>
      </c>
      <c r="H105" s="23"/>
      <c r="I105" s="115"/>
      <c r="J105" s="115"/>
      <c r="K105" s="115"/>
      <c r="L105" s="111"/>
    </row>
    <row r="106" ht="22.7" customHeight="1">
      <c r="A106" s="47"/>
      <c r="B106" s="237"/>
      <c r="C106" s="271"/>
      <c r="D106" t="s" s="319">
        <v>111</v>
      </c>
      <c r="E106" s="271"/>
      <c r="F106" s="320"/>
      <c r="G106" s="320"/>
      <c r="H106" s="321"/>
      <c r="I106" t="s" s="322">
        <v>112</v>
      </c>
      <c r="J106" s="321"/>
      <c r="K106" s="321"/>
      <c r="L106" s="323"/>
    </row>
    <row r="107" ht="23.65" customHeight="1">
      <c r="A107" s="241"/>
      <c r="B107" t="s" s="324">
        <v>4</v>
      </c>
      <c r="C107" t="s" s="325">
        <v>5</v>
      </c>
      <c r="D107" t="s" s="325">
        <v>24</v>
      </c>
      <c r="E107" t="s" s="325">
        <v>25</v>
      </c>
      <c r="F107" t="s" s="119">
        <v>7</v>
      </c>
      <c r="G107" t="s" s="324">
        <v>4</v>
      </c>
      <c r="H107" t="s" s="325">
        <v>5</v>
      </c>
      <c r="I107" t="s" s="325">
        <v>24</v>
      </c>
      <c r="J107" t="s" s="325">
        <v>25</v>
      </c>
      <c r="K107" t="s" s="119">
        <v>7</v>
      </c>
      <c r="L107" s="326"/>
    </row>
    <row r="108" ht="22.15" customHeight="1">
      <c r="A108" s="241"/>
      <c r="B108" t="s" s="247">
        <v>113</v>
      </c>
      <c r="C108" s="327">
        <f>2*PI()*G105*B85</f>
        <v>1.178097245096172</v>
      </c>
      <c r="D108" s="327">
        <f t="shared" si="119" ref="D108:I116">2*PI()*0.25*0.05</f>
        <v>0.07853981633974483</v>
      </c>
      <c r="E108" t="s" s="328">
        <v>11</v>
      </c>
      <c r="F108" t="s" s="250">
        <v>35</v>
      </c>
      <c r="G108" t="s" s="247">
        <v>113</v>
      </c>
      <c r="H108" s="327">
        <f>2*PI()*0.25*0.6</f>
        <v>0.9424777960769379</v>
      </c>
      <c r="I108" s="327">
        <f t="shared" si="119"/>
        <v>0.07853981633974483</v>
      </c>
      <c r="J108" t="s" s="328">
        <v>11</v>
      </c>
      <c r="K108" t="s" s="250">
        <v>35</v>
      </c>
      <c r="L108" s="326"/>
    </row>
    <row r="109" ht="20.65" customHeight="1">
      <c r="A109" s="241"/>
      <c r="B109" t="s" s="329">
        <v>114</v>
      </c>
      <c r="C109" s="330">
        <f>C99</f>
        <v>3.164833333333333</v>
      </c>
      <c r="D109" s="330">
        <f>D99</f>
        <v>0.005773502691896258</v>
      </c>
      <c r="E109" s="330">
        <f>E99</f>
        <v>0.01803425752406908</v>
      </c>
      <c r="F109" t="s" s="254">
        <v>35</v>
      </c>
      <c r="G109" t="s" s="329">
        <v>114</v>
      </c>
      <c r="H109" s="330">
        <f>C100</f>
        <v>2.9791</v>
      </c>
      <c r="I109" s="330">
        <f>D100</f>
        <v>0.005773502691896258</v>
      </c>
      <c r="J109" s="330">
        <f>E100</f>
        <v>0.008297188278768419</v>
      </c>
      <c r="K109" t="s" s="254">
        <v>35</v>
      </c>
      <c r="L109" s="326"/>
    </row>
    <row r="110" ht="20.65" customHeight="1">
      <c r="A110" s="241"/>
      <c r="B110" t="s" s="331">
        <v>86</v>
      </c>
      <c r="C110" s="332">
        <f>C109/C111</f>
        <v>0.07941128345569894</v>
      </c>
      <c r="D110" s="332">
        <f>C110*SQRT((D109/C109)^2+(D111/C111)^2)</f>
        <v>0.003148895893387485</v>
      </c>
      <c r="E110" s="332">
        <f>C110*SQRT((E109/C109)^2+(E111/C111)^2)</f>
        <v>0.0005065954829378606</v>
      </c>
      <c r="F110" t="s" s="257">
        <v>87</v>
      </c>
      <c r="G110" t="s" s="331">
        <v>86</v>
      </c>
      <c r="H110" s="332">
        <f>H109/H111</f>
        <v>0.07625072823228041</v>
      </c>
      <c r="I110" s="332">
        <f>H110*SQRT((I109/H109)^2+(I111/H111)^2)</f>
        <v>0.002954755850193257</v>
      </c>
      <c r="J110" s="332">
        <f>H110*SQRT((J109/H109)^2+(J111/H111)^2)</f>
        <v>0.01525162425999436</v>
      </c>
      <c r="K110" t="s" s="257">
        <v>87</v>
      </c>
      <c r="L110" s="326"/>
    </row>
    <row r="111" ht="20.65" customHeight="1">
      <c r="A111" s="241"/>
      <c r="B111" t="s" s="333">
        <v>115</v>
      </c>
      <c r="C111" s="330">
        <f>H85*J85/F99*60</f>
        <v>39.85369831100758</v>
      </c>
      <c r="D111" s="330">
        <f>C111*SQRT((I85/H85)^2+(K85/J85)^2+(G99/F99)^2)</f>
        <v>1.57864555117206</v>
      </c>
      <c r="E111" s="330">
        <f>C111*H99/F99</f>
        <v>0.1143020988761775</v>
      </c>
      <c r="F111" t="s" s="254">
        <v>35</v>
      </c>
      <c r="G111" t="s" s="333">
        <v>115</v>
      </c>
      <c r="H111" s="330">
        <f>H88*J88/F100*60</f>
        <v>39.06979079497908</v>
      </c>
      <c r="I111" s="330">
        <f>H111*SQRT((I88/H88)^2+(K88/J88)^2+(G100/F100)^2)</f>
        <v>1.512080371853559</v>
      </c>
      <c r="J111" s="330">
        <f>H111*H100/G100</f>
        <v>7.813958158995927</v>
      </c>
      <c r="K111" t="s" s="254">
        <v>35</v>
      </c>
      <c r="L111" s="326"/>
    </row>
    <row r="112" ht="22.15" customHeight="1">
      <c r="A112" s="241"/>
      <c r="B112" t="s" s="334">
        <v>116</v>
      </c>
      <c r="C112" s="335">
        <f>C108/C111</f>
        <v>0.02956055008753811</v>
      </c>
      <c r="D112" s="336">
        <f>C112*SQRT((D108/C108)^2+(D111/C111)^2)</f>
        <v>0.002292320534619076</v>
      </c>
      <c r="E112" s="336">
        <f>C112*E111/C111</f>
        <v>8.478091274171021e-05</v>
      </c>
      <c r="F112" t="s" s="337">
        <v>87</v>
      </c>
      <c r="G112" t="s" s="334">
        <v>116</v>
      </c>
      <c r="H112" s="338">
        <f>H108/H111</f>
        <v>0.02412292917109905</v>
      </c>
      <c r="I112" s="336">
        <f>H112*SQRT((I108/H108)^2+(I111/H111)^2)</f>
        <v>0.002216461659668671</v>
      </c>
      <c r="J112" s="336">
        <f>H112*J111/H111</f>
        <v>0.004824585834219878</v>
      </c>
      <c r="K112" t="s" s="337">
        <v>87</v>
      </c>
      <c r="L112" s="326"/>
    </row>
    <row r="113" ht="22.15" customHeight="1">
      <c r="A113" s="47"/>
      <c r="B113" s="339"/>
      <c r="C113" s="340"/>
      <c r="D113" s="340"/>
      <c r="E113" s="340"/>
      <c r="F113" s="340"/>
      <c r="G113" s="341"/>
      <c r="H113" s="268"/>
      <c r="I113" s="268"/>
      <c r="J113" s="268"/>
      <c r="K113" s="268"/>
      <c r="L113" s="111"/>
    </row>
    <row r="114" ht="21.2" customHeight="1">
      <c r="A114" s="47"/>
      <c r="B114" s="342"/>
      <c r="C114" s="321"/>
      <c r="D114" t="s" s="322">
        <v>117</v>
      </c>
      <c r="E114" s="321"/>
      <c r="F114" s="321"/>
      <c r="G114" s="271"/>
      <c r="H114" s="321"/>
      <c r="I114" t="s" s="322">
        <v>118</v>
      </c>
      <c r="J114" s="321"/>
      <c r="K114" s="343"/>
      <c r="L114" s="111"/>
    </row>
    <row r="115" ht="23.65" customHeight="1">
      <c r="A115" s="241"/>
      <c r="B115" t="s" s="324">
        <v>4</v>
      </c>
      <c r="C115" t="s" s="325">
        <v>5</v>
      </c>
      <c r="D115" t="s" s="325">
        <v>24</v>
      </c>
      <c r="E115" t="s" s="325">
        <v>25</v>
      </c>
      <c r="F115" t="s" s="119">
        <v>7</v>
      </c>
      <c r="G115" t="s" s="324">
        <v>4</v>
      </c>
      <c r="H115" t="s" s="325">
        <v>5</v>
      </c>
      <c r="I115" t="s" s="325">
        <v>24</v>
      </c>
      <c r="J115" t="s" s="325">
        <v>25</v>
      </c>
      <c r="K115" t="s" s="119">
        <v>7</v>
      </c>
      <c r="L115" s="326"/>
    </row>
    <row r="116" ht="22.15" customHeight="1">
      <c r="A116" s="241"/>
      <c r="B116" t="s" s="247">
        <v>113</v>
      </c>
      <c r="C116" s="327">
        <f>2*PI()*0.25*0.4</f>
        <v>0.6283185307179586</v>
      </c>
      <c r="D116" s="327">
        <f t="shared" si="119"/>
        <v>0.07853981633974483</v>
      </c>
      <c r="E116" t="s" s="328">
        <v>11</v>
      </c>
      <c r="F116" t="s" s="250">
        <v>35</v>
      </c>
      <c r="G116" t="s" s="247">
        <v>113</v>
      </c>
      <c r="H116" s="327">
        <f>2*PI()*0.25*0.22</f>
        <v>0.3455751918948772</v>
      </c>
      <c r="I116" s="327">
        <f t="shared" si="119"/>
        <v>0.07853981633974483</v>
      </c>
      <c r="J116" t="s" s="328">
        <v>11</v>
      </c>
      <c r="K116" t="s" s="250">
        <v>35</v>
      </c>
      <c r="L116" s="326"/>
    </row>
    <row r="117" ht="20.65" customHeight="1">
      <c r="A117" s="241"/>
      <c r="B117" t="s" s="329">
        <v>114</v>
      </c>
      <c r="C117" s="330">
        <f>C101</f>
        <v>2.876533333333333</v>
      </c>
      <c r="D117" s="330">
        <f>D101</f>
        <v>0.005773502691896258</v>
      </c>
      <c r="E117" s="330">
        <f>E101</f>
        <v>0.001802159198788433</v>
      </c>
      <c r="F117" t="s" s="254">
        <v>35</v>
      </c>
      <c r="G117" t="s" s="329">
        <v>114</v>
      </c>
      <c r="H117" s="330">
        <f>C102</f>
        <v>2.6749</v>
      </c>
      <c r="I117" s="330">
        <f>D102</f>
        <v>0.005773502691896258</v>
      </c>
      <c r="J117" s="330">
        <f>E102</f>
        <v>0.01218974979234599</v>
      </c>
      <c r="K117" t="s" s="254">
        <v>35</v>
      </c>
      <c r="L117" s="326"/>
    </row>
    <row r="118" ht="20.65" customHeight="1">
      <c r="A118" s="241"/>
      <c r="B118" t="s" s="331">
        <v>86</v>
      </c>
      <c r="C118" s="332">
        <f>C117/C119</f>
        <v>0.09683114988530898</v>
      </c>
      <c r="D118" s="332">
        <f>C118*SQRT((D117/C117)^2+(D119/C119)^2)</f>
        <v>0.004310120388247029</v>
      </c>
      <c r="E118" s="332">
        <f>C118*SQRT((E117/C117)^2+(E119/C119)^2)</f>
        <v>0.0003284062424620014</v>
      </c>
      <c r="F118" t="s" s="257">
        <v>87</v>
      </c>
      <c r="G118" t="s" s="331">
        <v>86</v>
      </c>
      <c r="H118" s="332">
        <f>H117/H119</f>
        <v>0.1053318078285621</v>
      </c>
      <c r="I118" s="332">
        <f>H118*SQRT((I117/H117)^2+(I119/H119)^2)</f>
        <v>0.005034484048830744</v>
      </c>
      <c r="J118" s="332">
        <f>H118*SQRT((J117/H117)^2+(J119/H119)^2)</f>
        <v>0.0007988945383411218</v>
      </c>
      <c r="K118" t="s" s="257">
        <v>87</v>
      </c>
      <c r="L118" s="326"/>
    </row>
    <row r="119" ht="20.65" customHeight="1">
      <c r="A119" s="241"/>
      <c r="B119" t="s" s="333">
        <v>115</v>
      </c>
      <c r="C119" s="330">
        <f>H91*J91*60/F101</f>
        <v>29.70669393826702</v>
      </c>
      <c r="D119" s="330">
        <f>C119*SQRT((I91/H91)^2+(K91/J91)^2+(G101/F101)^2)</f>
        <v>1.320950880893348</v>
      </c>
      <c r="E119" s="330">
        <f>C119*H101/F101</f>
        <v>0.09901737607718296</v>
      </c>
      <c r="F119" t="s" s="254">
        <v>35</v>
      </c>
      <c r="G119" t="s" s="333">
        <v>115</v>
      </c>
      <c r="H119" s="330">
        <f>H94*J94*60/F102</f>
        <v>25.39498803964005</v>
      </c>
      <c r="I119" s="330">
        <f>H119*SQRT((I94/H94)^2+(K94/J94)^2+(G102/F102)^2)</f>
        <v>1.212551439932322</v>
      </c>
      <c r="J119" s="330">
        <f>H119*H102/F102</f>
        <v>0.1539665047681542</v>
      </c>
      <c r="K119" t="s" s="254">
        <v>35</v>
      </c>
      <c r="L119" s="326"/>
    </row>
    <row r="120" ht="22.15" customHeight="1">
      <c r="A120" s="241"/>
      <c r="B120" t="s" s="334">
        <v>116</v>
      </c>
      <c r="C120" s="338">
        <f>C116/C119</f>
        <v>0.02115073902278244</v>
      </c>
      <c r="D120" s="336">
        <f>C120*SQRT((D116/C116)^2+(D119/C119)^2)</f>
        <v>0.002806143096328841</v>
      </c>
      <c r="E120" s="336">
        <f>C120*E119/C119</f>
        <v>7.049894830038334e-05</v>
      </c>
      <c r="F120" t="s" s="337">
        <v>87</v>
      </c>
      <c r="G120" t="s" s="334">
        <v>116</v>
      </c>
      <c r="H120" s="338">
        <f>H116/H119</f>
        <v>0.01360800766495559</v>
      </c>
      <c r="I120" s="336">
        <f>H120*SQRT((I116/H116)^2+(I119/H119)^2)</f>
        <v>0.003160245026936436</v>
      </c>
      <c r="J120" s="336">
        <f>H120*J119/H119</f>
        <v>8.250357801945086e-05</v>
      </c>
      <c r="K120" t="s" s="337">
        <v>87</v>
      </c>
      <c r="L120" s="326"/>
    </row>
    <row r="121" ht="21.2" customHeight="1">
      <c r="A121" s="47"/>
      <c r="B121" s="344"/>
      <c r="C121" s="126"/>
      <c r="D121" s="126"/>
      <c r="E121" s="126"/>
      <c r="F121" s="126"/>
      <c r="G121" s="345"/>
      <c r="H121" s="268"/>
      <c r="I121" s="268"/>
      <c r="J121" s="268"/>
      <c r="K121" s="268"/>
      <c r="L121" s="111"/>
    </row>
    <row r="122" ht="21.2" customHeight="1">
      <c r="A122" s="127"/>
      <c r="B122" s="346"/>
      <c r="C122" s="131"/>
      <c r="D122" s="131"/>
      <c r="E122" s="131"/>
      <c r="F122" s="131"/>
      <c r="G122" s="347"/>
      <c r="H122" s="140"/>
      <c r="I122" s="140"/>
      <c r="J122" s="140"/>
      <c r="K122" s="140"/>
      <c r="L122" s="133"/>
    </row>
    <row r="123" ht="21.2" customHeight="1">
      <c r="A123" s="134"/>
      <c r="B123" s="150"/>
      <c r="C123" s="137"/>
      <c r="D123" s="137"/>
      <c r="E123" s="137"/>
      <c r="F123" s="137"/>
      <c r="G123" s="348"/>
      <c r="H123" s="134"/>
      <c r="I123" s="134"/>
      <c r="J123" s="134"/>
      <c r="K123" s="134"/>
      <c r="L123" s="134"/>
    </row>
    <row r="124" ht="19.7" customHeight="1">
      <c r="A124" s="115"/>
      <c r="B124" s="234"/>
      <c r="C124" s="235"/>
      <c r="D124" s="235"/>
      <c r="E124" s="235"/>
      <c r="F124" s="235"/>
      <c r="G124" s="349"/>
      <c r="H124" s="115"/>
      <c r="I124" s="115"/>
      <c r="J124" s="115"/>
      <c r="K124" s="115"/>
      <c r="L124" s="115"/>
    </row>
    <row r="125" ht="19.7" customHeight="1">
      <c r="A125" s="115"/>
      <c r="B125" s="234"/>
      <c r="C125" s="235"/>
      <c r="D125" s="235"/>
      <c r="E125" s="235"/>
      <c r="F125" s="235"/>
      <c r="G125" s="349"/>
      <c r="H125" s="115"/>
      <c r="I125" s="115"/>
      <c r="J125" s="115"/>
      <c r="K125" s="115"/>
      <c r="L125" s="115"/>
    </row>
    <row r="126" ht="19.7" customHeight="1">
      <c r="A126" s="115"/>
      <c r="B126" s="234"/>
      <c r="C126" s="235"/>
      <c r="D126" s="235"/>
      <c r="E126" s="235"/>
      <c r="F126" s="235"/>
      <c r="G126" s="349"/>
      <c r="H126" s="115"/>
      <c r="I126" s="115"/>
      <c r="J126" s="115"/>
      <c r="K126" s="115"/>
      <c r="L126" s="115"/>
    </row>
    <row r="127" ht="19.7" customHeight="1">
      <c r="A127" s="115"/>
      <c r="B127" s="234"/>
      <c r="C127" s="235"/>
      <c r="D127" s="235"/>
      <c r="E127" s="235"/>
      <c r="F127" s="235"/>
      <c r="G127" s="349"/>
      <c r="H127" s="115"/>
      <c r="I127" s="115"/>
      <c r="J127" s="115"/>
      <c r="K127" s="115"/>
      <c r="L127" s="115"/>
    </row>
    <row r="128" ht="19.7" customHeight="1">
      <c r="A128" s="115"/>
      <c r="B128" s="234"/>
      <c r="C128" s="235"/>
      <c r="D128" s="235"/>
      <c r="E128" s="235"/>
      <c r="F128" s="235"/>
      <c r="G128" s="349"/>
      <c r="H128" s="115"/>
      <c r="I128" s="115"/>
      <c r="J128" s="115"/>
      <c r="K128" s="115"/>
      <c r="L128" s="115"/>
    </row>
    <row r="129" ht="19.7" customHeight="1">
      <c r="A129" s="115"/>
      <c r="B129" s="234"/>
      <c r="C129" s="235"/>
      <c r="D129" s="235"/>
      <c r="E129" s="235"/>
      <c r="F129" s="235"/>
      <c r="G129" s="349"/>
      <c r="H129" s="115"/>
      <c r="I129" s="115"/>
      <c r="J129" s="115"/>
      <c r="K129" s="115"/>
      <c r="L129" s="115"/>
    </row>
    <row r="130" ht="19.7" customHeight="1">
      <c r="A130" s="115"/>
      <c r="B130" s="234"/>
      <c r="C130" s="235"/>
      <c r="D130" s="235"/>
      <c r="E130" s="235"/>
      <c r="F130" s="235"/>
      <c r="G130" s="349"/>
      <c r="H130" s="115"/>
      <c r="I130" s="115"/>
      <c r="J130" s="115"/>
      <c r="K130" s="115"/>
      <c r="L130" s="115"/>
    </row>
    <row r="131" ht="19.7" customHeight="1">
      <c r="A131" s="115"/>
      <c r="B131" s="234"/>
      <c r="C131" s="235"/>
      <c r="D131" s="235"/>
      <c r="E131" s="235"/>
      <c r="F131" s="235"/>
      <c r="G131" s="349"/>
      <c r="H131" s="115"/>
      <c r="I131" s="115"/>
      <c r="J131" s="115"/>
      <c r="K131" s="115"/>
      <c r="L131" s="115"/>
    </row>
    <row r="132" ht="19.7" customHeight="1">
      <c r="A132" s="115"/>
      <c r="B132" s="234"/>
      <c r="C132" s="235"/>
      <c r="D132" s="235"/>
      <c r="E132" s="235"/>
      <c r="F132" s="235"/>
      <c r="G132" s="349"/>
      <c r="H132" s="115"/>
      <c r="I132" s="115"/>
      <c r="J132" s="115"/>
      <c r="K132" s="115"/>
      <c r="L132" s="115"/>
    </row>
    <row r="133" ht="19.7" customHeight="1">
      <c r="A133" s="115"/>
      <c r="B133" s="234"/>
      <c r="C133" s="235"/>
      <c r="D133" s="235"/>
      <c r="E133" s="235"/>
      <c r="F133" s="235"/>
      <c r="G133" s="349"/>
      <c r="H133" s="115"/>
      <c r="I133" s="115"/>
      <c r="J133" s="115"/>
      <c r="K133" s="115"/>
      <c r="L133" s="115"/>
    </row>
    <row r="134" ht="19.7" customHeight="1">
      <c r="A134" s="115"/>
      <c r="B134" s="234"/>
      <c r="C134" s="235"/>
      <c r="D134" s="235"/>
      <c r="E134" s="235"/>
      <c r="F134" s="235"/>
      <c r="G134" s="349"/>
      <c r="H134" s="115"/>
      <c r="I134" s="115"/>
      <c r="J134" s="115"/>
      <c r="K134" s="115"/>
      <c r="L134" s="115"/>
    </row>
    <row r="135" ht="19.7" customHeight="1">
      <c r="A135" s="115"/>
      <c r="B135" s="234"/>
      <c r="C135" s="235"/>
      <c r="D135" s="235"/>
      <c r="E135" s="235"/>
      <c r="F135" s="235"/>
      <c r="G135" s="349"/>
      <c r="H135" s="115"/>
      <c r="I135" s="115"/>
      <c r="J135" s="115"/>
      <c r="K135" s="115"/>
      <c r="L135" s="115"/>
    </row>
    <row r="136" ht="19.7" customHeight="1">
      <c r="A136" s="115"/>
      <c r="B136" s="234"/>
      <c r="C136" s="235"/>
      <c r="D136" s="235"/>
      <c r="E136" s="235"/>
      <c r="F136" s="235"/>
      <c r="G136" s="349"/>
      <c r="H136" s="115"/>
      <c r="I136" s="115"/>
      <c r="J136" s="115"/>
      <c r="K136" s="115"/>
      <c r="L136" s="115"/>
    </row>
    <row r="137" ht="19.7" customHeight="1">
      <c r="A137" s="115"/>
      <c r="B137" s="234"/>
      <c r="C137" s="235"/>
      <c r="D137" s="235"/>
      <c r="E137" s="235"/>
      <c r="F137" s="235"/>
      <c r="G137" s="349"/>
      <c r="H137" s="115"/>
      <c r="I137" s="115"/>
      <c r="J137" s="115"/>
      <c r="K137" s="115"/>
      <c r="L137" s="115"/>
    </row>
  </sheetData>
  <mergeCells count="1">
    <mergeCell ref="A1:L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