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kioanni\Documents\Research\Anchoring Bias in Markets\Revision\"/>
    </mc:Choice>
  </mc:AlternateContent>
  <xr:revisionPtr revIDLastSave="0" documentId="13_ncr:1_{43DFDA70-1063-45FC-9EBF-C08E8A19F5FF}" xr6:coauthVersionLast="44" xr6:coauthVersionMax="44" xr10:uidLastSave="{00000000-0000-0000-0000-000000000000}"/>
  <bookViews>
    <workbookView xWindow="-108" yWindow="-108" windowWidth="23256" windowHeight="12576" xr2:uid="{00000000-000D-0000-FFFF-FFFF00000000}"/>
  </bookViews>
  <sheets>
    <sheet name="Resubmit" sheetId="1" r:id="rId1"/>
    <sheet name="Submission" sheetId="2" r:id="rId2"/>
    <sheet name="Unsure"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2" i="1"/>
  <c r="AA26" i="1" l="1"/>
  <c r="P25" i="1" l="1"/>
  <c r="P24" i="1"/>
  <c r="P15" i="3" l="1"/>
  <c r="H15" i="3"/>
  <c r="Q15" i="3" s="1"/>
  <c r="Z15" i="3" s="1"/>
  <c r="Y14" i="3"/>
  <c r="V14" i="3"/>
  <c r="P14" i="3"/>
  <c r="L14" i="3"/>
  <c r="N14" i="3" s="1"/>
  <c r="K14" i="3"/>
  <c r="I14" i="3"/>
  <c r="Y13" i="3"/>
  <c r="V13" i="3"/>
  <c r="P13" i="3"/>
  <c r="L13" i="3"/>
  <c r="I13" i="3"/>
  <c r="Y12" i="3"/>
  <c r="V12" i="3"/>
  <c r="P12" i="3"/>
  <c r="L12" i="3"/>
  <c r="I12" i="3"/>
  <c r="Y11" i="3"/>
  <c r="V11" i="3"/>
  <c r="P11" i="3"/>
  <c r="O11" i="3"/>
  <c r="Z11" i="3" s="1"/>
  <c r="W11" i="3" s="1"/>
  <c r="X11" i="3" s="1"/>
  <c r="L11" i="3"/>
  <c r="I11" i="3"/>
  <c r="AA11" i="3" s="1"/>
  <c r="Z10" i="3"/>
  <c r="Y10" i="3"/>
  <c r="X10" i="3"/>
  <c r="W10" i="3"/>
  <c r="V10" i="3"/>
  <c r="P10" i="3"/>
  <c r="L10" i="3"/>
  <c r="I10" i="3"/>
  <c r="AA10" i="3" s="1"/>
  <c r="Y9" i="3"/>
  <c r="S9" i="3"/>
  <c r="Z9" i="3" s="1"/>
  <c r="P9" i="3"/>
  <c r="O9" i="3"/>
  <c r="AA8" i="3"/>
  <c r="Y8" i="3"/>
  <c r="W8" i="3"/>
  <c r="X8" i="3" s="1"/>
  <c r="S8" i="3"/>
  <c r="Z8" i="3" s="1"/>
  <c r="P8" i="3"/>
  <c r="O8" i="3"/>
  <c r="A8" i="3"/>
  <c r="A9" i="3" s="1"/>
  <c r="A10" i="3" s="1"/>
  <c r="A11" i="3" s="1"/>
  <c r="A12" i="3" s="1"/>
  <c r="A13" i="3" s="1"/>
  <c r="A14" i="3" s="1"/>
  <c r="A15" i="3" s="1"/>
  <c r="Z7" i="3"/>
  <c r="Y7" i="3"/>
  <c r="X7" i="3"/>
  <c r="W7" i="3"/>
  <c r="V7" i="3"/>
  <c r="P7" i="3"/>
  <c r="O7" i="3"/>
  <c r="L7" i="3"/>
  <c r="AA7" i="3" s="1"/>
  <c r="I7" i="3"/>
  <c r="AA6" i="3"/>
  <c r="Z6" i="3"/>
  <c r="Y6" i="3"/>
  <c r="W6" i="3"/>
  <c r="X6" i="3" s="1"/>
  <c r="V6" i="3"/>
  <c r="P6" i="3"/>
  <c r="L6" i="3"/>
  <c r="I6" i="3"/>
  <c r="Z5" i="3"/>
  <c r="W5" i="3" s="1"/>
  <c r="X5" i="3" s="1"/>
  <c r="Y5" i="3"/>
  <c r="R5" i="3"/>
  <c r="P5" i="3"/>
  <c r="L5" i="3"/>
  <c r="I5" i="3"/>
  <c r="AA4" i="3"/>
  <c r="Z4" i="3"/>
  <c r="Y4" i="3"/>
  <c r="X4" i="3"/>
  <c r="W4" i="3"/>
  <c r="T4" i="3"/>
  <c r="P4" i="3"/>
  <c r="O4" i="3"/>
  <c r="Z3" i="3"/>
  <c r="Y3" i="3"/>
  <c r="T3" i="3"/>
  <c r="P3" i="3"/>
  <c r="O3" i="3"/>
  <c r="AA2" i="3"/>
  <c r="Z2" i="3"/>
  <c r="Y2" i="3"/>
  <c r="W2" i="3"/>
  <c r="X2" i="3" s="1"/>
  <c r="T2" i="3"/>
  <c r="P2" i="3"/>
  <c r="N2" i="3"/>
  <c r="K2" i="3"/>
  <c r="O2" i="3" s="1"/>
  <c r="A2" i="3"/>
  <c r="A3" i="3" s="1"/>
  <c r="A4" i="3" s="1"/>
  <c r="A5" i="3" s="1"/>
  <c r="A6" i="3" s="1"/>
  <c r="A7" i="3" s="1"/>
  <c r="AA119" i="1"/>
  <c r="Y119" i="1"/>
  <c r="P119" i="1"/>
  <c r="O119" i="1"/>
  <c r="H119" i="1"/>
  <c r="AB118" i="1"/>
  <c r="AA118" i="1"/>
  <c r="Y118" i="1"/>
  <c r="W118" i="1"/>
  <c r="X118" i="1" s="1"/>
  <c r="P118" i="1"/>
  <c r="O118" i="1"/>
  <c r="H118" i="1"/>
  <c r="P117" i="1"/>
  <c r="H117" i="1"/>
  <c r="Y116" i="1"/>
  <c r="P116" i="1"/>
  <c r="O116" i="1"/>
  <c r="AA116" i="1" s="1"/>
  <c r="H116" i="1"/>
  <c r="AA115" i="1"/>
  <c r="Y115" i="1"/>
  <c r="P115" i="1"/>
  <c r="O115" i="1"/>
  <c r="H115" i="1"/>
  <c r="AB114" i="1"/>
  <c r="AA114" i="1"/>
  <c r="Y114" i="1"/>
  <c r="W114" i="1"/>
  <c r="X114" i="1" s="1"/>
  <c r="P114" i="1"/>
  <c r="O114" i="1"/>
  <c r="H114" i="1"/>
  <c r="P113" i="1"/>
  <c r="H113" i="1"/>
  <c r="Y112" i="1"/>
  <c r="P112" i="1"/>
  <c r="O112" i="1"/>
  <c r="AA112" i="1" s="1"/>
  <c r="H112" i="1"/>
  <c r="Q111" i="1"/>
  <c r="P111" i="1"/>
  <c r="N111" i="1"/>
  <c r="K111" i="1"/>
  <c r="O111" i="1" s="1"/>
  <c r="AA111" i="1" s="1"/>
  <c r="H111" i="1"/>
  <c r="Y111" i="1" s="1"/>
  <c r="AB110" i="1"/>
  <c r="Y110" i="1"/>
  <c r="X110" i="1"/>
  <c r="W110" i="1"/>
  <c r="P110" i="1"/>
  <c r="AB109" i="1"/>
  <c r="Y109" i="1"/>
  <c r="W109" i="1"/>
  <c r="X109" i="1" s="1"/>
  <c r="P109" i="1"/>
  <c r="L109" i="1"/>
  <c r="I109" i="1"/>
  <c r="AB108" i="1"/>
  <c r="Y108" i="1"/>
  <c r="W108" i="1"/>
  <c r="X108" i="1" s="1"/>
  <c r="P108" i="1"/>
  <c r="Y107" i="1"/>
  <c r="X107" i="1"/>
  <c r="W107" i="1"/>
  <c r="P107" i="1"/>
  <c r="L107" i="1"/>
  <c r="I107" i="1"/>
  <c r="AB107" i="1" s="1"/>
  <c r="AB106" i="1"/>
  <c r="Y106" i="1"/>
  <c r="X106" i="1"/>
  <c r="W106" i="1"/>
  <c r="P106" i="1"/>
  <c r="AB105" i="1"/>
  <c r="Y105" i="1"/>
  <c r="W105" i="1"/>
  <c r="X105" i="1" s="1"/>
  <c r="P105" i="1"/>
  <c r="L105" i="1"/>
  <c r="I105" i="1"/>
  <c r="AB104" i="1"/>
  <c r="Y104" i="1"/>
  <c r="W104" i="1"/>
  <c r="X104" i="1" s="1"/>
  <c r="P104" i="1"/>
  <c r="L104" i="1"/>
  <c r="I104" i="1"/>
  <c r="AB103" i="1"/>
  <c r="Y103" i="1"/>
  <c r="W103" i="1"/>
  <c r="X103" i="1" s="1"/>
  <c r="P103" i="1"/>
  <c r="Y102" i="1"/>
  <c r="X102" i="1"/>
  <c r="W102" i="1"/>
  <c r="P102" i="1"/>
  <c r="L102" i="1"/>
  <c r="I102" i="1"/>
  <c r="AB102" i="1" s="1"/>
  <c r="Y101" i="1"/>
  <c r="X101" i="1"/>
  <c r="W101" i="1"/>
  <c r="P101" i="1"/>
  <c r="L101" i="1"/>
  <c r="I101" i="1"/>
  <c r="AB101" i="1" s="1"/>
  <c r="AA100" i="1"/>
  <c r="Y100" i="1"/>
  <c r="X100" i="1"/>
  <c r="P100" i="1"/>
  <c r="L100" i="1"/>
  <c r="I100" i="1"/>
  <c r="AB100" i="1" s="1"/>
  <c r="Y99" i="1"/>
  <c r="P99" i="1"/>
  <c r="O99" i="1"/>
  <c r="AA99" i="1" s="1"/>
  <c r="H99" i="1"/>
  <c r="AB98" i="1"/>
  <c r="AA98" i="1"/>
  <c r="W98" i="1" s="1"/>
  <c r="X98" i="1" s="1"/>
  <c r="Y98" i="1"/>
  <c r="P98" i="1"/>
  <c r="O98" i="1"/>
  <c r="H98" i="1"/>
  <c r="P97" i="1"/>
  <c r="H97" i="1"/>
  <c r="P96" i="1"/>
  <c r="H96" i="1"/>
  <c r="O96" i="1" s="1"/>
  <c r="AA96" i="1" s="1"/>
  <c r="Y95" i="1"/>
  <c r="P95" i="1"/>
  <c r="O95" i="1"/>
  <c r="AA95" i="1" s="1"/>
  <c r="H95" i="1"/>
  <c r="AB94" i="1"/>
  <c r="AA94" i="1"/>
  <c r="W94" i="1" s="1"/>
  <c r="X94" i="1" s="1"/>
  <c r="Y94" i="1"/>
  <c r="P94" i="1"/>
  <c r="O94" i="1"/>
  <c r="H94" i="1"/>
  <c r="P93" i="1"/>
  <c r="H93" i="1"/>
  <c r="P92" i="1"/>
  <c r="H92" i="1"/>
  <c r="O92" i="1" s="1"/>
  <c r="AA92" i="1" s="1"/>
  <c r="Y91" i="1"/>
  <c r="P91" i="1"/>
  <c r="O91" i="1"/>
  <c r="AA91" i="1" s="1"/>
  <c r="H91" i="1"/>
  <c r="AB90" i="1"/>
  <c r="AA90" i="1"/>
  <c r="W90" i="1" s="1"/>
  <c r="X90" i="1" s="1"/>
  <c r="Y90" i="1"/>
  <c r="P90" i="1"/>
  <c r="O90" i="1"/>
  <c r="H90" i="1"/>
  <c r="P89" i="1"/>
  <c r="H89" i="1"/>
  <c r="Y88" i="1"/>
  <c r="P88" i="1"/>
  <c r="H88" i="1"/>
  <c r="O88" i="1" s="1"/>
  <c r="AA88" i="1" s="1"/>
  <c r="Y87" i="1"/>
  <c r="P87" i="1"/>
  <c r="O87" i="1"/>
  <c r="AA87" i="1" s="1"/>
  <c r="H87" i="1"/>
  <c r="AB86" i="1"/>
  <c r="AA86" i="1"/>
  <c r="W86" i="1" s="1"/>
  <c r="X86" i="1" s="1"/>
  <c r="Y86" i="1"/>
  <c r="P86" i="1"/>
  <c r="O86" i="1"/>
  <c r="H86" i="1"/>
  <c r="P85" i="1"/>
  <c r="H85" i="1"/>
  <c r="Y84" i="1"/>
  <c r="P84" i="1"/>
  <c r="O84" i="1"/>
  <c r="AA84" i="1" s="1"/>
  <c r="AB84" i="1" s="1"/>
  <c r="H84" i="1"/>
  <c r="Y83" i="1"/>
  <c r="R83" i="1"/>
  <c r="P83" i="1"/>
  <c r="O83" i="1"/>
  <c r="AA83" i="1" s="1"/>
  <c r="H83" i="1"/>
  <c r="P82" i="1"/>
  <c r="H82" i="1"/>
  <c r="P81" i="1"/>
  <c r="H81" i="1"/>
  <c r="P80" i="1"/>
  <c r="O80" i="1"/>
  <c r="AA80" i="1" s="1"/>
  <c r="H80" i="1"/>
  <c r="Y80" i="1" s="1"/>
  <c r="P79" i="1"/>
  <c r="H79" i="1"/>
  <c r="Y78" i="1"/>
  <c r="P78" i="1"/>
  <c r="O78" i="1"/>
  <c r="AA78" i="1" s="1"/>
  <c r="W78" i="1" s="1"/>
  <c r="X78" i="1" s="1"/>
  <c r="H78" i="1"/>
  <c r="Y77" i="1"/>
  <c r="T77" i="1"/>
  <c r="S77" i="1" s="1"/>
  <c r="P77" i="1"/>
  <c r="L77" i="1"/>
  <c r="I77" i="1"/>
  <c r="Y76" i="1"/>
  <c r="P76" i="1"/>
  <c r="L76" i="1"/>
  <c r="O76" i="1" s="1"/>
  <c r="AA76" i="1" s="1"/>
  <c r="W76" i="1" s="1"/>
  <c r="X76" i="1" s="1"/>
  <c r="I76" i="1"/>
  <c r="P75" i="1"/>
  <c r="H75" i="1"/>
  <c r="Y74" i="1"/>
  <c r="W74" i="1"/>
  <c r="X74" i="1" s="1"/>
  <c r="P74" i="1"/>
  <c r="O74" i="1"/>
  <c r="AA74" i="1" s="1"/>
  <c r="AB74" i="1" s="1"/>
  <c r="H74" i="1"/>
  <c r="P73" i="1"/>
  <c r="H73" i="1"/>
  <c r="Y72" i="1"/>
  <c r="P72" i="1"/>
  <c r="O72" i="1"/>
  <c r="AA72" i="1" s="1"/>
  <c r="AB72" i="1" s="1"/>
  <c r="H72" i="1"/>
  <c r="P71" i="1"/>
  <c r="H71" i="1"/>
  <c r="Y70" i="1"/>
  <c r="P70" i="1"/>
  <c r="O70" i="1"/>
  <c r="AA70" i="1" s="1"/>
  <c r="W70" i="1" s="1"/>
  <c r="X70" i="1" s="1"/>
  <c r="H70" i="1"/>
  <c r="P69" i="1"/>
  <c r="H69" i="1"/>
  <c r="Y68" i="1"/>
  <c r="W68" i="1"/>
  <c r="X68" i="1" s="1"/>
  <c r="P68" i="1"/>
  <c r="O68" i="1"/>
  <c r="AA68" i="1" s="1"/>
  <c r="AB68" i="1" s="1"/>
  <c r="H68" i="1"/>
  <c r="P67" i="1"/>
  <c r="H67" i="1"/>
  <c r="Y66" i="1"/>
  <c r="W66" i="1"/>
  <c r="X66" i="1" s="1"/>
  <c r="P66" i="1"/>
  <c r="O66" i="1"/>
  <c r="AA66" i="1" s="1"/>
  <c r="AB66" i="1" s="1"/>
  <c r="H66" i="1"/>
  <c r="P65" i="1"/>
  <c r="H65" i="1"/>
  <c r="Y64" i="1"/>
  <c r="P64" i="1"/>
  <c r="O64" i="1"/>
  <c r="AA64" i="1" s="1"/>
  <c r="AB64" i="1" s="1"/>
  <c r="H64" i="1"/>
  <c r="P63" i="1"/>
  <c r="H63" i="1"/>
  <c r="Y62" i="1"/>
  <c r="P62" i="1"/>
  <c r="O62" i="1"/>
  <c r="AA62" i="1" s="1"/>
  <c r="W62" i="1" s="1"/>
  <c r="X62" i="1" s="1"/>
  <c r="H62" i="1"/>
  <c r="P61" i="1"/>
  <c r="H61" i="1"/>
  <c r="Y60" i="1"/>
  <c r="W60" i="1"/>
  <c r="X60" i="1" s="1"/>
  <c r="P60" i="1"/>
  <c r="O60" i="1"/>
  <c r="AA60" i="1" s="1"/>
  <c r="AB60" i="1" s="1"/>
  <c r="H60" i="1"/>
  <c r="P59" i="1"/>
  <c r="H59" i="1"/>
  <c r="P58" i="1"/>
  <c r="H58" i="1"/>
  <c r="Y58" i="1" s="1"/>
  <c r="P57" i="1"/>
  <c r="O57" i="1"/>
  <c r="AA57" i="1" s="1"/>
  <c r="H57" i="1"/>
  <c r="Y57" i="1" s="1"/>
  <c r="Y56" i="1"/>
  <c r="P56" i="1"/>
  <c r="O56" i="1"/>
  <c r="AA56" i="1" s="1"/>
  <c r="H56" i="1"/>
  <c r="P55" i="1"/>
  <c r="H55" i="1"/>
  <c r="Y54" i="1"/>
  <c r="W54" i="1"/>
  <c r="X54" i="1" s="1"/>
  <c r="P54" i="1"/>
  <c r="O54" i="1"/>
  <c r="AA54" i="1" s="1"/>
  <c r="AB54" i="1" s="1"/>
  <c r="H54" i="1"/>
  <c r="P53" i="1"/>
  <c r="H53" i="1"/>
  <c r="O53" i="1" s="1"/>
  <c r="AA53" i="1" s="1"/>
  <c r="Y52" i="1"/>
  <c r="P52" i="1"/>
  <c r="O52" i="1"/>
  <c r="AA52" i="1" s="1"/>
  <c r="H52" i="1"/>
  <c r="P51" i="1"/>
  <c r="H51" i="1"/>
  <c r="P50" i="1"/>
  <c r="H50" i="1"/>
  <c r="Y50" i="1" s="1"/>
  <c r="P49" i="1"/>
  <c r="O49" i="1"/>
  <c r="AA49" i="1" s="1"/>
  <c r="H49" i="1"/>
  <c r="Y49" i="1" s="1"/>
  <c r="Y48" i="1"/>
  <c r="P48" i="1"/>
  <c r="O48" i="1"/>
  <c r="AA48" i="1" s="1"/>
  <c r="H48" i="1"/>
  <c r="P47" i="1"/>
  <c r="H47" i="1"/>
  <c r="Y47" i="1" s="1"/>
  <c r="Y46" i="1"/>
  <c r="P46" i="1"/>
  <c r="O46" i="1"/>
  <c r="AA46" i="1" s="1"/>
  <c r="H46" i="1"/>
  <c r="P45" i="1"/>
  <c r="H45" i="1"/>
  <c r="Y45" i="1" s="1"/>
  <c r="Y44" i="1"/>
  <c r="P44" i="1"/>
  <c r="O44" i="1"/>
  <c r="AA44" i="1" s="1"/>
  <c r="H44" i="1"/>
  <c r="P43" i="1"/>
  <c r="H43" i="1"/>
  <c r="Y43" i="1" s="1"/>
  <c r="Y42" i="1"/>
  <c r="P42" i="1"/>
  <c r="O42" i="1"/>
  <c r="AA42" i="1" s="1"/>
  <c r="H42" i="1"/>
  <c r="P41" i="1"/>
  <c r="H41" i="1"/>
  <c r="Y41" i="1" s="1"/>
  <c r="Y40" i="1"/>
  <c r="P40" i="1"/>
  <c r="O40" i="1"/>
  <c r="AA40" i="1" s="1"/>
  <c r="H40" i="1"/>
  <c r="P39" i="1"/>
  <c r="H39" i="1"/>
  <c r="Y39" i="1" s="1"/>
  <c r="AA38" i="1"/>
  <c r="Y38" i="1"/>
  <c r="X38" i="1"/>
  <c r="L38" i="1"/>
  <c r="AB38" i="1" s="1"/>
  <c r="I38" i="1"/>
  <c r="AA37" i="1"/>
  <c r="Y37" i="1"/>
  <c r="X37" i="1"/>
  <c r="L37" i="1"/>
  <c r="I37" i="1"/>
  <c r="AB37" i="1" s="1"/>
  <c r="AA36" i="1"/>
  <c r="Y36" i="1"/>
  <c r="X36" i="1"/>
  <c r="L36" i="1"/>
  <c r="AB36" i="1" s="1"/>
  <c r="I36" i="1"/>
  <c r="P35" i="1"/>
  <c r="H35" i="1"/>
  <c r="AA35" i="1" s="1"/>
  <c r="Y34" i="1"/>
  <c r="X34" i="1"/>
  <c r="P34" i="1"/>
  <c r="L34" i="1"/>
  <c r="I34" i="1"/>
  <c r="Y33" i="1"/>
  <c r="X33" i="1"/>
  <c r="P33" i="1"/>
  <c r="O33" i="1"/>
  <c r="AA33" i="1" s="1"/>
  <c r="AB33" i="1" s="1"/>
  <c r="Y32" i="1"/>
  <c r="X32" i="1"/>
  <c r="P32" i="1"/>
  <c r="L32" i="1"/>
  <c r="I32" i="1"/>
  <c r="Y31" i="1"/>
  <c r="X31" i="1"/>
  <c r="P31" i="1"/>
  <c r="O31" i="1"/>
  <c r="AA31" i="1" s="1"/>
  <c r="AB31" i="1" s="1"/>
  <c r="Y30" i="1"/>
  <c r="P30" i="1"/>
  <c r="O30" i="1"/>
  <c r="AA30" i="1" s="1"/>
  <c r="W30" i="1" s="1"/>
  <c r="X30" i="1" s="1"/>
  <c r="L30" i="1"/>
  <c r="I30" i="1"/>
  <c r="AB29" i="1"/>
  <c r="AA29" i="1"/>
  <c r="Y29" i="1"/>
  <c r="X29" i="1"/>
  <c r="P29" i="1"/>
  <c r="O29" i="1"/>
  <c r="L29" i="1"/>
  <c r="I29" i="1"/>
  <c r="Y28" i="1"/>
  <c r="V28" i="1"/>
  <c r="P28" i="1"/>
  <c r="O28" i="1"/>
  <c r="AA28" i="1" s="1"/>
  <c r="W28" i="1" s="1"/>
  <c r="X28" i="1" s="1"/>
  <c r="L28" i="1"/>
  <c r="I28" i="1"/>
  <c r="Y27" i="1"/>
  <c r="V27" i="1"/>
  <c r="P27" i="1"/>
  <c r="L27" i="1"/>
  <c r="I27" i="1"/>
  <c r="R26" i="1"/>
  <c r="P26" i="1"/>
  <c r="N26" i="1"/>
  <c r="K26" i="1"/>
  <c r="O26" i="1" s="1"/>
  <c r="H26" i="1"/>
  <c r="Y26" i="1" s="1"/>
  <c r="L25" i="1"/>
  <c r="I25" i="1"/>
  <c r="H25" i="1"/>
  <c r="Y25" i="1" s="1"/>
  <c r="Y24" i="1"/>
  <c r="O24" i="1"/>
  <c r="AA24" i="1" s="1"/>
  <c r="H24" i="1"/>
  <c r="AA23" i="1"/>
  <c r="Y23" i="1"/>
  <c r="V23" i="1"/>
  <c r="P23" i="1"/>
  <c r="L23" i="1"/>
  <c r="I23" i="1"/>
  <c r="AB23" i="1" s="1"/>
  <c r="AA22" i="1"/>
  <c r="Y22" i="1"/>
  <c r="W22" i="1"/>
  <c r="X22" i="1" s="1"/>
  <c r="V22" i="1"/>
  <c r="P22" i="1"/>
  <c r="O22" i="1"/>
  <c r="L22" i="1"/>
  <c r="AB22" i="1" s="1"/>
  <c r="I22" i="1"/>
  <c r="AA21" i="1"/>
  <c r="W21" i="1" s="1"/>
  <c r="X21" i="1" s="1"/>
  <c r="Y21" i="1"/>
  <c r="V21" i="1"/>
  <c r="P21" i="1"/>
  <c r="O21" i="1"/>
  <c r="O19" i="1" s="1"/>
  <c r="L21" i="1"/>
  <c r="I21" i="1"/>
  <c r="AB21" i="1" s="1"/>
  <c r="AB20" i="1"/>
  <c r="AA20" i="1"/>
  <c r="O20" i="1" s="1"/>
  <c r="O18" i="1" s="1"/>
  <c r="Y20" i="1"/>
  <c r="W20" i="1"/>
  <c r="X20" i="1" s="1"/>
  <c r="V20" i="1"/>
  <c r="P20" i="1"/>
  <c r="L20" i="1"/>
  <c r="I20" i="1"/>
  <c r="AA19" i="1"/>
  <c r="W19" i="1" s="1"/>
  <c r="Y19" i="1"/>
  <c r="X19" i="1"/>
  <c r="P19" i="1"/>
  <c r="L19" i="1"/>
  <c r="I19" i="1"/>
  <c r="AA18" i="1"/>
  <c r="W18" i="1" s="1"/>
  <c r="X18" i="1" s="1"/>
  <c r="Y18" i="1"/>
  <c r="P18" i="1"/>
  <c r="L18" i="1"/>
  <c r="I18" i="1"/>
  <c r="Y17" i="1"/>
  <c r="P17" i="1"/>
  <c r="L17" i="1"/>
  <c r="I17" i="1"/>
  <c r="Y16" i="1"/>
  <c r="P16" i="1"/>
  <c r="L16" i="1"/>
  <c r="I16" i="1"/>
  <c r="Y15" i="1"/>
  <c r="P15" i="1"/>
  <c r="L15" i="1"/>
  <c r="I15" i="1"/>
  <c r="Y14" i="1"/>
  <c r="P14" i="1"/>
  <c r="L14" i="1"/>
  <c r="I14" i="1"/>
  <c r="Y13" i="1"/>
  <c r="P13" i="1"/>
  <c r="L13" i="1"/>
  <c r="I13" i="1"/>
  <c r="Y12" i="1"/>
  <c r="P12" i="1"/>
  <c r="L12" i="1"/>
  <c r="I12" i="1"/>
  <c r="Y11" i="1"/>
  <c r="P11" i="1"/>
  <c r="L11" i="1"/>
  <c r="I11" i="1"/>
  <c r="Y10" i="1"/>
  <c r="P10" i="1"/>
  <c r="L10" i="1"/>
  <c r="I10" i="1"/>
  <c r="AA9" i="1"/>
  <c r="O9" i="1" s="1"/>
  <c r="Y9" i="1"/>
  <c r="W9" i="1"/>
  <c r="X9" i="1" s="1"/>
  <c r="V9" i="1"/>
  <c r="P9" i="1"/>
  <c r="L9" i="1"/>
  <c r="AB9" i="1" s="1"/>
  <c r="I9" i="1"/>
  <c r="AA8" i="1"/>
  <c r="O8" i="1" s="1"/>
  <c r="Y8" i="1"/>
  <c r="V8" i="1"/>
  <c r="P8" i="1"/>
  <c r="L8" i="1"/>
  <c r="I8" i="1"/>
  <c r="AB8" i="1" s="1"/>
  <c r="AA7" i="1"/>
  <c r="Y7" i="1"/>
  <c r="X7" i="1"/>
  <c r="W7" i="1"/>
  <c r="V7" i="1"/>
  <c r="P7" i="1"/>
  <c r="O7" i="1"/>
  <c r="L7" i="1"/>
  <c r="I7" i="1"/>
  <c r="AB7" i="1" s="1"/>
  <c r="AA6" i="1"/>
  <c r="W6" i="1" s="1"/>
  <c r="X6" i="1" s="1"/>
  <c r="Y6" i="1"/>
  <c r="V6" i="1"/>
  <c r="P6" i="1"/>
  <c r="L6" i="1"/>
  <c r="I6" i="1"/>
  <c r="AB6" i="1" s="1"/>
  <c r="AA5" i="1"/>
  <c r="O5" i="1" s="1"/>
  <c r="Y5" i="1"/>
  <c r="W5" i="1"/>
  <c r="X5" i="1" s="1"/>
  <c r="V5" i="1"/>
  <c r="P5" i="1"/>
  <c r="L5" i="1"/>
  <c r="I5" i="1"/>
  <c r="AB5" i="1" s="1"/>
  <c r="AA4" i="1"/>
  <c r="W4" i="1" s="1"/>
  <c r="X4" i="1" s="1"/>
  <c r="Y4" i="1"/>
  <c r="V4" i="1"/>
  <c r="P4" i="1"/>
  <c r="O4" i="1"/>
  <c r="L4" i="1"/>
  <c r="I4" i="1"/>
  <c r="AB4" i="1" s="1"/>
  <c r="AA3" i="1"/>
  <c r="Y3" i="1"/>
  <c r="W3" i="1"/>
  <c r="X3" i="1" s="1"/>
  <c r="V3" i="1"/>
  <c r="P3" i="1"/>
  <c r="O3" i="1"/>
  <c r="L3" i="1"/>
  <c r="AB3" i="1" s="1"/>
  <c r="I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A2" i="1"/>
  <c r="O2" i="1" s="1"/>
  <c r="Y2" i="1"/>
  <c r="X2" i="1"/>
  <c r="P2" i="1"/>
  <c r="L2" i="1"/>
  <c r="I2" i="1"/>
  <c r="AB2" i="1" s="1"/>
  <c r="O14" i="1" l="1"/>
  <c r="AA14" i="1" s="1"/>
  <c r="W14" i="1" s="1"/>
  <c r="X14" i="1" s="1"/>
  <c r="O10" i="1"/>
  <c r="AB14" i="1"/>
  <c r="O15" i="1"/>
  <c r="AA15" i="1" s="1"/>
  <c r="W15" i="1" s="1"/>
  <c r="X15" i="1" s="1"/>
  <c r="O11" i="1"/>
  <c r="O6" i="1"/>
  <c r="W8" i="1"/>
  <c r="X8" i="1" s="1"/>
  <c r="AB19" i="1"/>
  <c r="O25" i="1"/>
  <c r="AA25" i="1" s="1"/>
  <c r="W25" i="1" s="1"/>
  <c r="X25" i="1" s="1"/>
  <c r="AB28" i="1"/>
  <c r="AB30" i="1"/>
  <c r="AB111" i="1"/>
  <c r="W111" i="1"/>
  <c r="X111" i="1" s="1"/>
  <c r="AB18" i="1"/>
  <c r="O23" i="1"/>
  <c r="W23" i="1"/>
  <c r="X23" i="1" s="1"/>
  <c r="O27" i="1"/>
  <c r="AA27" i="1" s="1"/>
  <c r="W27" i="1" s="1"/>
  <c r="X27" i="1" s="1"/>
  <c r="AB42" i="1"/>
  <c r="W42" i="1"/>
  <c r="X42" i="1" s="1"/>
  <c r="AB46" i="1"/>
  <c r="W46" i="1"/>
  <c r="X46" i="1" s="1"/>
  <c r="AB53" i="1"/>
  <c r="W53" i="1"/>
  <c r="X53" i="1" s="1"/>
  <c r="AB80" i="1"/>
  <c r="W80" i="1"/>
  <c r="X80" i="1" s="1"/>
  <c r="W52" i="1"/>
  <c r="X52" i="1" s="1"/>
  <c r="AB52" i="1"/>
  <c r="AB15" i="1"/>
  <c r="AB24" i="1"/>
  <c r="W24" i="1"/>
  <c r="X24" i="1" s="1"/>
  <c r="AB25" i="1"/>
  <c r="AB35" i="1"/>
  <c r="W35" i="1"/>
  <c r="X35" i="1" s="1"/>
  <c r="O35" i="1"/>
  <c r="AB40" i="1"/>
  <c r="W40" i="1"/>
  <c r="X40" i="1" s="1"/>
  <c r="AB44" i="1"/>
  <c r="W44" i="1"/>
  <c r="X44" i="1" s="1"/>
  <c r="AB48" i="1"/>
  <c r="W48" i="1"/>
  <c r="X48" i="1" s="1"/>
  <c r="AB49" i="1"/>
  <c r="W49" i="1"/>
  <c r="X49" i="1" s="1"/>
  <c r="W56" i="1"/>
  <c r="X56" i="1" s="1"/>
  <c r="AB56" i="1"/>
  <c r="AB57" i="1"/>
  <c r="W57" i="1"/>
  <c r="X57" i="1" s="1"/>
  <c r="O32" i="1"/>
  <c r="AA32" i="1" s="1"/>
  <c r="AB32" i="1" s="1"/>
  <c r="O34" i="1"/>
  <c r="AA34" i="1" s="1"/>
  <c r="AB34" i="1" s="1"/>
  <c r="Y35" i="1"/>
  <c r="O41" i="1"/>
  <c r="AA41" i="1" s="1"/>
  <c r="O45" i="1"/>
  <c r="AA45" i="1" s="1"/>
  <c r="O50" i="1"/>
  <c r="AA50" i="1" s="1"/>
  <c r="Y55" i="1"/>
  <c r="O55" i="1"/>
  <c r="AA55" i="1" s="1"/>
  <c r="AB62" i="1"/>
  <c r="Y65" i="1"/>
  <c r="O65" i="1"/>
  <c r="AA65" i="1" s="1"/>
  <c r="AB70" i="1"/>
  <c r="Y73" i="1"/>
  <c r="O73" i="1"/>
  <c r="AA73" i="1" s="1"/>
  <c r="AB76" i="1"/>
  <c r="AB78" i="1"/>
  <c r="AB91" i="1"/>
  <c r="W91" i="1"/>
  <c r="X91" i="1" s="1"/>
  <c r="AB96" i="1"/>
  <c r="W96" i="1"/>
  <c r="X96" i="1" s="1"/>
  <c r="AB99" i="1"/>
  <c r="W99" i="1"/>
  <c r="X99" i="1" s="1"/>
  <c r="AB115" i="1"/>
  <c r="W115" i="1"/>
  <c r="X115" i="1" s="1"/>
  <c r="Y53" i="1"/>
  <c r="Y59" i="1"/>
  <c r="O59" i="1"/>
  <c r="AA59" i="1" s="1"/>
  <c r="Y63" i="1"/>
  <c r="O63" i="1"/>
  <c r="AA63" i="1" s="1"/>
  <c r="W64" i="1"/>
  <c r="X64" i="1" s="1"/>
  <c r="Y71" i="1"/>
  <c r="O71" i="1"/>
  <c r="AA71" i="1" s="1"/>
  <c r="W72" i="1"/>
  <c r="X72" i="1" s="1"/>
  <c r="Y79" i="1"/>
  <c r="O79" i="1"/>
  <c r="AA79" i="1" s="1"/>
  <c r="AB83" i="1"/>
  <c r="W83" i="1"/>
  <c r="X83" i="1" s="1"/>
  <c r="W84" i="1"/>
  <c r="X84" i="1" s="1"/>
  <c r="Y89" i="1"/>
  <c r="O89" i="1"/>
  <c r="AA89" i="1" s="1"/>
  <c r="Y92" i="1"/>
  <c r="AB95" i="1"/>
  <c r="W95" i="1"/>
  <c r="X95" i="1" s="1"/>
  <c r="O39" i="1"/>
  <c r="AA39" i="1" s="1"/>
  <c r="O43" i="1"/>
  <c r="AA43" i="1" s="1"/>
  <c r="O47" i="1"/>
  <c r="AA47" i="1" s="1"/>
  <c r="O58" i="1"/>
  <c r="AA58" i="1" s="1"/>
  <c r="Y61" i="1"/>
  <c r="O61" i="1"/>
  <c r="AA61" i="1" s="1"/>
  <c r="Y69" i="1"/>
  <c r="O69" i="1"/>
  <c r="AA69" i="1" s="1"/>
  <c r="AB88" i="1"/>
  <c r="W88" i="1"/>
  <c r="X88" i="1" s="1"/>
  <c r="Y93" i="1"/>
  <c r="O93" i="1"/>
  <c r="AA93" i="1" s="1"/>
  <c r="Y97" i="1"/>
  <c r="O97" i="1"/>
  <c r="AA97" i="1" s="1"/>
  <c r="AA9" i="3"/>
  <c r="W9" i="3"/>
  <c r="X9" i="3" s="1"/>
  <c r="Y51" i="1"/>
  <c r="O51" i="1"/>
  <c r="AA51" i="1" s="1"/>
  <c r="Y67" i="1"/>
  <c r="O67" i="1"/>
  <c r="AA67" i="1" s="1"/>
  <c r="Y75" i="1"/>
  <c r="O75" i="1"/>
  <c r="AA75" i="1" s="1"/>
  <c r="Y81" i="1"/>
  <c r="O81" i="1"/>
  <c r="AA81" i="1" s="1"/>
  <c r="Y82" i="1"/>
  <c r="O82" i="1"/>
  <c r="AA82" i="1" s="1"/>
  <c r="AB87" i="1"/>
  <c r="W87" i="1"/>
  <c r="X87" i="1" s="1"/>
  <c r="AB92" i="1"/>
  <c r="W92" i="1"/>
  <c r="X92" i="1" s="1"/>
  <c r="AB119" i="1"/>
  <c r="W119" i="1"/>
  <c r="X119" i="1" s="1"/>
  <c r="Y96" i="1"/>
  <c r="AB112" i="1"/>
  <c r="W112" i="1"/>
  <c r="X112" i="1" s="1"/>
  <c r="AB116" i="1"/>
  <c r="W116" i="1"/>
  <c r="X116" i="1" s="1"/>
  <c r="AA3" i="3"/>
  <c r="W3" i="3"/>
  <c r="X3" i="3" s="1"/>
  <c r="O14" i="3"/>
  <c r="Z14" i="3" s="1"/>
  <c r="W14" i="3" s="1"/>
  <c r="X14" i="3" s="1"/>
  <c r="Y85" i="1"/>
  <c r="O85" i="1"/>
  <c r="AA85" i="1" s="1"/>
  <c r="O5" i="3"/>
  <c r="AA5" i="3"/>
  <c r="O13" i="3"/>
  <c r="Z13" i="3" s="1"/>
  <c r="W13" i="3" s="1"/>
  <c r="X13" i="3" s="1"/>
  <c r="AA15" i="3"/>
  <c r="W15" i="3"/>
  <c r="X15" i="3" s="1"/>
  <c r="O77" i="1"/>
  <c r="AA77" i="1" s="1"/>
  <c r="W77" i="1" s="1"/>
  <c r="X77" i="1" s="1"/>
  <c r="Y113" i="1"/>
  <c r="O113" i="1"/>
  <c r="AA113" i="1" s="1"/>
  <c r="Y117" i="1"/>
  <c r="O117" i="1"/>
  <c r="AA117" i="1" s="1"/>
  <c r="O6" i="3"/>
  <c r="O12" i="3"/>
  <c r="Z12" i="3" s="1"/>
  <c r="W12" i="3" s="1"/>
  <c r="X12" i="3" s="1"/>
  <c r="AA12" i="3"/>
  <c r="Y15" i="3"/>
  <c r="AA14" i="3"/>
  <c r="AB67" i="1" l="1"/>
  <c r="W67" i="1"/>
  <c r="X67" i="1" s="1"/>
  <c r="AB93" i="1"/>
  <c r="W93" i="1"/>
  <c r="X93" i="1" s="1"/>
  <c r="AB69" i="1"/>
  <c r="W69" i="1"/>
  <c r="X69" i="1" s="1"/>
  <c r="AB58" i="1"/>
  <c r="W58" i="1"/>
  <c r="X58" i="1" s="1"/>
  <c r="AB79" i="1"/>
  <c r="W79" i="1"/>
  <c r="X79" i="1" s="1"/>
  <c r="W59" i="1"/>
  <c r="X59" i="1" s="1"/>
  <c r="AB59" i="1"/>
  <c r="W55" i="1"/>
  <c r="X55" i="1" s="1"/>
  <c r="AB55" i="1"/>
  <c r="AB41" i="1"/>
  <c r="W41" i="1"/>
  <c r="X41" i="1" s="1"/>
  <c r="AB113" i="1"/>
  <c r="W113" i="1"/>
  <c r="X113" i="1" s="1"/>
  <c r="W85" i="1"/>
  <c r="X85" i="1" s="1"/>
  <c r="AB85" i="1"/>
  <c r="AB82" i="1"/>
  <c r="W82" i="1"/>
  <c r="X82" i="1" s="1"/>
  <c r="AB77" i="1"/>
  <c r="AB47" i="1"/>
  <c r="W47" i="1"/>
  <c r="X47" i="1" s="1"/>
  <c r="AB65" i="1"/>
  <c r="W65" i="1"/>
  <c r="X65" i="1" s="1"/>
  <c r="AB75" i="1"/>
  <c r="W75" i="1"/>
  <c r="X75" i="1" s="1"/>
  <c r="W51" i="1"/>
  <c r="X51" i="1" s="1"/>
  <c r="AB51" i="1"/>
  <c r="W97" i="1"/>
  <c r="X97" i="1" s="1"/>
  <c r="AB97" i="1"/>
  <c r="AB61" i="1"/>
  <c r="W61" i="1"/>
  <c r="X61" i="1" s="1"/>
  <c r="AB43" i="1"/>
  <c r="W43" i="1"/>
  <c r="X43" i="1" s="1"/>
  <c r="AB63" i="1"/>
  <c r="W63" i="1"/>
  <c r="X63" i="1" s="1"/>
  <c r="AB73" i="1"/>
  <c r="W73" i="1"/>
  <c r="X73" i="1" s="1"/>
  <c r="W50" i="1"/>
  <c r="X50" i="1" s="1"/>
  <c r="AB50" i="1"/>
  <c r="AB26" i="1"/>
  <c r="W26" i="1"/>
  <c r="X26" i="1" s="1"/>
  <c r="AB27" i="1"/>
  <c r="O16" i="1"/>
  <c r="AA16" i="1" s="1"/>
  <c r="O12" i="1"/>
  <c r="AA12" i="1" s="1"/>
  <c r="AA10" i="1"/>
  <c r="AB117" i="1"/>
  <c r="W117" i="1"/>
  <c r="X117" i="1" s="1"/>
  <c r="W81" i="1"/>
  <c r="X81" i="1" s="1"/>
  <c r="AB81" i="1"/>
  <c r="AB39" i="1"/>
  <c r="W39" i="1"/>
  <c r="X39" i="1" s="1"/>
  <c r="W89" i="1"/>
  <c r="X89" i="1" s="1"/>
  <c r="AB89" i="1"/>
  <c r="AB71" i="1"/>
  <c r="W71" i="1"/>
  <c r="X71" i="1" s="1"/>
  <c r="AA13" i="3"/>
  <c r="AB45" i="1"/>
  <c r="W45" i="1"/>
  <c r="X45" i="1" s="1"/>
  <c r="O17" i="1"/>
  <c r="AA17" i="1" s="1"/>
  <c r="AA11" i="1"/>
  <c r="O13" i="1"/>
  <c r="AA13" i="1" s="1"/>
  <c r="W17" i="1" l="1"/>
  <c r="X17" i="1" s="1"/>
  <c r="AB17" i="1"/>
  <c r="W16" i="1"/>
  <c r="X16" i="1" s="1"/>
  <c r="AB16" i="1"/>
  <c r="W11" i="1"/>
  <c r="X11" i="1" s="1"/>
  <c r="AB11" i="1"/>
  <c r="W12" i="1"/>
  <c r="X12" i="1" s="1"/>
  <c r="AB12" i="1"/>
  <c r="W13" i="1"/>
  <c r="X13" i="1" s="1"/>
  <c r="AB13" i="1"/>
  <c r="W10" i="1"/>
  <c r="X10" i="1" s="1"/>
  <c r="A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18" authorId="0" shapeId="0" xr:uid="{00000000-0006-0000-0100-000004000000}">
      <text>
        <r>
          <rPr>
            <sz val="10"/>
            <color rgb="FF000000"/>
            <rFont val="Arial"/>
          </rPr>
          <t>The above F statistic is combined for 3a and 3b.
	-Konstantinos Ioannidis</t>
        </r>
      </text>
    </comment>
    <comment ref="C22" authorId="0" shapeId="0" xr:uid="{00000000-0006-0000-0100-000003000000}">
      <text>
        <r>
          <rPr>
            <sz val="10"/>
            <color rgb="FF000000"/>
            <rFont val="Arial"/>
          </rPr>
          <t>They also present additional results where they split the participants on basis of willing to trade (likert scale 1-7).
They find that the among willing to trade no effect (low=2, high=2, N=43) whereas among the reluctant traders there is an effect (low=7,high=10, N=43).
	-Konstantinos Ioannidis</t>
        </r>
      </text>
    </comment>
    <comment ref="C23" authorId="0" shapeId="0" xr:uid="{00000000-0006-0000-0100-000002000000}">
      <text>
        <r>
          <rPr>
            <sz val="10"/>
            <color rgb="FF000000"/>
            <rFont val="Arial"/>
          </rPr>
          <t>They also present additional results where they split the participants on basis of willing to trade (likert scale 1-7).
They find that the among willing to trade no effect (low=28, high=27, N=77) whereas among the reluctant traders there is an effect (low=30,high=38, N=77).
	-Konstantinos Ioannidis</t>
        </r>
      </text>
    </comment>
    <comment ref="N24" authorId="0" shapeId="0" xr:uid="{00000000-0006-0000-0100-000001000000}">
      <text>
        <r>
          <rPr>
            <sz val="10"/>
            <color rgb="FF000000"/>
            <rFont val="Arial"/>
          </rPr>
          <t>This is the value provided in the paper where they first average across products and then compute one correlation.</t>
        </r>
      </text>
    </comment>
    <comment ref="B35" authorId="0" shapeId="0" xr:uid="{00000000-0006-0000-0100-000006000000}">
      <text>
        <r>
          <rPr>
            <sz val="10"/>
            <color rgb="FF000000"/>
            <rFont val="Arial"/>
          </rPr>
          <t>Their second experiment was about anchoring in market clearing prices in a double auction with induced values. 
Induced values are for sure not comparable with the rest of the papers we include in the meta-analysis.
	-Konstantinos Ioannidis
Info: Their second experiment was also not included in original submission.
	-Konstantinos Ioannidis</t>
        </r>
      </text>
    </comment>
    <comment ref="B38" authorId="0" shapeId="0" xr:uid="{00000000-0006-0000-0100-000005000000}">
      <text>
        <r>
          <rPr>
            <sz val="10"/>
            <color rgb="FF000000"/>
            <rFont val="Arial"/>
          </rPr>
          <t>All field experiments in this study are in Pay What You Want. The anchor is presented as either a suggested/default price or sometimes as an current average price by previous customers. The PWYW is sometimes for donations and sometimes for real prices.
I am skeptical whether we should include it for a few reasons.
	-Konstantinos Ioannidis
First, it has super large sample sizes and I am afraid it may disproportionally affect the results.
	-Konstantinos Ioannidis
Second, most of the experiments are not directly comparable to the protocols of the other experiments.
	-Konstantinos Ioannidis
Third, the range of anchors is vastly different across experiments, especially in the percentile rank. This is something that we do not include/have in other experiments, which again may bias the whole meta-analysis.
	-Konstantinos Ioannidis</t>
        </r>
      </text>
    </comment>
    <comment ref="H58" authorId="0" shapeId="0" xr:uid="{00000000-0006-0000-0100-000009000000}">
      <text>
        <r>
          <rPr>
            <sz val="10"/>
            <color rgb="FF000000"/>
            <rFont val="Arial"/>
          </rPr>
          <t>This is only their control condition.
They had another treatment where subjects, after seeing the anchor, were asked to remember the last price they paid for the good, and then report the actual WTP.
I believe this reflection on last paid price makes it not comparable with other studies.
	-Konstantinos Ioannidis</t>
        </r>
      </text>
    </comment>
    <comment ref="H61" authorId="0" shapeId="0" xr:uid="{00000000-0006-0000-0100-000008000000}">
      <text>
        <r>
          <rPr>
            <sz val="10"/>
            <color rgb="FF000000"/>
            <rFont val="Arial"/>
          </rPr>
          <t>This is only one of their 4 treatments.
They used a 2x2 design which varied whether WTP was elicited immediately or a week later and whether they used one anchor or a separate anchor for each good.
I believe only the immediate elicitation with a unique anchor for all goods is a comparable design with others.
	-Konstantinos Ioannidis</t>
        </r>
      </text>
    </comment>
    <comment ref="H62" authorId="0" shapeId="0" xr:uid="{00000000-0006-0000-0100-000007000000}">
      <text>
        <r>
          <rPr>
            <sz val="10"/>
            <color rgb="FF000000"/>
            <rFont val="Arial"/>
          </rPr>
          <t>This is only one of their 5 treatments.
They used a 2x2 design which varied whether an anchor was provided or not and whether the anchor question was incentivized or hypothetical as well as an extra treatment where the endowment was communicated to the subjects (possible additional anchor).
I believe only the incentivized anchor treatment is a comparable design with others.
	-Konstantinos Ioannidis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200-000001000000}">
      <text>
        <r>
          <rPr>
            <sz val="10"/>
            <color rgb="FF000000"/>
            <rFont val="Arial"/>
          </rPr>
          <t>Anchor was presented in terms of calories per day (high) or calories per week (low). Good was M&amp;M's.</t>
        </r>
      </text>
    </comment>
    <comment ref="B7" authorId="0" shapeId="0" xr:uid="{00000000-0006-0000-0200-000002000000}">
      <text>
        <r>
          <rPr>
            <sz val="10"/>
            <color rgb="FF000000"/>
            <rFont val="Arial"/>
          </rPr>
          <t>Anchor was presented in terms of hours per day (high) or hours per week (low). Good was cleaning service.</t>
        </r>
      </text>
    </comment>
  </commentList>
</comments>
</file>

<file path=xl/sharedStrings.xml><?xml version="1.0" encoding="utf-8"?>
<sst xmlns="http://schemas.openxmlformats.org/spreadsheetml/2006/main" count="1106" uniqueCount="144">
  <si>
    <t>result</t>
  </si>
  <si>
    <t>Results</t>
  </si>
  <si>
    <t>paper</t>
  </si>
  <si>
    <t>experiment</t>
  </si>
  <si>
    <t>good</t>
  </si>
  <si>
    <t>anchor</t>
  </si>
  <si>
    <t>elicitation</t>
  </si>
  <si>
    <t>incentives</t>
  </si>
  <si>
    <t>n_total</t>
  </si>
  <si>
    <t>n_low</t>
  </si>
  <si>
    <t>mean_low</t>
  </si>
  <si>
    <t>sd_low</t>
  </si>
  <si>
    <t>sample</t>
  </si>
  <si>
    <t>low mean</t>
  </si>
  <si>
    <t>n_high</t>
  </si>
  <si>
    <t>se of low</t>
  </si>
  <si>
    <t>mean_high</t>
  </si>
  <si>
    <t>high mean</t>
  </si>
  <si>
    <t>sd_high</t>
  </si>
  <si>
    <t>se of high</t>
  </si>
  <si>
    <t>sd_pooled</t>
  </si>
  <si>
    <t>regression</t>
  </si>
  <si>
    <t>ratio</t>
  </si>
  <si>
    <t>correlation</t>
  </si>
  <si>
    <t>t_test</t>
  </si>
  <si>
    <t>notes</t>
  </si>
  <si>
    <t>p-t_test</t>
  </si>
  <si>
    <t>z_test</t>
  </si>
  <si>
    <t>p-z_test</t>
  </si>
  <si>
    <t>F_anova</t>
  </si>
  <si>
    <t>p-F_anova</t>
  </si>
  <si>
    <t>Ariely et al (2003)</t>
  </si>
  <si>
    <t>r_effect</t>
  </si>
  <si>
    <t>z_effect</t>
  </si>
  <si>
    <t>z_weights</t>
  </si>
  <si>
    <t>g_effect</t>
  </si>
  <si>
    <t>g_weights</t>
  </si>
  <si>
    <t>familiar</t>
  </si>
  <si>
    <t>questionable</t>
  </si>
  <si>
    <t>wtp</t>
  </si>
  <si>
    <t>yes</t>
  </si>
  <si>
    <t>WTP</t>
  </si>
  <si>
    <t>unfamiliar</t>
  </si>
  <si>
    <t>informative</t>
  </si>
  <si>
    <t>wta</t>
  </si>
  <si>
    <t>F(1,126)=19.25, p&lt;0.001</t>
  </si>
  <si>
    <t>F(1,88)=28.45, p&lt;0.001</t>
  </si>
  <si>
    <t>Dodonova &amp; Khoroshilov (2004)</t>
  </si>
  <si>
    <t>F(1,49)=20.38, p&lt;0.001</t>
  </si>
  <si>
    <t>F(1,42)=30.96, p&lt;0.001</t>
  </si>
  <si>
    <t>F(1,57)=24.7, p&lt;0.0001</t>
  </si>
  <si>
    <t>Simonson &amp; Drolet (2004)</t>
  </si>
  <si>
    <t>1a</t>
  </si>
  <si>
    <t>no</t>
  </si>
  <si>
    <t>F(1, 72)=27.23, p&lt;.0001</t>
  </si>
  <si>
    <t>1b</t>
  </si>
  <si>
    <t>F(1, 52)=0.42, p&gt;0.51</t>
  </si>
  <si>
    <t>1c</t>
  </si>
  <si>
    <t>1d</t>
  </si>
  <si>
    <t>WTA</t>
  </si>
  <si>
    <t>1e</t>
  </si>
  <si>
    <t>1f</t>
  </si>
  <si>
    <t>2a</t>
  </si>
  <si>
    <t>2b</t>
  </si>
  <si>
    <t>2c</t>
  </si>
  <si>
    <t>2d</t>
  </si>
  <si>
    <t>Nunes &amp; Boatwright (2004)</t>
  </si>
  <si>
    <t>3a</t>
  </si>
  <si>
    <t>F(1, 86)=0.57, p&gt;0.45</t>
  </si>
  <si>
    <t>3b</t>
  </si>
  <si>
    <t>3c</t>
  </si>
  <si>
    <t>F(1, 41)=0.01, p&gt;0.05</t>
  </si>
  <si>
    <t>3d</t>
  </si>
  <si>
    <t>F(1, 43)=11.99, p&lt;0.001</t>
  </si>
  <si>
    <t>Morewedge et al (2007)</t>
  </si>
  <si>
    <t>4a</t>
  </si>
  <si>
    <t>F(1, 78)=3.16, p&lt;0.08</t>
  </si>
  <si>
    <t>4b</t>
  </si>
  <si>
    <t>F(1, 178)=4.03, p&lt;0.05</t>
  </si>
  <si>
    <t>Bergman et al (2010)</t>
  </si>
  <si>
    <t>r=0.28 if computed as an average of all ratios</t>
  </si>
  <si>
    <t>Tufano (2010)</t>
  </si>
  <si>
    <t>Fudenberg et al (2012)</t>
  </si>
  <si>
    <t>uninformative</t>
  </si>
  <si>
    <t>lottery</t>
  </si>
  <si>
    <t>Sonsino (2010)</t>
  </si>
  <si>
    <t>Sugden et al (2013)</t>
  </si>
  <si>
    <t>Wu (2011)</t>
  </si>
  <si>
    <t>Maniadis et al (2014)</t>
  </si>
  <si>
    <t>Alevy et al (2015)</t>
  </si>
  <si>
    <t>Aggregate, low=4.22, high=4.40, b=0.016</t>
  </si>
  <si>
    <t>Mazar et al (2014)</t>
  </si>
  <si>
    <t>Paper provides pooled SD so used it for both</t>
  </si>
  <si>
    <t>Isoni et al (2016)</t>
  </si>
  <si>
    <t>Z = −2.17, p &lt; 0.05</t>
  </si>
  <si>
    <t>Yung et al (2016)</t>
  </si>
  <si>
    <t>6a</t>
  </si>
  <si>
    <t>6b</t>
  </si>
  <si>
    <t>Beblo et al (2017)</t>
  </si>
  <si>
    <t>12a</t>
  </si>
  <si>
    <t>12b</t>
  </si>
  <si>
    <t>14a</t>
  </si>
  <si>
    <t>14b</t>
  </si>
  <si>
    <t>14c</t>
  </si>
  <si>
    <t>14d</t>
  </si>
  <si>
    <t>Yoon et al (2019)</t>
  </si>
  <si>
    <t>Yoon &amp; Fong (2019)</t>
  </si>
  <si>
    <t>Pilot</t>
  </si>
  <si>
    <t>Ioannidis et al (2019)</t>
  </si>
  <si>
    <t>Ariely et al (2006)</t>
  </si>
  <si>
    <t>Wu et al (2008)</t>
  </si>
  <si>
    <t>Shen (2012)</t>
  </si>
  <si>
    <t>Kovalsky &amp; Lusk (2013)</t>
  </si>
  <si>
    <t>5a</t>
  </si>
  <si>
    <t>5b</t>
  </si>
  <si>
    <t>7a</t>
  </si>
  <si>
    <t>7b</t>
  </si>
  <si>
    <t>8a</t>
  </si>
  <si>
    <t>8b</t>
  </si>
  <si>
    <t>9a</t>
  </si>
  <si>
    <t>9b</t>
  </si>
  <si>
    <t>4c</t>
  </si>
  <si>
    <t>4d</t>
  </si>
  <si>
    <t>5c</t>
  </si>
  <si>
    <t>5d</t>
  </si>
  <si>
    <t>6c</t>
  </si>
  <si>
    <t>6d</t>
  </si>
  <si>
    <t>7c</t>
  </si>
  <si>
    <t>7d</t>
  </si>
  <si>
    <t>8c</t>
  </si>
  <si>
    <t>8d</t>
  </si>
  <si>
    <t>9c</t>
  </si>
  <si>
    <t>9d</t>
  </si>
  <si>
    <t>Kocas &amp; Demir (2014)</t>
  </si>
  <si>
    <t>Ma et al (2015)</t>
  </si>
  <si>
    <t>Shah et al (2015)</t>
  </si>
  <si>
    <t>Jung et al (2016)</t>
  </si>
  <si>
    <t>Li et al (2017)</t>
  </si>
  <si>
    <t>Mattei &amp; Hellebusch (2017)</t>
  </si>
  <si>
    <t>Mattei &amp; Hellebusch (2018)</t>
  </si>
  <si>
    <t>Ifscher &amp; Zarghamee (2019)</t>
  </si>
  <si>
    <t>z_se</t>
  </si>
  <si>
    <t>g_se</t>
  </si>
  <si>
    <t>z_weight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</si>
</sst>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
  </numFmts>
  <fonts count="5" x14ac:knownFonts="1">
    <font>
      <sz val="10"/>
      <color rgb="FF000000"/>
      <name val="Arial"/>
    </font>
    <font>
      <b/>
      <sz val="11"/>
      <color theme="1"/>
      <name val="Calibri"/>
    </font>
    <font>
      <b/>
      <sz val="11"/>
      <color rgb="FF000000"/>
      <name val="Calibri"/>
    </font>
    <font>
      <sz val="11"/>
      <color theme="1"/>
      <name val="Calibri"/>
    </font>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2" fontId="1" fillId="0" borderId="0" xfId="0" applyNumberFormat="1" applyFont="1" applyAlignment="1">
      <alignment horizontal="center"/>
    </xf>
    <xf numFmtId="0" fontId="3" fillId="0" borderId="0" xfId="0"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0" fontId="4" fillId="0" borderId="0" xfId="0" applyFont="1" applyAlignment="1">
      <alignment horizontal="center"/>
    </xf>
    <xf numFmtId="166" fontId="1" fillId="0" borderId="0" xfId="0" applyNumberFormat="1"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xf>
    <xf numFmtId="2" fontId="3" fillId="0" borderId="0" xfId="0" applyNumberFormat="1" applyFont="1" applyAlignment="1">
      <alignment horizontal="center"/>
    </xf>
    <xf numFmtId="2" fontId="3" fillId="0" borderId="0" xfId="0" applyNumberFormat="1"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6" fontId="3" fillId="0" borderId="0" xfId="0" applyNumberFormat="1"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6" fontId="3" fillId="0" borderId="0" xfId="0" applyNumberFormat="1" applyFont="1" applyAlignment="1">
      <alignment horizontal="center"/>
    </xf>
    <xf numFmtId="1" fontId="3" fillId="0" borderId="0" xfId="0" applyNumberFormat="1" applyFont="1" applyAlignment="1">
      <alignment horizontal="center"/>
    </xf>
    <xf numFmtId="167" fontId="3"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9"/>
  <sheetViews>
    <sheetView tabSelected="1" workbookViewId="0">
      <pane xSplit="3" ySplit="1" topLeftCell="U2" activePane="bottomRight" state="frozen"/>
      <selection pane="topRight" activeCell="D1" sqref="D1"/>
      <selection pane="bottomLeft" activeCell="A2" sqref="A2"/>
      <selection pane="bottomRight" activeCell="AD1" sqref="AD1"/>
    </sheetView>
  </sheetViews>
  <sheetFormatPr defaultColWidth="14.44140625" defaultRowHeight="15.75" customHeight="1" x14ac:dyDescent="0.25"/>
  <cols>
    <col min="2" max="2" width="27.5546875" customWidth="1"/>
  </cols>
  <sheetData>
    <row r="1" spans="1:29" ht="15.75" customHeight="1" x14ac:dyDescent="0.3">
      <c r="A1" s="1" t="s">
        <v>0</v>
      </c>
      <c r="B1" s="1" t="s">
        <v>2</v>
      </c>
      <c r="C1" s="1" t="s">
        <v>3</v>
      </c>
      <c r="D1" s="1" t="s">
        <v>4</v>
      </c>
      <c r="E1" s="1" t="s">
        <v>5</v>
      </c>
      <c r="F1" s="1" t="s">
        <v>6</v>
      </c>
      <c r="G1" s="1" t="s">
        <v>7</v>
      </c>
      <c r="H1" s="1" t="s">
        <v>8</v>
      </c>
      <c r="I1" s="1" t="s">
        <v>9</v>
      </c>
      <c r="J1" s="1" t="s">
        <v>10</v>
      </c>
      <c r="K1" s="3" t="s">
        <v>11</v>
      </c>
      <c r="L1" s="1" t="s">
        <v>14</v>
      </c>
      <c r="M1" s="1" t="s">
        <v>16</v>
      </c>
      <c r="N1" s="3" t="s">
        <v>18</v>
      </c>
      <c r="O1" s="1" t="s">
        <v>20</v>
      </c>
      <c r="P1" s="1" t="s">
        <v>22</v>
      </c>
      <c r="Q1" s="1" t="s">
        <v>24</v>
      </c>
      <c r="R1" s="5" t="s">
        <v>26</v>
      </c>
      <c r="S1" s="6" t="s">
        <v>27</v>
      </c>
      <c r="T1" s="6" t="s">
        <v>28</v>
      </c>
      <c r="U1" s="1" t="s">
        <v>29</v>
      </c>
      <c r="V1" s="8" t="s">
        <v>30</v>
      </c>
      <c r="W1" s="5" t="s">
        <v>32</v>
      </c>
      <c r="X1" s="5" t="s">
        <v>33</v>
      </c>
      <c r="Y1" s="5" t="s">
        <v>141</v>
      </c>
      <c r="Z1" s="5" t="s">
        <v>143</v>
      </c>
      <c r="AA1" s="5" t="s">
        <v>35</v>
      </c>
      <c r="AB1" s="1" t="s">
        <v>142</v>
      </c>
      <c r="AC1" s="5" t="s">
        <v>36</v>
      </c>
    </row>
    <row r="2" spans="1:29" ht="15.75" customHeight="1" x14ac:dyDescent="0.3">
      <c r="A2" s="10">
        <v>1</v>
      </c>
      <c r="B2" s="10" t="s">
        <v>31</v>
      </c>
      <c r="C2" s="10">
        <v>1</v>
      </c>
      <c r="D2" s="10" t="s">
        <v>37</v>
      </c>
      <c r="E2" s="10" t="s">
        <v>38</v>
      </c>
      <c r="F2" s="10" t="s">
        <v>41</v>
      </c>
      <c r="G2" s="10" t="s">
        <v>40</v>
      </c>
      <c r="H2" s="10">
        <v>55</v>
      </c>
      <c r="I2" s="10">
        <f t="shared" ref="I2:I23" si="0">H2/2</f>
        <v>27.5</v>
      </c>
      <c r="J2" s="10">
        <v>14.71</v>
      </c>
      <c r="K2" s="12"/>
      <c r="L2" s="10">
        <f t="shared" ref="L2:L23" si="1">H2/2</f>
        <v>27.5</v>
      </c>
      <c r="M2" s="10">
        <v>25.13</v>
      </c>
      <c r="N2" s="12"/>
      <c r="O2" s="12">
        <f t="shared" ref="O2:O9" si="2">ABS((M2-J2)/AA2)</f>
        <v>12.394686850533525</v>
      </c>
      <c r="P2" s="14">
        <f t="shared" ref="P2:P35" si="3">M2/J2</f>
        <v>1.7083616587355539</v>
      </c>
      <c r="Q2" s="4"/>
      <c r="R2" s="14"/>
      <c r="S2" s="15"/>
      <c r="T2" s="15"/>
      <c r="U2" s="4"/>
      <c r="V2" s="16"/>
      <c r="W2" s="17">
        <v>0.38750000000000001</v>
      </c>
      <c r="X2" s="14">
        <f t="shared" ref="X2:X119" si="4">0.5*LN( (1+W2)/(1-W2))</f>
        <v>0.40885495160085367</v>
      </c>
      <c r="Y2" s="14">
        <f t="shared" ref="Y2:Y119" si="5">1/SQRT(H2-3)</f>
        <v>0.13867504905630729</v>
      </c>
      <c r="Z2" s="17">
        <f>1/Y2^2</f>
        <v>52</v>
      </c>
      <c r="AA2" s="14">
        <f>2*W2/SQRT(1-W2^2)</f>
        <v>0.84068279623792774</v>
      </c>
      <c r="AB2" s="14">
        <f t="shared" ref="AB2:AB119" si="6">SQRT( (I2+L2) / (I2*L2) + AA2^2/ ( 2*(I2+L2)))</f>
        <v>0.28134009771239865</v>
      </c>
      <c r="AC2" s="17">
        <f>1/AB2^2</f>
        <v>12.633879550637721</v>
      </c>
    </row>
    <row r="3" spans="1:29" ht="15.75" customHeight="1" x14ac:dyDescent="0.3">
      <c r="A3" s="10">
        <f t="shared" ref="A3:A119" si="7">A2+1</f>
        <v>2</v>
      </c>
      <c r="B3" s="10" t="s">
        <v>31</v>
      </c>
      <c r="C3" s="10">
        <v>2</v>
      </c>
      <c r="D3" s="10" t="s">
        <v>42</v>
      </c>
      <c r="E3" s="10" t="s">
        <v>43</v>
      </c>
      <c r="F3" s="10" t="s">
        <v>59</v>
      </c>
      <c r="G3" s="10" t="s">
        <v>40</v>
      </c>
      <c r="H3" s="10">
        <v>88</v>
      </c>
      <c r="I3" s="10">
        <f t="shared" si="0"/>
        <v>44</v>
      </c>
      <c r="J3" s="10">
        <v>0.4</v>
      </c>
      <c r="K3" s="12"/>
      <c r="L3" s="10">
        <f t="shared" si="1"/>
        <v>44</v>
      </c>
      <c r="M3" s="10">
        <v>0.6</v>
      </c>
      <c r="N3" s="12"/>
      <c r="O3" s="12">
        <f t="shared" si="2"/>
        <v>0.21136538192269011</v>
      </c>
      <c r="P3" s="14">
        <f t="shared" si="3"/>
        <v>1.4999999999999998</v>
      </c>
      <c r="Q3" s="4"/>
      <c r="R3" s="14"/>
      <c r="S3" s="15"/>
      <c r="T3" s="15"/>
      <c r="U3" s="10">
        <v>19.25</v>
      </c>
      <c r="V3" s="19">
        <f t="shared" ref="V3:V9" si="8">FDIST(U3,1,H3-2)</f>
        <v>3.2388419182898322E-5</v>
      </c>
      <c r="W3" s="14">
        <f t="shared" ref="W3:W28" si="9">AA3/SQRT(AA3^2+4)</f>
        <v>0.42766559626977135</v>
      </c>
      <c r="X3" s="14">
        <f t="shared" si="4"/>
        <v>0.45703624836666457</v>
      </c>
      <c r="Y3" s="14">
        <f t="shared" si="5"/>
        <v>0.10846522890932808</v>
      </c>
      <c r="Z3" s="17">
        <f t="shared" ref="Z3:Z66" si="10">1/Y3^2</f>
        <v>85</v>
      </c>
      <c r="AA3" s="14">
        <f t="shared" ref="AA3:AA8" si="11">2*SQRT(U3/ (H3-2) )</f>
        <v>0.94622874465390361</v>
      </c>
      <c r="AB3" s="14">
        <f t="shared" si="6"/>
        <v>0.2248149344613721</v>
      </c>
      <c r="AC3" s="17">
        <f t="shared" ref="AC3:AC66" si="12">1/AB3^2</f>
        <v>19.785620915032681</v>
      </c>
    </row>
    <row r="4" spans="1:29" ht="15.75" customHeight="1" x14ac:dyDescent="0.3">
      <c r="A4" s="10">
        <f t="shared" si="7"/>
        <v>3</v>
      </c>
      <c r="B4" s="10" t="s">
        <v>31</v>
      </c>
      <c r="C4" s="10">
        <v>3</v>
      </c>
      <c r="D4" s="10" t="s">
        <v>42</v>
      </c>
      <c r="E4" s="10" t="s">
        <v>38</v>
      </c>
      <c r="F4" s="10" t="s">
        <v>59</v>
      </c>
      <c r="G4" s="10" t="s">
        <v>40</v>
      </c>
      <c r="H4" s="10">
        <v>90</v>
      </c>
      <c r="I4" s="10">
        <f t="shared" si="0"/>
        <v>45</v>
      </c>
      <c r="J4" s="10">
        <v>3.55</v>
      </c>
      <c r="K4" s="12"/>
      <c r="L4" s="10">
        <f t="shared" si="1"/>
        <v>45</v>
      </c>
      <c r="M4" s="10">
        <v>5.76</v>
      </c>
      <c r="N4" s="12"/>
      <c r="O4" s="12">
        <f t="shared" si="2"/>
        <v>1.9434012544640318</v>
      </c>
      <c r="P4" s="14">
        <f t="shared" si="3"/>
        <v>1.6225352112676057</v>
      </c>
      <c r="Q4" s="4"/>
      <c r="R4" s="14"/>
      <c r="S4" s="15"/>
      <c r="T4" s="15"/>
      <c r="U4" s="10">
        <v>28.45</v>
      </c>
      <c r="V4" s="19">
        <f t="shared" si="8"/>
        <v>7.374811398599229E-7</v>
      </c>
      <c r="W4" s="14">
        <f t="shared" si="9"/>
        <v>0.49427812315673442</v>
      </c>
      <c r="X4" s="14">
        <f t="shared" si="4"/>
        <v>0.54170582038919557</v>
      </c>
      <c r="Y4" s="14">
        <f t="shared" si="5"/>
        <v>0.10721125348377948</v>
      </c>
      <c r="Z4" s="17">
        <f t="shared" si="10"/>
        <v>87</v>
      </c>
      <c r="AA4" s="14">
        <f t="shared" si="11"/>
        <v>1.1371815238482457</v>
      </c>
      <c r="AB4" s="14">
        <f t="shared" si="6"/>
        <v>0.22721969078138426</v>
      </c>
      <c r="AC4" s="17">
        <f t="shared" si="12"/>
        <v>19.369038884812912</v>
      </c>
    </row>
    <row r="5" spans="1:29" ht="15.75" customHeight="1" x14ac:dyDescent="0.3">
      <c r="A5" s="10">
        <f t="shared" si="7"/>
        <v>4</v>
      </c>
      <c r="B5" s="10" t="s">
        <v>31</v>
      </c>
      <c r="C5" s="10">
        <v>4</v>
      </c>
      <c r="D5" s="10" t="s">
        <v>42</v>
      </c>
      <c r="E5" s="10" t="s">
        <v>43</v>
      </c>
      <c r="F5" s="10" t="s">
        <v>59</v>
      </c>
      <c r="G5" s="10" t="s">
        <v>40</v>
      </c>
      <c r="H5" s="10">
        <v>53</v>
      </c>
      <c r="I5" s="10">
        <f t="shared" si="0"/>
        <v>26.5</v>
      </c>
      <c r="J5" s="10">
        <v>0.43</v>
      </c>
      <c r="K5" s="12"/>
      <c r="L5" s="10">
        <f t="shared" si="1"/>
        <v>26.5</v>
      </c>
      <c r="M5" s="10">
        <v>1.3</v>
      </c>
      <c r="N5" s="12"/>
      <c r="O5" s="12">
        <f t="shared" si="2"/>
        <v>0.68813279380060599</v>
      </c>
      <c r="P5" s="14">
        <f t="shared" si="3"/>
        <v>3.0232558139534884</v>
      </c>
      <c r="Q5" s="4"/>
      <c r="R5" s="14"/>
      <c r="S5" s="15"/>
      <c r="T5" s="15"/>
      <c r="U5" s="10">
        <v>20.38</v>
      </c>
      <c r="V5" s="19">
        <f t="shared" si="8"/>
        <v>3.7711350003271623E-5</v>
      </c>
      <c r="W5" s="14">
        <f t="shared" si="9"/>
        <v>0.53433524085703243</v>
      </c>
      <c r="X5" s="14">
        <f t="shared" si="4"/>
        <v>0.5961932620614615</v>
      </c>
      <c r="Y5" s="14">
        <f t="shared" si="5"/>
        <v>0.1414213562373095</v>
      </c>
      <c r="Z5" s="17">
        <f t="shared" si="10"/>
        <v>50</v>
      </c>
      <c r="AA5" s="14">
        <f t="shared" si="11"/>
        <v>1.2642908575755105</v>
      </c>
      <c r="AB5" s="14">
        <f t="shared" si="6"/>
        <v>0.30091732978289898</v>
      </c>
      <c r="AC5" s="17">
        <f t="shared" si="12"/>
        <v>11.043471155417555</v>
      </c>
    </row>
    <row r="6" spans="1:29" ht="15.75" customHeight="1" x14ac:dyDescent="0.3">
      <c r="A6" s="10">
        <f t="shared" si="7"/>
        <v>5</v>
      </c>
      <c r="B6" s="10" t="s">
        <v>31</v>
      </c>
      <c r="C6" s="10">
        <v>5</v>
      </c>
      <c r="D6" s="10" t="s">
        <v>42</v>
      </c>
      <c r="E6" s="10" t="s">
        <v>43</v>
      </c>
      <c r="F6" s="10" t="s">
        <v>59</v>
      </c>
      <c r="G6" s="10" t="s">
        <v>40</v>
      </c>
      <c r="H6" s="10">
        <v>44</v>
      </c>
      <c r="I6" s="10">
        <f t="shared" si="0"/>
        <v>22</v>
      </c>
      <c r="J6" s="10">
        <v>0.34</v>
      </c>
      <c r="K6" s="12"/>
      <c r="L6" s="10">
        <f t="shared" si="1"/>
        <v>22</v>
      </c>
      <c r="M6" s="10">
        <v>0.73</v>
      </c>
      <c r="N6" s="12"/>
      <c r="O6" s="12">
        <f t="shared" si="2"/>
        <v>0.22712177862455502</v>
      </c>
      <c r="P6" s="14">
        <f t="shared" si="3"/>
        <v>2.1470588235294117</v>
      </c>
      <c r="Q6" s="4"/>
      <c r="R6" s="14"/>
      <c r="S6" s="15"/>
      <c r="T6" s="15"/>
      <c r="U6" s="10">
        <v>30.96</v>
      </c>
      <c r="V6" s="19">
        <f t="shared" si="8"/>
        <v>1.6780331904188952E-6</v>
      </c>
      <c r="W6" s="14">
        <f t="shared" si="9"/>
        <v>0.6514154628677139</v>
      </c>
      <c r="X6" s="14">
        <f t="shared" si="4"/>
        <v>0.77775364018890636</v>
      </c>
      <c r="Y6" s="14">
        <f t="shared" si="5"/>
        <v>0.15617376188860607</v>
      </c>
      <c r="Z6" s="17">
        <f t="shared" si="10"/>
        <v>41</v>
      </c>
      <c r="AA6" s="14">
        <f t="shared" si="11"/>
        <v>1.7171404801504824</v>
      </c>
      <c r="AB6" s="14">
        <f t="shared" si="6"/>
        <v>0.35272593385741347</v>
      </c>
      <c r="AC6" s="17">
        <f t="shared" si="12"/>
        <v>8.0375782881002085</v>
      </c>
    </row>
    <row r="7" spans="1:29" ht="15.75" customHeight="1" x14ac:dyDescent="0.3">
      <c r="A7" s="10">
        <f t="shared" si="7"/>
        <v>6</v>
      </c>
      <c r="B7" s="10" t="s">
        <v>31</v>
      </c>
      <c r="C7" s="10">
        <v>6</v>
      </c>
      <c r="D7" s="10" t="s">
        <v>42</v>
      </c>
      <c r="E7" s="10" t="s">
        <v>43</v>
      </c>
      <c r="F7" s="10" t="s">
        <v>59</v>
      </c>
      <c r="G7" s="10" t="s">
        <v>40</v>
      </c>
      <c r="H7" s="10">
        <v>59</v>
      </c>
      <c r="I7" s="10">
        <f t="shared" si="0"/>
        <v>29.5</v>
      </c>
      <c r="J7" s="10">
        <v>82</v>
      </c>
      <c r="K7" s="12"/>
      <c r="L7" s="10">
        <f t="shared" si="1"/>
        <v>29.5</v>
      </c>
      <c r="M7" s="10">
        <v>162</v>
      </c>
      <c r="N7" s="12"/>
      <c r="O7" s="12">
        <f t="shared" si="2"/>
        <v>60.764362025019992</v>
      </c>
      <c r="P7" s="14">
        <f t="shared" si="3"/>
        <v>1.975609756097561</v>
      </c>
      <c r="Q7" s="4"/>
      <c r="R7" s="14"/>
      <c r="S7" s="15"/>
      <c r="T7" s="15"/>
      <c r="U7" s="10">
        <v>24.7</v>
      </c>
      <c r="V7" s="19">
        <f t="shared" si="8"/>
        <v>6.4616484777481026E-6</v>
      </c>
      <c r="W7" s="14">
        <f t="shared" si="9"/>
        <v>0.5498414147691576</v>
      </c>
      <c r="X7" s="14">
        <f t="shared" si="4"/>
        <v>0.618153979660365</v>
      </c>
      <c r="Y7" s="14">
        <f t="shared" si="5"/>
        <v>0.1336306209562122</v>
      </c>
      <c r="Z7" s="17">
        <f t="shared" si="10"/>
        <v>55.999999999999993</v>
      </c>
      <c r="AA7" s="14">
        <f t="shared" si="11"/>
        <v>1.3165611772087666</v>
      </c>
      <c r="AB7" s="14">
        <f t="shared" si="6"/>
        <v>0.28720354403491383</v>
      </c>
      <c r="AC7" s="17">
        <f t="shared" si="12"/>
        <v>12.123287671232877</v>
      </c>
    </row>
    <row r="8" spans="1:29" ht="15.75" customHeight="1" x14ac:dyDescent="0.3">
      <c r="A8" s="10">
        <f t="shared" si="7"/>
        <v>7</v>
      </c>
      <c r="B8" s="9" t="s">
        <v>51</v>
      </c>
      <c r="C8" s="9" t="s">
        <v>52</v>
      </c>
      <c r="D8" s="9" t="s">
        <v>37</v>
      </c>
      <c r="E8" s="9" t="s">
        <v>38</v>
      </c>
      <c r="F8" s="9" t="s">
        <v>41</v>
      </c>
      <c r="G8" s="9" t="s">
        <v>53</v>
      </c>
      <c r="H8" s="9">
        <v>58</v>
      </c>
      <c r="I8" s="10">
        <f t="shared" si="0"/>
        <v>29</v>
      </c>
      <c r="J8" s="9">
        <v>25</v>
      </c>
      <c r="K8" s="12"/>
      <c r="L8" s="10">
        <f t="shared" si="1"/>
        <v>29</v>
      </c>
      <c r="M8" s="9">
        <v>38</v>
      </c>
      <c r="N8" s="12"/>
      <c r="O8" s="12">
        <f t="shared" si="2"/>
        <v>9.321451611966971</v>
      </c>
      <c r="P8" s="14">
        <f t="shared" si="3"/>
        <v>1.52</v>
      </c>
      <c r="Q8" s="4"/>
      <c r="R8" s="14"/>
      <c r="S8" s="15"/>
      <c r="T8" s="15"/>
      <c r="U8" s="10">
        <v>27.23</v>
      </c>
      <c r="V8" s="19">
        <f t="shared" si="8"/>
        <v>2.7270161490546255E-6</v>
      </c>
      <c r="W8" s="14">
        <f t="shared" si="9"/>
        <v>0.57198399055389471</v>
      </c>
      <c r="X8" s="14">
        <f t="shared" si="4"/>
        <v>0.65046659434056231</v>
      </c>
      <c r="Y8" s="14">
        <f t="shared" si="5"/>
        <v>0.13483997249264842</v>
      </c>
      <c r="Z8" s="17">
        <f t="shared" si="10"/>
        <v>54.999999999999993</v>
      </c>
      <c r="AA8" s="14">
        <f t="shared" si="11"/>
        <v>1.3946325680981353</v>
      </c>
      <c r="AB8" s="14">
        <f t="shared" si="6"/>
        <v>0.29280156867866958</v>
      </c>
      <c r="AC8" s="17">
        <f t="shared" si="12"/>
        <v>11.664152840623428</v>
      </c>
    </row>
    <row r="9" spans="1:29" ht="15.75" customHeight="1" x14ac:dyDescent="0.3">
      <c r="A9" s="10">
        <f t="shared" si="7"/>
        <v>8</v>
      </c>
      <c r="B9" s="9" t="s">
        <v>51</v>
      </c>
      <c r="C9" s="9" t="s">
        <v>55</v>
      </c>
      <c r="D9" s="9" t="s">
        <v>37</v>
      </c>
      <c r="E9" s="9" t="s">
        <v>38</v>
      </c>
      <c r="F9" s="9" t="s">
        <v>59</v>
      </c>
      <c r="G9" s="9" t="s">
        <v>53</v>
      </c>
      <c r="H9" s="9">
        <v>58</v>
      </c>
      <c r="I9" s="10">
        <f t="shared" si="0"/>
        <v>29</v>
      </c>
      <c r="J9" s="9">
        <v>35</v>
      </c>
      <c r="K9" s="12"/>
      <c r="L9" s="10">
        <f t="shared" si="1"/>
        <v>29</v>
      </c>
      <c r="M9" s="9">
        <v>32.5</v>
      </c>
      <c r="N9" s="12"/>
      <c r="O9" s="12">
        <f t="shared" si="2"/>
        <v>14.433756729740644</v>
      </c>
      <c r="P9" s="14">
        <f t="shared" si="3"/>
        <v>0.9285714285714286</v>
      </c>
      <c r="Q9" s="4"/>
      <c r="R9" s="14"/>
      <c r="S9" s="15"/>
      <c r="T9" s="15"/>
      <c r="U9" s="10">
        <v>0.42</v>
      </c>
      <c r="V9" s="19">
        <f t="shared" si="8"/>
        <v>0.51958551582072854</v>
      </c>
      <c r="W9" s="14">
        <f t="shared" si="9"/>
        <v>-8.6279596281457607E-2</v>
      </c>
      <c r="X9" s="14">
        <f t="shared" si="4"/>
        <v>-8.6494650934670722E-2</v>
      </c>
      <c r="Y9" s="14">
        <f t="shared" si="5"/>
        <v>0.13483997249264842</v>
      </c>
      <c r="Z9" s="17">
        <f t="shared" si="10"/>
        <v>54.999999999999993</v>
      </c>
      <c r="AA9" s="14">
        <f>-2*SQRT(U9/ (H9-2) )</f>
        <v>-0.17320508075688773</v>
      </c>
      <c r="AB9" s="14">
        <f t="shared" si="6"/>
        <v>0.26310480408201309</v>
      </c>
      <c r="AC9" s="17">
        <f t="shared" si="12"/>
        <v>14.445828144458281</v>
      </c>
    </row>
    <row r="10" spans="1:29" ht="15.75" customHeight="1" x14ac:dyDescent="0.3">
      <c r="A10" s="10">
        <f t="shared" si="7"/>
        <v>9</v>
      </c>
      <c r="B10" s="9" t="s">
        <v>51</v>
      </c>
      <c r="C10" s="9" t="s">
        <v>57</v>
      </c>
      <c r="D10" s="9" t="s">
        <v>37</v>
      </c>
      <c r="E10" s="9" t="s">
        <v>38</v>
      </c>
      <c r="F10" s="9" t="s">
        <v>41</v>
      </c>
      <c r="G10" s="9" t="s">
        <v>53</v>
      </c>
      <c r="H10" s="9">
        <v>58</v>
      </c>
      <c r="I10" s="10">
        <f t="shared" si="0"/>
        <v>29</v>
      </c>
      <c r="J10" s="9">
        <v>32.5</v>
      </c>
      <c r="K10" s="12"/>
      <c r="L10" s="10">
        <f t="shared" si="1"/>
        <v>29</v>
      </c>
      <c r="M10" s="9">
        <v>35</v>
      </c>
      <c r="N10" s="12"/>
      <c r="O10" s="12">
        <f t="shared" ref="O10:O13" si="13">O8</f>
        <v>9.321451611966971</v>
      </c>
      <c r="P10" s="14">
        <f t="shared" si="3"/>
        <v>1.0769230769230769</v>
      </c>
      <c r="Q10" s="4"/>
      <c r="R10" s="14"/>
      <c r="S10" s="15"/>
      <c r="T10" s="15"/>
      <c r="U10" s="4"/>
      <c r="V10" s="16"/>
      <c r="W10" s="14">
        <f t="shared" si="9"/>
        <v>0.13290957895574548</v>
      </c>
      <c r="X10" s="14">
        <f t="shared" si="4"/>
        <v>0.1337005939459773</v>
      </c>
      <c r="Y10" s="14">
        <f t="shared" si="5"/>
        <v>0.13483997249264842</v>
      </c>
      <c r="Z10" s="17">
        <f t="shared" si="10"/>
        <v>54.999999999999993</v>
      </c>
      <c r="AA10" s="14">
        <f t="shared" ref="AA10:AA19" si="14">(M10-J10)/O10</f>
        <v>0.26819857078810294</v>
      </c>
      <c r="AB10" s="14">
        <f t="shared" si="6"/>
        <v>0.26379084049503254</v>
      </c>
      <c r="AC10" s="17">
        <f t="shared" si="12"/>
        <v>14.370787803816462</v>
      </c>
    </row>
    <row r="11" spans="1:29" ht="15.75" customHeight="1" x14ac:dyDescent="0.3">
      <c r="A11" s="10">
        <f t="shared" si="7"/>
        <v>10</v>
      </c>
      <c r="B11" s="9" t="s">
        <v>51</v>
      </c>
      <c r="C11" s="9" t="s">
        <v>58</v>
      </c>
      <c r="D11" s="9" t="s">
        <v>37</v>
      </c>
      <c r="E11" s="9" t="s">
        <v>38</v>
      </c>
      <c r="F11" s="9" t="s">
        <v>59</v>
      </c>
      <c r="G11" s="9" t="s">
        <v>53</v>
      </c>
      <c r="H11" s="9">
        <v>58</v>
      </c>
      <c r="I11" s="10">
        <f t="shared" si="0"/>
        <v>29</v>
      </c>
      <c r="J11" s="9">
        <v>25</v>
      </c>
      <c r="K11" s="12"/>
      <c r="L11" s="10">
        <f t="shared" si="1"/>
        <v>29</v>
      </c>
      <c r="M11" s="9">
        <v>28.8</v>
      </c>
      <c r="N11" s="12"/>
      <c r="O11" s="12">
        <f t="shared" si="13"/>
        <v>14.433756729740644</v>
      </c>
      <c r="P11" s="14">
        <f t="shared" si="3"/>
        <v>1.1520000000000001</v>
      </c>
      <c r="Q11" s="4"/>
      <c r="R11" s="14"/>
      <c r="S11" s="15"/>
      <c r="T11" s="15"/>
      <c r="U11" s="4"/>
      <c r="V11" s="16"/>
      <c r="W11" s="14">
        <f t="shared" si="9"/>
        <v>0.13050997928842345</v>
      </c>
      <c r="X11" s="14">
        <f t="shared" si="4"/>
        <v>0.13125863115792569</v>
      </c>
      <c r="Y11" s="14">
        <f t="shared" si="5"/>
        <v>0.13483997249264842</v>
      </c>
      <c r="Z11" s="17">
        <f t="shared" si="10"/>
        <v>54.999999999999993</v>
      </c>
      <c r="AA11" s="14">
        <f t="shared" si="14"/>
        <v>0.26327172275046939</v>
      </c>
      <c r="AB11" s="14">
        <f t="shared" si="6"/>
        <v>0.26374805114494898</v>
      </c>
      <c r="AC11" s="17">
        <f t="shared" si="12"/>
        <v>14.375451091741155</v>
      </c>
    </row>
    <row r="12" spans="1:29" ht="15.75" customHeight="1" x14ac:dyDescent="0.3">
      <c r="A12" s="10">
        <f t="shared" si="7"/>
        <v>11</v>
      </c>
      <c r="B12" s="9" t="s">
        <v>51</v>
      </c>
      <c r="C12" s="9" t="s">
        <v>60</v>
      </c>
      <c r="D12" s="9" t="s">
        <v>37</v>
      </c>
      <c r="E12" s="9" t="s">
        <v>38</v>
      </c>
      <c r="F12" s="9" t="s">
        <v>41</v>
      </c>
      <c r="G12" s="9" t="s">
        <v>53</v>
      </c>
      <c r="H12" s="9">
        <v>58</v>
      </c>
      <c r="I12" s="10">
        <f t="shared" si="0"/>
        <v>29</v>
      </c>
      <c r="J12" s="9">
        <v>32.5</v>
      </c>
      <c r="K12" s="12"/>
      <c r="L12" s="10">
        <f t="shared" si="1"/>
        <v>29</v>
      </c>
      <c r="M12" s="9">
        <v>36.9</v>
      </c>
      <c r="N12" s="12"/>
      <c r="O12" s="12">
        <f t="shared" si="13"/>
        <v>9.321451611966971</v>
      </c>
      <c r="P12" s="14">
        <f t="shared" si="3"/>
        <v>1.1353846153846154</v>
      </c>
      <c r="Q12" s="4"/>
      <c r="R12" s="14"/>
      <c r="S12" s="15"/>
      <c r="T12" s="15"/>
      <c r="U12" s="4"/>
      <c r="V12" s="16"/>
      <c r="W12" s="14">
        <f t="shared" si="9"/>
        <v>0.22970384348267428</v>
      </c>
      <c r="X12" s="14">
        <f t="shared" si="4"/>
        <v>0.23387679098198946</v>
      </c>
      <c r="Y12" s="14">
        <f t="shared" si="5"/>
        <v>0.13483997249264842</v>
      </c>
      <c r="Z12" s="17">
        <f t="shared" si="10"/>
        <v>54.999999999999993</v>
      </c>
      <c r="AA12" s="14">
        <f t="shared" si="14"/>
        <v>0.47202948458706101</v>
      </c>
      <c r="AB12" s="14">
        <f t="shared" si="6"/>
        <v>0.26624482890104673</v>
      </c>
      <c r="AC12" s="17">
        <f t="shared" si="12"/>
        <v>14.107096494151929</v>
      </c>
    </row>
    <row r="13" spans="1:29" ht="15.75" customHeight="1" x14ac:dyDescent="0.3">
      <c r="A13" s="10">
        <f t="shared" si="7"/>
        <v>12</v>
      </c>
      <c r="B13" s="9" t="s">
        <v>51</v>
      </c>
      <c r="C13" s="9" t="s">
        <v>61</v>
      </c>
      <c r="D13" s="9" t="s">
        <v>37</v>
      </c>
      <c r="E13" s="9" t="s">
        <v>38</v>
      </c>
      <c r="F13" s="9" t="s">
        <v>59</v>
      </c>
      <c r="G13" s="9" t="s">
        <v>53</v>
      </c>
      <c r="H13" s="9">
        <v>58</v>
      </c>
      <c r="I13" s="10">
        <f t="shared" si="0"/>
        <v>29</v>
      </c>
      <c r="J13" s="9">
        <v>25</v>
      </c>
      <c r="K13" s="13"/>
      <c r="L13" s="10">
        <f t="shared" si="1"/>
        <v>29</v>
      </c>
      <c r="M13" s="9">
        <v>27.5</v>
      </c>
      <c r="N13" s="13"/>
      <c r="O13" s="12">
        <f t="shared" si="13"/>
        <v>14.433756729740644</v>
      </c>
      <c r="P13" s="14">
        <f t="shared" si="3"/>
        <v>1.1000000000000001</v>
      </c>
      <c r="Q13" s="4"/>
      <c r="R13" s="14"/>
      <c r="S13" s="15"/>
      <c r="T13" s="15"/>
      <c r="U13" s="4"/>
      <c r="V13" s="16"/>
      <c r="W13" s="14">
        <f t="shared" si="9"/>
        <v>8.6279596281457607E-2</v>
      </c>
      <c r="X13" s="14">
        <f t="shared" si="4"/>
        <v>8.6494650934670736E-2</v>
      </c>
      <c r="Y13" s="14">
        <f t="shared" si="5"/>
        <v>0.13483997249264842</v>
      </c>
      <c r="Z13" s="17">
        <f t="shared" si="10"/>
        <v>54.999999999999993</v>
      </c>
      <c r="AA13" s="14">
        <f t="shared" si="14"/>
        <v>0.17320508075688773</v>
      </c>
      <c r="AB13" s="14">
        <f t="shared" si="6"/>
        <v>0.26310480408201309</v>
      </c>
      <c r="AC13" s="17">
        <f t="shared" si="12"/>
        <v>14.445828144458281</v>
      </c>
    </row>
    <row r="14" spans="1:29" ht="15.75" customHeight="1" x14ac:dyDescent="0.3">
      <c r="A14" s="10">
        <f t="shared" si="7"/>
        <v>13</v>
      </c>
      <c r="B14" s="9" t="s">
        <v>51</v>
      </c>
      <c r="C14" s="9" t="s">
        <v>62</v>
      </c>
      <c r="D14" s="9" t="s">
        <v>37</v>
      </c>
      <c r="E14" s="9" t="s">
        <v>38</v>
      </c>
      <c r="F14" s="9" t="s">
        <v>41</v>
      </c>
      <c r="G14" s="9" t="s">
        <v>53</v>
      </c>
      <c r="H14" s="9">
        <v>64</v>
      </c>
      <c r="I14" s="10">
        <f t="shared" si="0"/>
        <v>32</v>
      </c>
      <c r="J14" s="9">
        <v>28.8</v>
      </c>
      <c r="K14" s="12"/>
      <c r="L14" s="10">
        <f t="shared" si="1"/>
        <v>32</v>
      </c>
      <c r="M14" s="9">
        <v>43.8</v>
      </c>
      <c r="N14" s="12"/>
      <c r="O14" s="12">
        <f t="shared" ref="O14:O17" si="15">O8*H8/H14</f>
        <v>8.4475655233450677</v>
      </c>
      <c r="P14" s="14">
        <f t="shared" si="3"/>
        <v>1.5208333333333333</v>
      </c>
      <c r="Q14" s="4"/>
      <c r="R14" s="14"/>
      <c r="S14" s="15"/>
      <c r="T14" s="15"/>
      <c r="U14" s="4"/>
      <c r="V14" s="16"/>
      <c r="W14" s="14">
        <f t="shared" si="9"/>
        <v>0.66392128059442823</v>
      </c>
      <c r="X14" s="14">
        <f t="shared" si="4"/>
        <v>0.79979344822944354</v>
      </c>
      <c r="Y14" s="14">
        <f t="shared" si="5"/>
        <v>0.12803687993289598</v>
      </c>
      <c r="Z14" s="17">
        <f t="shared" si="10"/>
        <v>61</v>
      </c>
      <c r="AA14" s="14">
        <f t="shared" si="14"/>
        <v>1.7756595031488192</v>
      </c>
      <c r="AB14" s="14">
        <f t="shared" si="6"/>
        <v>0.29518223543795141</v>
      </c>
      <c r="AC14" s="17">
        <f t="shared" si="12"/>
        <v>11.476767014055365</v>
      </c>
    </row>
    <row r="15" spans="1:29" ht="15.75" customHeight="1" x14ac:dyDescent="0.3">
      <c r="A15" s="10">
        <f t="shared" si="7"/>
        <v>14</v>
      </c>
      <c r="B15" s="9" t="s">
        <v>51</v>
      </c>
      <c r="C15" s="9" t="s">
        <v>63</v>
      </c>
      <c r="D15" s="9" t="s">
        <v>37</v>
      </c>
      <c r="E15" s="9" t="s">
        <v>38</v>
      </c>
      <c r="F15" s="9" t="s">
        <v>41</v>
      </c>
      <c r="G15" s="9" t="s">
        <v>53</v>
      </c>
      <c r="H15" s="9">
        <v>64</v>
      </c>
      <c r="I15" s="10">
        <f t="shared" si="0"/>
        <v>32</v>
      </c>
      <c r="J15" s="9">
        <v>27.6</v>
      </c>
      <c r="K15" s="12"/>
      <c r="L15" s="10">
        <f t="shared" si="1"/>
        <v>32</v>
      </c>
      <c r="M15" s="9">
        <v>32.5</v>
      </c>
      <c r="N15" s="12"/>
      <c r="O15" s="12">
        <f t="shared" si="15"/>
        <v>13.080592036327458</v>
      </c>
      <c r="P15" s="14">
        <f t="shared" si="3"/>
        <v>1.1775362318840579</v>
      </c>
      <c r="Q15" s="4"/>
      <c r="R15" s="14"/>
      <c r="S15" s="15"/>
      <c r="T15" s="15"/>
      <c r="U15" s="4"/>
      <c r="V15" s="16"/>
      <c r="W15" s="14">
        <f t="shared" si="9"/>
        <v>0.18409899748966232</v>
      </c>
      <c r="X15" s="14">
        <f t="shared" si="4"/>
        <v>0.18622219877103974</v>
      </c>
      <c r="Y15" s="14">
        <f t="shared" si="5"/>
        <v>0.12803687993289598</v>
      </c>
      <c r="Z15" s="17">
        <f t="shared" si="10"/>
        <v>61</v>
      </c>
      <c r="AA15" s="14">
        <f t="shared" si="14"/>
        <v>0.37460078155420679</v>
      </c>
      <c r="AB15" s="14">
        <f t="shared" si="6"/>
        <v>0.25218305828710869</v>
      </c>
      <c r="AC15" s="17">
        <f t="shared" si="12"/>
        <v>15.724186476212424</v>
      </c>
    </row>
    <row r="16" spans="1:29" ht="15.75" customHeight="1" x14ac:dyDescent="0.3">
      <c r="A16" s="10">
        <f t="shared" si="7"/>
        <v>15</v>
      </c>
      <c r="B16" s="9" t="s">
        <v>51</v>
      </c>
      <c r="C16" s="9" t="s">
        <v>64</v>
      </c>
      <c r="D16" s="9" t="s">
        <v>37</v>
      </c>
      <c r="E16" s="9" t="s">
        <v>38</v>
      </c>
      <c r="F16" s="9" t="s">
        <v>59</v>
      </c>
      <c r="G16" s="9" t="s">
        <v>53</v>
      </c>
      <c r="H16" s="9">
        <v>64</v>
      </c>
      <c r="I16" s="10">
        <f t="shared" si="0"/>
        <v>32</v>
      </c>
      <c r="J16" s="9">
        <v>28</v>
      </c>
      <c r="K16" s="12"/>
      <c r="L16" s="10">
        <f t="shared" si="1"/>
        <v>32</v>
      </c>
      <c r="M16" s="9">
        <v>27.5</v>
      </c>
      <c r="N16" s="12"/>
      <c r="O16" s="12">
        <f t="shared" si="15"/>
        <v>8.4475655233450677</v>
      </c>
      <c r="P16" s="14">
        <f t="shared" si="3"/>
        <v>0.9821428571428571</v>
      </c>
      <c r="Q16" s="4"/>
      <c r="R16" s="14"/>
      <c r="S16" s="15"/>
      <c r="T16" s="15"/>
      <c r="U16" s="4"/>
      <c r="V16" s="16"/>
      <c r="W16" s="14">
        <f t="shared" si="9"/>
        <v>-2.9581373847905486E-2</v>
      </c>
      <c r="X16" s="14">
        <f t="shared" si="4"/>
        <v>-2.9590006850428358E-2</v>
      </c>
      <c r="Y16" s="14">
        <f t="shared" si="5"/>
        <v>0.12803687993289598</v>
      </c>
      <c r="Z16" s="17">
        <f t="shared" si="10"/>
        <v>61</v>
      </c>
      <c r="AA16" s="14">
        <f t="shared" si="14"/>
        <v>-5.9188650104960647E-2</v>
      </c>
      <c r="AB16" s="14">
        <f t="shared" si="6"/>
        <v>0.2500547330133015</v>
      </c>
      <c r="AC16" s="17">
        <f t="shared" si="12"/>
        <v>15.992996474325706</v>
      </c>
    </row>
    <row r="17" spans="1:29" ht="15.75" customHeight="1" x14ac:dyDescent="0.3">
      <c r="A17" s="10">
        <f t="shared" si="7"/>
        <v>16</v>
      </c>
      <c r="B17" s="9" t="s">
        <v>51</v>
      </c>
      <c r="C17" s="9" t="s">
        <v>65</v>
      </c>
      <c r="D17" s="9" t="s">
        <v>37</v>
      </c>
      <c r="E17" s="9" t="s">
        <v>38</v>
      </c>
      <c r="F17" s="9" t="s">
        <v>59</v>
      </c>
      <c r="G17" s="9" t="s">
        <v>53</v>
      </c>
      <c r="H17" s="9">
        <v>64</v>
      </c>
      <c r="I17" s="10">
        <f t="shared" si="0"/>
        <v>32</v>
      </c>
      <c r="J17" s="9">
        <v>23.8</v>
      </c>
      <c r="K17" s="12"/>
      <c r="L17" s="10">
        <f t="shared" si="1"/>
        <v>32</v>
      </c>
      <c r="M17" s="9">
        <v>32.5</v>
      </c>
      <c r="N17" s="12"/>
      <c r="O17" s="12">
        <f t="shared" si="15"/>
        <v>13.080592036327458</v>
      </c>
      <c r="P17" s="14">
        <f t="shared" si="3"/>
        <v>1.365546218487395</v>
      </c>
      <c r="Q17" s="4"/>
      <c r="R17" s="14"/>
      <c r="S17" s="15"/>
      <c r="T17" s="15"/>
      <c r="U17" s="4"/>
      <c r="V17" s="16"/>
      <c r="W17" s="14">
        <f t="shared" si="9"/>
        <v>0.31556191699874125</v>
      </c>
      <c r="X17" s="14">
        <f t="shared" si="4"/>
        <v>0.32671049090737536</v>
      </c>
      <c r="Y17" s="14">
        <f t="shared" si="5"/>
        <v>0.12803687993289598</v>
      </c>
      <c r="Z17" s="17">
        <f t="shared" si="10"/>
        <v>61</v>
      </c>
      <c r="AA17" s="14">
        <f t="shared" si="14"/>
        <v>0.66510751010644886</v>
      </c>
      <c r="AB17" s="14">
        <f t="shared" si="6"/>
        <v>0.25681900241220468</v>
      </c>
      <c r="AC17" s="17">
        <f t="shared" si="12"/>
        <v>15.161622900115232</v>
      </c>
    </row>
    <row r="18" spans="1:29" ht="15.75" customHeight="1" x14ac:dyDescent="0.3">
      <c r="A18" s="10">
        <f t="shared" si="7"/>
        <v>17</v>
      </c>
      <c r="B18" s="9" t="s">
        <v>51</v>
      </c>
      <c r="C18" s="9" t="s">
        <v>67</v>
      </c>
      <c r="D18" s="9" t="s">
        <v>37</v>
      </c>
      <c r="E18" s="9" t="s">
        <v>38</v>
      </c>
      <c r="F18" s="9" t="s">
        <v>41</v>
      </c>
      <c r="G18" s="9" t="s">
        <v>53</v>
      </c>
      <c r="H18" s="9">
        <v>43</v>
      </c>
      <c r="I18" s="10">
        <f t="shared" si="0"/>
        <v>21.5</v>
      </c>
      <c r="J18" s="10">
        <v>34.4</v>
      </c>
      <c r="K18" s="12"/>
      <c r="L18" s="10">
        <f t="shared" si="1"/>
        <v>21.5</v>
      </c>
      <c r="M18" s="10">
        <v>41.3</v>
      </c>
      <c r="N18" s="12"/>
      <c r="O18" s="12">
        <f t="shared" ref="O18:O19" si="16">O20</f>
        <v>37.459644952935719</v>
      </c>
      <c r="P18" s="14">
        <f t="shared" si="3"/>
        <v>1.2005813953488371</v>
      </c>
      <c r="Q18" s="4"/>
      <c r="R18" s="14"/>
      <c r="S18" s="15"/>
      <c r="T18" s="15"/>
      <c r="U18" s="4"/>
      <c r="V18" s="16"/>
      <c r="W18" s="14">
        <f t="shared" si="9"/>
        <v>9.1710974831306788E-2</v>
      </c>
      <c r="X18" s="14">
        <f t="shared" si="4"/>
        <v>9.1969404300322438E-2</v>
      </c>
      <c r="Y18" s="14">
        <f t="shared" si="5"/>
        <v>0.15811388300841897</v>
      </c>
      <c r="Z18" s="17">
        <f t="shared" si="10"/>
        <v>40</v>
      </c>
      <c r="AA18" s="14">
        <f t="shared" si="14"/>
        <v>0.18419822207789624</v>
      </c>
      <c r="AB18" s="14">
        <f t="shared" si="6"/>
        <v>0.30564322157630541</v>
      </c>
      <c r="AC18" s="17">
        <f t="shared" si="12"/>
        <v>10.704600471374679</v>
      </c>
    </row>
    <row r="19" spans="1:29" ht="15.75" customHeight="1" x14ac:dyDescent="0.3">
      <c r="A19" s="10">
        <f t="shared" si="7"/>
        <v>18</v>
      </c>
      <c r="B19" s="9" t="s">
        <v>51</v>
      </c>
      <c r="C19" s="9" t="s">
        <v>69</v>
      </c>
      <c r="D19" s="9" t="s">
        <v>37</v>
      </c>
      <c r="E19" s="9" t="s">
        <v>38</v>
      </c>
      <c r="F19" s="9" t="s">
        <v>41</v>
      </c>
      <c r="G19" s="9" t="s">
        <v>53</v>
      </c>
      <c r="H19" s="9">
        <v>46</v>
      </c>
      <c r="I19" s="10">
        <f t="shared" si="0"/>
        <v>23</v>
      </c>
      <c r="J19" s="9">
        <v>31.9</v>
      </c>
      <c r="K19" s="12"/>
      <c r="L19" s="10">
        <f t="shared" si="1"/>
        <v>23</v>
      </c>
      <c r="M19" s="9">
        <v>37.299999999999997</v>
      </c>
      <c r="N19" s="12"/>
      <c r="O19" s="12">
        <f t="shared" si="16"/>
        <v>12.355959079352852</v>
      </c>
      <c r="P19" s="14">
        <f t="shared" si="3"/>
        <v>1.1692789968652038</v>
      </c>
      <c r="Q19" s="4"/>
      <c r="R19" s="14"/>
      <c r="S19" s="15"/>
      <c r="T19" s="15"/>
      <c r="U19" s="10"/>
      <c r="V19" s="19"/>
      <c r="W19" s="14">
        <f t="shared" si="9"/>
        <v>0.21348061244189359</v>
      </c>
      <c r="X19" s="14">
        <f t="shared" si="4"/>
        <v>0.21681533792944252</v>
      </c>
      <c r="Y19" s="14">
        <f t="shared" si="5"/>
        <v>0.15249857033260467</v>
      </c>
      <c r="Z19" s="17">
        <f t="shared" si="10"/>
        <v>43</v>
      </c>
      <c r="AA19" s="14">
        <f t="shared" si="14"/>
        <v>0.4370360864195113</v>
      </c>
      <c r="AB19" s="14">
        <f t="shared" si="6"/>
        <v>0.29838333494729635</v>
      </c>
      <c r="AC19" s="17">
        <f t="shared" si="12"/>
        <v>11.231839082584802</v>
      </c>
    </row>
    <row r="20" spans="1:29" ht="15.75" customHeight="1" x14ac:dyDescent="0.3">
      <c r="A20" s="10">
        <f t="shared" si="7"/>
        <v>19</v>
      </c>
      <c r="B20" s="9" t="s">
        <v>51</v>
      </c>
      <c r="C20" s="9" t="s">
        <v>70</v>
      </c>
      <c r="D20" s="9" t="s">
        <v>37</v>
      </c>
      <c r="E20" s="9" t="s">
        <v>38</v>
      </c>
      <c r="F20" s="9" t="s">
        <v>59</v>
      </c>
      <c r="G20" s="9" t="s">
        <v>53</v>
      </c>
      <c r="H20" s="9">
        <v>43</v>
      </c>
      <c r="I20" s="10">
        <f t="shared" si="0"/>
        <v>21.5</v>
      </c>
      <c r="J20" s="9">
        <v>37.5</v>
      </c>
      <c r="K20" s="12"/>
      <c r="L20" s="10">
        <f t="shared" si="1"/>
        <v>21.5</v>
      </c>
      <c r="M20" s="9">
        <v>33.799999999999997</v>
      </c>
      <c r="N20" s="12"/>
      <c r="O20" s="12">
        <f t="shared" ref="O20:O23" si="17">ABS((M20-J20)/AA20)</f>
        <v>37.459644952935719</v>
      </c>
      <c r="P20" s="14">
        <f t="shared" si="3"/>
        <v>0.90133333333333321</v>
      </c>
      <c r="Q20" s="4"/>
      <c r="R20" s="14"/>
      <c r="S20" s="15"/>
      <c r="T20" s="15"/>
      <c r="U20" s="10">
        <v>0.1</v>
      </c>
      <c r="V20" s="19">
        <f t="shared" ref="V20:V23" si="18">FDIST(U20,1,H20-2)</f>
        <v>0.75343400030720531</v>
      </c>
      <c r="W20" s="14">
        <f t="shared" si="9"/>
        <v>-4.9326362366699003E-2</v>
      </c>
      <c r="X20" s="14">
        <f t="shared" si="4"/>
        <v>-4.9366426030152857E-2</v>
      </c>
      <c r="Y20" s="14">
        <f t="shared" si="5"/>
        <v>0.15811388300841897</v>
      </c>
      <c r="Z20" s="17">
        <f t="shared" si="10"/>
        <v>40</v>
      </c>
      <c r="AA20" s="14">
        <f>-2*SQRT(U20/ (H20-2) )</f>
        <v>-9.8772959664958956E-2</v>
      </c>
      <c r="AB20" s="14">
        <f t="shared" si="6"/>
        <v>0.30518305786666555</v>
      </c>
      <c r="AC20" s="17">
        <f t="shared" si="12"/>
        <v>10.736906211936665</v>
      </c>
    </row>
    <row r="21" spans="1:29" ht="15.75" customHeight="1" x14ac:dyDescent="0.3">
      <c r="A21" s="10">
        <f t="shared" si="7"/>
        <v>20</v>
      </c>
      <c r="B21" s="9" t="s">
        <v>51</v>
      </c>
      <c r="C21" s="9" t="s">
        <v>72</v>
      </c>
      <c r="D21" s="9" t="s">
        <v>37</v>
      </c>
      <c r="E21" s="9" t="s">
        <v>38</v>
      </c>
      <c r="F21" s="9" t="s">
        <v>59</v>
      </c>
      <c r="G21" s="9" t="s">
        <v>53</v>
      </c>
      <c r="H21" s="9">
        <v>46</v>
      </c>
      <c r="I21" s="10">
        <f t="shared" si="0"/>
        <v>23</v>
      </c>
      <c r="J21" s="9">
        <v>19</v>
      </c>
      <c r="K21" s="12"/>
      <c r="L21" s="10">
        <f t="shared" si="1"/>
        <v>23</v>
      </c>
      <c r="M21" s="9">
        <v>31.9</v>
      </c>
      <c r="N21" s="12"/>
      <c r="O21" s="12">
        <f t="shared" si="17"/>
        <v>12.355959079352852</v>
      </c>
      <c r="P21" s="14">
        <f t="shared" si="3"/>
        <v>1.6789473684210525</v>
      </c>
      <c r="Q21" s="4"/>
      <c r="R21" s="14"/>
      <c r="S21" s="15"/>
      <c r="T21" s="15"/>
      <c r="U21" s="10">
        <v>11.99</v>
      </c>
      <c r="V21" s="19">
        <f t="shared" si="18"/>
        <v>1.2028963297001352E-3</v>
      </c>
      <c r="W21" s="14">
        <f t="shared" si="9"/>
        <v>0.46275845006236865</v>
      </c>
      <c r="X21" s="14">
        <f t="shared" si="4"/>
        <v>0.5008157372237233</v>
      </c>
      <c r="Y21" s="14">
        <f t="shared" si="5"/>
        <v>0.15249857033260467</v>
      </c>
      <c r="Z21" s="17">
        <f t="shared" si="10"/>
        <v>43</v>
      </c>
      <c r="AA21" s="14">
        <f t="shared" ref="AA21:AA23" si="19">2*SQRT(U21/ (H21-2) )</f>
        <v>1.0440306508910551</v>
      </c>
      <c r="AB21" s="14">
        <f t="shared" si="6"/>
        <v>0.31433158897267538</v>
      </c>
      <c r="AC21" s="17">
        <f t="shared" si="12"/>
        <v>10.121012101210123</v>
      </c>
    </row>
    <row r="22" spans="1:29" ht="15.75" customHeight="1" x14ac:dyDescent="0.3">
      <c r="A22" s="10">
        <f t="shared" si="7"/>
        <v>21</v>
      </c>
      <c r="B22" s="9" t="s">
        <v>51</v>
      </c>
      <c r="C22" s="9" t="s">
        <v>75</v>
      </c>
      <c r="D22" s="9" t="s">
        <v>37</v>
      </c>
      <c r="E22" s="9" t="s">
        <v>38</v>
      </c>
      <c r="F22" s="9" t="s">
        <v>59</v>
      </c>
      <c r="G22" s="9" t="s">
        <v>40</v>
      </c>
      <c r="H22" s="9">
        <v>100</v>
      </c>
      <c r="I22" s="10">
        <f t="shared" si="0"/>
        <v>50</v>
      </c>
      <c r="J22" s="9">
        <v>4.5</v>
      </c>
      <c r="K22" s="12"/>
      <c r="L22" s="10">
        <f t="shared" si="1"/>
        <v>50</v>
      </c>
      <c r="M22" s="9">
        <v>6</v>
      </c>
      <c r="N22" s="12"/>
      <c r="O22" s="12">
        <f t="shared" si="17"/>
        <v>4.1766757419225833</v>
      </c>
      <c r="P22" s="14">
        <f t="shared" si="3"/>
        <v>1.3333333333333333</v>
      </c>
      <c r="Q22" s="4"/>
      <c r="R22" s="14"/>
      <c r="S22" s="15"/>
      <c r="T22" s="15"/>
      <c r="U22" s="10">
        <v>3.16</v>
      </c>
      <c r="V22" s="19">
        <f t="shared" si="18"/>
        <v>7.8565144824657887E-2</v>
      </c>
      <c r="W22" s="14">
        <f t="shared" si="9"/>
        <v>0.17674174192105119</v>
      </c>
      <c r="X22" s="14">
        <f t="shared" si="4"/>
        <v>0.17861735513968402</v>
      </c>
      <c r="Y22" s="14">
        <f t="shared" si="5"/>
        <v>0.10153461651336192</v>
      </c>
      <c r="Z22" s="17">
        <f t="shared" si="10"/>
        <v>96.999999999999972</v>
      </c>
      <c r="AA22" s="14">
        <f t="shared" si="19"/>
        <v>0.35913728828504382</v>
      </c>
      <c r="AB22" s="14">
        <f t="shared" si="6"/>
        <v>0.20160579842649287</v>
      </c>
      <c r="AC22" s="17">
        <f t="shared" si="12"/>
        <v>24.60333400281181</v>
      </c>
    </row>
    <row r="23" spans="1:29" ht="15.75" customHeight="1" x14ac:dyDescent="0.3">
      <c r="A23" s="10">
        <f t="shared" si="7"/>
        <v>22</v>
      </c>
      <c r="B23" s="9" t="s">
        <v>51</v>
      </c>
      <c r="C23" s="9" t="s">
        <v>77</v>
      </c>
      <c r="D23" s="9" t="s">
        <v>37</v>
      </c>
      <c r="E23" s="9" t="s">
        <v>38</v>
      </c>
      <c r="F23" s="9" t="s">
        <v>59</v>
      </c>
      <c r="G23" s="9" t="s">
        <v>40</v>
      </c>
      <c r="H23" s="9">
        <v>178</v>
      </c>
      <c r="I23" s="10">
        <f t="shared" si="0"/>
        <v>89</v>
      </c>
      <c r="J23" s="9">
        <v>29</v>
      </c>
      <c r="K23" s="12"/>
      <c r="L23" s="10">
        <f t="shared" si="1"/>
        <v>89</v>
      </c>
      <c r="M23" s="9">
        <v>32.5</v>
      </c>
      <c r="N23" s="12"/>
      <c r="O23" s="12">
        <f t="shared" si="17"/>
        <v>11.564899405659665</v>
      </c>
      <c r="P23" s="14">
        <f t="shared" si="3"/>
        <v>1.1206896551724137</v>
      </c>
      <c r="Q23" s="4"/>
      <c r="R23" s="14"/>
      <c r="S23" s="15"/>
      <c r="T23" s="15"/>
      <c r="U23" s="10">
        <v>4.03</v>
      </c>
      <c r="V23" s="19">
        <f t="shared" si="18"/>
        <v>4.6227882945088922E-2</v>
      </c>
      <c r="W23" s="14">
        <f t="shared" si="9"/>
        <v>0.1496167037105729</v>
      </c>
      <c r="X23" s="14">
        <f t="shared" si="4"/>
        <v>0.15074834001244358</v>
      </c>
      <c r="Y23" s="14">
        <f t="shared" si="5"/>
        <v>7.5592894601845442E-2</v>
      </c>
      <c r="Z23" s="17">
        <f t="shared" si="10"/>
        <v>175.00000000000003</v>
      </c>
      <c r="AA23" s="14">
        <f t="shared" si="19"/>
        <v>0.30263990003122376</v>
      </c>
      <c r="AB23" s="14">
        <f t="shared" si="6"/>
        <v>0.1507620242199095</v>
      </c>
      <c r="AC23" s="17">
        <f t="shared" si="12"/>
        <v>43.996292447265674</v>
      </c>
    </row>
    <row r="24" spans="1:29" ht="15.75" customHeight="1" x14ac:dyDescent="0.3">
      <c r="A24" s="10">
        <f t="shared" si="7"/>
        <v>23</v>
      </c>
      <c r="B24" s="10" t="s">
        <v>109</v>
      </c>
      <c r="C24" s="10">
        <v>2</v>
      </c>
      <c r="D24" s="10" t="s">
        <v>42</v>
      </c>
      <c r="E24" s="10" t="s">
        <v>43</v>
      </c>
      <c r="F24" s="10" t="s">
        <v>41</v>
      </c>
      <c r="G24" s="10" t="s">
        <v>40</v>
      </c>
      <c r="H24" s="4">
        <f t="shared" ref="H24:H26" si="20">L24+I24</f>
        <v>164</v>
      </c>
      <c r="I24" s="10">
        <v>73</v>
      </c>
      <c r="J24" s="10">
        <v>-2.7</v>
      </c>
      <c r="K24" s="12"/>
      <c r="L24" s="10">
        <v>91</v>
      </c>
      <c r="M24" s="10">
        <v>1.8</v>
      </c>
      <c r="N24" s="12"/>
      <c r="O24" s="12">
        <f>Resubmit!O26*Resubmit!H26/H25</f>
        <v>1.6181046328012263</v>
      </c>
      <c r="P24" s="14">
        <f>-1/(M24/J24)</f>
        <v>1.5</v>
      </c>
      <c r="Q24" s="4"/>
      <c r="R24" s="14"/>
      <c r="S24" s="15"/>
      <c r="T24" s="15"/>
      <c r="U24" s="4"/>
      <c r="V24" s="16"/>
      <c r="W24" s="14">
        <f t="shared" si="9"/>
        <v>0.81185850939967974</v>
      </c>
      <c r="X24" s="14">
        <f t="shared" si="4"/>
        <v>1.1324570544481454</v>
      </c>
      <c r="Y24" s="14">
        <f t="shared" si="5"/>
        <v>7.8811040623910061E-2</v>
      </c>
      <c r="Z24" s="17">
        <f t="shared" si="10"/>
        <v>161</v>
      </c>
      <c r="AA24" s="14">
        <f t="shared" ref="AA24:AA28" si="21">(M24-J24)/O24</f>
        <v>2.7810315283565448</v>
      </c>
      <c r="AB24" s="14">
        <f t="shared" si="6"/>
        <v>0.21969825933677881</v>
      </c>
      <c r="AC24" s="17">
        <f t="shared" si="12"/>
        <v>20.717949394876744</v>
      </c>
    </row>
    <row r="25" spans="1:29" ht="15.75" customHeight="1" x14ac:dyDescent="0.3">
      <c r="A25" s="10">
        <f t="shared" si="7"/>
        <v>24</v>
      </c>
      <c r="B25" s="10" t="s">
        <v>109</v>
      </c>
      <c r="C25" s="10">
        <v>2</v>
      </c>
      <c r="D25" s="10" t="s">
        <v>42</v>
      </c>
      <c r="E25" s="10" t="s">
        <v>43</v>
      </c>
      <c r="F25" s="10" t="s">
        <v>41</v>
      </c>
      <c r="G25" s="10" t="s">
        <v>40</v>
      </c>
      <c r="H25" s="4">
        <f t="shared" si="20"/>
        <v>164</v>
      </c>
      <c r="I25" s="10">
        <f>I24</f>
        <v>73</v>
      </c>
      <c r="J25" s="10">
        <v>-2.7</v>
      </c>
      <c r="K25" s="12"/>
      <c r="L25" s="4">
        <f>L24</f>
        <v>91</v>
      </c>
      <c r="M25" s="10">
        <v>2.2000000000000002</v>
      </c>
      <c r="N25" s="12"/>
      <c r="O25" s="12">
        <f>Resubmit!O26*Resubmit!H26/H25</f>
        <v>1.6181046328012263</v>
      </c>
      <c r="P25" s="17">
        <f>-1/(M25/J25)</f>
        <v>1.2272727272727271</v>
      </c>
      <c r="Q25" s="4"/>
      <c r="R25" s="14"/>
      <c r="S25" s="15"/>
      <c r="T25" s="15"/>
      <c r="U25" s="4"/>
      <c r="V25" s="16"/>
      <c r="W25" s="14">
        <f t="shared" si="9"/>
        <v>0.83443640147401099</v>
      </c>
      <c r="X25" s="14">
        <f t="shared" si="4"/>
        <v>1.202568586513473</v>
      </c>
      <c r="Y25" s="14">
        <f t="shared" si="5"/>
        <v>7.8811040623910061E-2</v>
      </c>
      <c r="Z25" s="17">
        <f t="shared" si="10"/>
        <v>161</v>
      </c>
      <c r="AA25" s="14">
        <f t="shared" si="21"/>
        <v>3.0282343308771269</v>
      </c>
      <c r="AB25" s="14">
        <f t="shared" si="6"/>
        <v>0.22944624119312193</v>
      </c>
      <c r="AC25" s="17">
        <f t="shared" si="12"/>
        <v>18.994947830994921</v>
      </c>
    </row>
    <row r="26" spans="1:29" ht="15.75" customHeight="1" x14ac:dyDescent="0.3">
      <c r="A26" s="10">
        <f t="shared" si="7"/>
        <v>25</v>
      </c>
      <c r="B26" s="10" t="s">
        <v>109</v>
      </c>
      <c r="C26" s="10">
        <v>3</v>
      </c>
      <c r="D26" s="10" t="s">
        <v>42</v>
      </c>
      <c r="E26" s="9" t="s">
        <v>38</v>
      </c>
      <c r="F26" s="10" t="s">
        <v>41</v>
      </c>
      <c r="G26" s="10" t="s">
        <v>40</v>
      </c>
      <c r="H26" s="4">
        <f t="shared" si="20"/>
        <v>81</v>
      </c>
      <c r="I26" s="10">
        <v>35</v>
      </c>
      <c r="J26" s="10">
        <v>1.1299999999999999</v>
      </c>
      <c r="K26" s="12">
        <f>0.51*SQRT(I26)</f>
        <v>3.0172006893808043</v>
      </c>
      <c r="L26" s="10">
        <v>46</v>
      </c>
      <c r="M26" s="10">
        <v>4.46</v>
      </c>
      <c r="N26" s="12">
        <f>0.51*SQRT(L26)</f>
        <v>3.458988291393887</v>
      </c>
      <c r="O26" s="12">
        <f t="shared" ref="O26:O28" si="22">SQRT( ((I26-1)*K26^2+(L26-1)*N26^2)/ (H26-2) )</f>
        <v>3.2761624664123596</v>
      </c>
      <c r="P26" s="14">
        <f t="shared" si="3"/>
        <v>3.946902654867257</v>
      </c>
      <c r="Q26" s="10">
        <v>4.28</v>
      </c>
      <c r="R26" s="14">
        <f>TDIST(Q26,H26-2,1)</f>
        <v>2.6016674831861967E-5</v>
      </c>
      <c r="S26" s="15"/>
      <c r="T26" s="15"/>
      <c r="U26" s="4"/>
      <c r="V26" s="16"/>
      <c r="W26" s="14">
        <f t="shared" si="9"/>
        <v>0.45306389970985617</v>
      </c>
      <c r="X26" s="14">
        <f t="shared" si="4"/>
        <v>0.48854883163220081</v>
      </c>
      <c r="Y26" s="14">
        <f t="shared" si="5"/>
        <v>0.11322770341445956</v>
      </c>
      <c r="Z26" s="17">
        <f t="shared" si="10"/>
        <v>78.000000000000014</v>
      </c>
      <c r="AA26" s="17">
        <f>(M26-J26)/O26</f>
        <v>1.0164331085956786</v>
      </c>
      <c r="AB26" s="14">
        <f t="shared" si="6"/>
        <v>0.23809230007169524</v>
      </c>
      <c r="AC26" s="17">
        <f t="shared" si="12"/>
        <v>17.64043535263465</v>
      </c>
    </row>
    <row r="27" spans="1:29" ht="15.75" customHeight="1" x14ac:dyDescent="0.3">
      <c r="A27" s="10">
        <f t="shared" si="7"/>
        <v>26</v>
      </c>
      <c r="B27" s="10" t="s">
        <v>110</v>
      </c>
      <c r="C27" s="10">
        <v>1</v>
      </c>
      <c r="D27" s="10" t="s">
        <v>37</v>
      </c>
      <c r="E27" s="10" t="s">
        <v>43</v>
      </c>
      <c r="F27" s="10" t="s">
        <v>41</v>
      </c>
      <c r="G27" s="10" t="s">
        <v>53</v>
      </c>
      <c r="H27" s="10">
        <v>169</v>
      </c>
      <c r="I27" s="4">
        <f t="shared" ref="I27:I30" si="23">H27/2</f>
        <v>84.5</v>
      </c>
      <c r="J27" s="10">
        <v>10694.43</v>
      </c>
      <c r="K27" s="13">
        <v>9850.1299999999992</v>
      </c>
      <c r="L27" s="4">
        <f t="shared" ref="L27:L30" si="24">H27/2</f>
        <v>84.5</v>
      </c>
      <c r="M27" s="10">
        <v>18762.650000000001</v>
      </c>
      <c r="N27" s="13">
        <v>10595.11</v>
      </c>
      <c r="O27" s="12">
        <f t="shared" si="22"/>
        <v>10229.404110919659</v>
      </c>
      <c r="P27" s="14">
        <f t="shared" si="3"/>
        <v>1.7544319800120249</v>
      </c>
      <c r="Q27" s="4"/>
      <c r="R27" s="14"/>
      <c r="S27" s="15"/>
      <c r="T27" s="15"/>
      <c r="U27" s="10">
        <v>26.295999999999999</v>
      </c>
      <c r="V27" s="19">
        <f t="shared" ref="V27:V28" si="25">FDIST(U27,1,H27-2)</f>
        <v>8.0405631971350562E-7</v>
      </c>
      <c r="W27" s="14">
        <f t="shared" si="9"/>
        <v>0.36686652960436528</v>
      </c>
      <c r="X27" s="14">
        <f t="shared" si="4"/>
        <v>0.38479747044138757</v>
      </c>
      <c r="Y27" s="14">
        <f t="shared" si="5"/>
        <v>7.7615052570633281E-2</v>
      </c>
      <c r="Z27" s="17">
        <f t="shared" si="10"/>
        <v>166.00000000000003</v>
      </c>
      <c r="AA27" s="14">
        <f t="shared" si="21"/>
        <v>0.78872824971176547</v>
      </c>
      <c r="AB27" s="14">
        <f t="shared" si="6"/>
        <v>0.15971583726807051</v>
      </c>
      <c r="AC27" s="17">
        <f t="shared" si="12"/>
        <v>39.201621848313707</v>
      </c>
    </row>
    <row r="28" spans="1:29" ht="15.75" customHeight="1" x14ac:dyDescent="0.3">
      <c r="A28" s="10">
        <f t="shared" si="7"/>
        <v>27</v>
      </c>
      <c r="B28" s="10" t="s">
        <v>110</v>
      </c>
      <c r="C28" s="10">
        <v>2</v>
      </c>
      <c r="D28" s="10" t="s">
        <v>37</v>
      </c>
      <c r="E28" s="10" t="s">
        <v>43</v>
      </c>
      <c r="F28" s="10" t="s">
        <v>41</v>
      </c>
      <c r="G28" s="10" t="s">
        <v>53</v>
      </c>
      <c r="H28" s="10">
        <v>159</v>
      </c>
      <c r="I28" s="4">
        <f t="shared" si="23"/>
        <v>79.5</v>
      </c>
      <c r="J28" s="10">
        <v>10811.37</v>
      </c>
      <c r="K28" s="13">
        <v>6611</v>
      </c>
      <c r="L28" s="4">
        <f t="shared" si="24"/>
        <v>79.5</v>
      </c>
      <c r="M28" s="10">
        <v>14522.5</v>
      </c>
      <c r="N28" s="13">
        <v>9565.23</v>
      </c>
      <c r="O28" s="12">
        <f t="shared" si="22"/>
        <v>8221.8898664753469</v>
      </c>
      <c r="P28" s="14">
        <f t="shared" si="3"/>
        <v>1.3432617697849578</v>
      </c>
      <c r="Q28" s="4"/>
      <c r="R28" s="14"/>
      <c r="S28" s="15"/>
      <c r="T28" s="15"/>
      <c r="U28" s="10">
        <v>8.35</v>
      </c>
      <c r="V28" s="19">
        <f t="shared" si="25"/>
        <v>4.4027324840797818E-3</v>
      </c>
      <c r="W28" s="14">
        <f t="shared" si="9"/>
        <v>0.22014902456355318</v>
      </c>
      <c r="X28" s="14">
        <f t="shared" si="4"/>
        <v>0.22381271862595242</v>
      </c>
      <c r="Y28" s="14">
        <f t="shared" si="5"/>
        <v>8.0064076902543566E-2</v>
      </c>
      <c r="Z28" s="17">
        <f t="shared" si="10"/>
        <v>156</v>
      </c>
      <c r="AA28" s="14">
        <f t="shared" si="21"/>
        <v>0.45137189384305493</v>
      </c>
      <c r="AB28" s="14">
        <f t="shared" si="6"/>
        <v>0.1606172898357677</v>
      </c>
      <c r="AC28" s="17">
        <f t="shared" si="12"/>
        <v>38.762824311217294</v>
      </c>
    </row>
    <row r="29" spans="1:29" ht="15.75" customHeight="1" x14ac:dyDescent="0.3">
      <c r="A29" s="10">
        <f t="shared" si="7"/>
        <v>28</v>
      </c>
      <c r="B29" s="10" t="s">
        <v>79</v>
      </c>
      <c r="C29" s="10">
        <v>1</v>
      </c>
      <c r="D29" s="10" t="s">
        <v>37</v>
      </c>
      <c r="E29" s="10" t="s">
        <v>38</v>
      </c>
      <c r="F29" s="10" t="s">
        <v>41</v>
      </c>
      <c r="G29" s="10" t="s">
        <v>40</v>
      </c>
      <c r="H29" s="10">
        <v>116</v>
      </c>
      <c r="I29" s="10">
        <f t="shared" si="23"/>
        <v>58</v>
      </c>
      <c r="J29" s="10">
        <v>49.04</v>
      </c>
      <c r="K29" s="12"/>
      <c r="L29" s="10">
        <f t="shared" si="24"/>
        <v>58</v>
      </c>
      <c r="M29" s="10">
        <v>70.180000000000007</v>
      </c>
      <c r="N29" s="12"/>
      <c r="O29" s="12">
        <f>ABS((M29-J29)/AA29)</f>
        <v>26.623492421410859</v>
      </c>
      <c r="P29" s="14">
        <f t="shared" si="3"/>
        <v>1.4310766721044048</v>
      </c>
      <c r="Q29" s="4"/>
      <c r="R29" s="14"/>
      <c r="S29" s="4"/>
      <c r="T29" s="4"/>
      <c r="U29" s="4"/>
      <c r="V29" s="16"/>
      <c r="W29" s="17">
        <v>0.36899999999999999</v>
      </c>
      <c r="X29" s="14">
        <f t="shared" si="4"/>
        <v>0.38726498137361787</v>
      </c>
      <c r="Y29" s="14">
        <f t="shared" si="5"/>
        <v>9.4072086838359728E-2</v>
      </c>
      <c r="Z29" s="17">
        <f t="shared" si="10"/>
        <v>113</v>
      </c>
      <c r="AA29" s="14">
        <f>2*W29/SQRT(1-W29^2)</f>
        <v>0.79403557074274089</v>
      </c>
      <c r="AB29" s="14">
        <f t="shared" si="6"/>
        <v>0.19287404867806543</v>
      </c>
      <c r="AC29" s="17">
        <f t="shared" si="12"/>
        <v>26.881432355477052</v>
      </c>
    </row>
    <row r="30" spans="1:29" ht="14.4" x14ac:dyDescent="0.3">
      <c r="A30" s="10">
        <f t="shared" si="7"/>
        <v>29</v>
      </c>
      <c r="B30" s="10" t="s">
        <v>81</v>
      </c>
      <c r="C30" s="10">
        <v>1</v>
      </c>
      <c r="D30" s="10" t="s">
        <v>42</v>
      </c>
      <c r="E30" s="10" t="s">
        <v>43</v>
      </c>
      <c r="F30" s="10" t="s">
        <v>59</v>
      </c>
      <c r="G30" s="10" t="s">
        <v>40</v>
      </c>
      <c r="H30" s="10">
        <v>134</v>
      </c>
      <c r="I30" s="10">
        <f t="shared" si="23"/>
        <v>67</v>
      </c>
      <c r="J30" s="10">
        <v>1.33</v>
      </c>
      <c r="K30" s="13">
        <v>0.9</v>
      </c>
      <c r="L30" s="10">
        <f t="shared" si="24"/>
        <v>67</v>
      </c>
      <c r="M30" s="10">
        <v>1.39</v>
      </c>
      <c r="N30" s="13">
        <v>1.05</v>
      </c>
      <c r="O30" s="12">
        <f t="shared" ref="O30:O34" si="26">SQRT( ((I30-1)*K30^2+(L30-1)*N30^2)/ (H30-2) )</f>
        <v>0.97788036078039731</v>
      </c>
      <c r="P30" s="14">
        <f t="shared" si="3"/>
        <v>1.0451127819548871</v>
      </c>
      <c r="Q30" s="4"/>
      <c r="R30" s="14"/>
      <c r="S30" s="15"/>
      <c r="T30" s="15"/>
      <c r="U30" s="4"/>
      <c r="V30" s="16"/>
      <c r="W30" s="14">
        <f>AA30/SQRT(AA30^2+4)</f>
        <v>3.0664172748698225E-2</v>
      </c>
      <c r="X30" s="14">
        <f t="shared" si="4"/>
        <v>3.0673789261574946E-2</v>
      </c>
      <c r="Y30" s="14">
        <f t="shared" si="5"/>
        <v>8.7370405666103795E-2</v>
      </c>
      <c r="Z30" s="17">
        <f t="shared" si="10"/>
        <v>131</v>
      </c>
      <c r="AA30" s="14">
        <f t="shared" ref="AA30:AA34" si="27">(M30-J30)/O30</f>
        <v>6.1357199107789459E-2</v>
      </c>
      <c r="AB30" s="14">
        <f t="shared" si="6"/>
        <v>0.17281433296652651</v>
      </c>
      <c r="AC30" s="17">
        <f t="shared" si="12"/>
        <v>33.484242709313271</v>
      </c>
    </row>
    <row r="31" spans="1:29" ht="14.4" x14ac:dyDescent="0.3">
      <c r="A31" s="10">
        <f t="shared" si="7"/>
        <v>30</v>
      </c>
      <c r="B31" s="9" t="s">
        <v>82</v>
      </c>
      <c r="C31" s="9">
        <v>1</v>
      </c>
      <c r="D31" s="9" t="s">
        <v>37</v>
      </c>
      <c r="E31" s="9" t="s">
        <v>83</v>
      </c>
      <c r="F31" s="9" t="s">
        <v>59</v>
      </c>
      <c r="G31" s="9" t="s">
        <v>40</v>
      </c>
      <c r="H31" s="9">
        <v>79</v>
      </c>
      <c r="I31" s="10">
        <v>39</v>
      </c>
      <c r="J31" s="10">
        <v>21.35</v>
      </c>
      <c r="K31" s="13">
        <v>26.54</v>
      </c>
      <c r="L31" s="10">
        <v>40</v>
      </c>
      <c r="M31" s="10">
        <v>21.14</v>
      </c>
      <c r="N31" s="13">
        <v>20.170000000000002</v>
      </c>
      <c r="O31" s="12">
        <f t="shared" si="26"/>
        <v>23.530154154732063</v>
      </c>
      <c r="P31" s="14">
        <f t="shared" si="3"/>
        <v>0.99016393442622952</v>
      </c>
      <c r="Q31" s="4"/>
      <c r="R31" s="14"/>
      <c r="S31" s="15"/>
      <c r="T31" s="15"/>
      <c r="U31" s="4"/>
      <c r="V31" s="16"/>
      <c r="W31" s="17">
        <v>1.0999999999999999E-2</v>
      </c>
      <c r="X31" s="14">
        <f t="shared" si="4"/>
        <v>1.100044369887958E-2</v>
      </c>
      <c r="Y31" s="14">
        <f t="shared" si="5"/>
        <v>0.11470786693528087</v>
      </c>
      <c r="Z31" s="17">
        <f t="shared" si="10"/>
        <v>76.000000000000014</v>
      </c>
      <c r="AA31" s="14">
        <f t="shared" si="27"/>
        <v>-8.9247184110678047E-3</v>
      </c>
      <c r="AB31" s="14">
        <f t="shared" si="6"/>
        <v>0.22503672979924641</v>
      </c>
      <c r="AC31" s="17">
        <f t="shared" si="12"/>
        <v>19.746638870588885</v>
      </c>
    </row>
    <row r="32" spans="1:29" ht="14.4" x14ac:dyDescent="0.3">
      <c r="A32" s="10">
        <f t="shared" si="7"/>
        <v>31</v>
      </c>
      <c r="B32" s="9" t="s">
        <v>82</v>
      </c>
      <c r="C32" s="9">
        <v>2</v>
      </c>
      <c r="D32" s="9" t="s">
        <v>37</v>
      </c>
      <c r="E32" s="9" t="s">
        <v>83</v>
      </c>
      <c r="F32" s="9" t="s">
        <v>41</v>
      </c>
      <c r="G32" s="9" t="s">
        <v>40</v>
      </c>
      <c r="H32" s="9">
        <v>78</v>
      </c>
      <c r="I32" s="10">
        <f>H32/2</f>
        <v>39</v>
      </c>
      <c r="J32" s="10">
        <v>12.78</v>
      </c>
      <c r="K32" s="13">
        <v>19.82</v>
      </c>
      <c r="L32" s="10">
        <f>H32/2</f>
        <v>39</v>
      </c>
      <c r="M32" s="10">
        <v>12.61</v>
      </c>
      <c r="N32" s="13">
        <v>16.57</v>
      </c>
      <c r="O32" s="12">
        <f t="shared" si="26"/>
        <v>18.267420452817085</v>
      </c>
      <c r="P32" s="14">
        <f t="shared" si="3"/>
        <v>0.98669796557120504</v>
      </c>
      <c r="Q32" s="4"/>
      <c r="R32" s="14"/>
      <c r="S32" s="15"/>
      <c r="T32" s="15"/>
      <c r="U32" s="4"/>
      <c r="V32" s="16"/>
      <c r="W32" s="17">
        <v>-1.4E-2</v>
      </c>
      <c r="X32" s="14">
        <f t="shared" si="4"/>
        <v>-1.4000914774246543E-2</v>
      </c>
      <c r="Y32" s="14">
        <f t="shared" si="5"/>
        <v>0.11547005383792514</v>
      </c>
      <c r="Z32" s="17">
        <f t="shared" si="10"/>
        <v>75.000000000000028</v>
      </c>
      <c r="AA32" s="14">
        <f t="shared" si="27"/>
        <v>-9.3061853171383935E-3</v>
      </c>
      <c r="AB32" s="14">
        <f t="shared" si="6"/>
        <v>0.22645663258746379</v>
      </c>
      <c r="AC32" s="17">
        <f t="shared" si="12"/>
        <v>19.499788902390197</v>
      </c>
    </row>
    <row r="33" spans="1:29" ht="14.4" x14ac:dyDescent="0.3">
      <c r="A33" s="10">
        <f t="shared" si="7"/>
        <v>32</v>
      </c>
      <c r="B33" s="9" t="s">
        <v>82</v>
      </c>
      <c r="C33" s="9">
        <v>3</v>
      </c>
      <c r="D33" s="9" t="s">
        <v>37</v>
      </c>
      <c r="E33" s="9" t="s">
        <v>83</v>
      </c>
      <c r="F33" s="9" t="s">
        <v>59</v>
      </c>
      <c r="G33" s="9" t="s">
        <v>40</v>
      </c>
      <c r="H33" s="9">
        <v>79</v>
      </c>
      <c r="I33" s="10">
        <v>39</v>
      </c>
      <c r="J33" s="10">
        <v>19.16</v>
      </c>
      <c r="K33" s="13">
        <v>16.559999999999999</v>
      </c>
      <c r="L33" s="10">
        <v>40</v>
      </c>
      <c r="M33" s="10">
        <v>19.350000000000001</v>
      </c>
      <c r="N33" s="13">
        <v>19.07</v>
      </c>
      <c r="O33" s="12">
        <f t="shared" si="26"/>
        <v>17.87540133052326</v>
      </c>
      <c r="P33" s="14">
        <f t="shared" si="3"/>
        <v>1.0099164926931108</v>
      </c>
      <c r="Q33" s="4"/>
      <c r="R33" s="14"/>
      <c r="S33" s="15"/>
      <c r="T33" s="15"/>
      <c r="U33" s="4"/>
      <c r="V33" s="16"/>
      <c r="W33" s="17">
        <v>6.4000000000000001E-2</v>
      </c>
      <c r="X33" s="14">
        <f t="shared" si="4"/>
        <v>6.4087596711998901E-2</v>
      </c>
      <c r="Y33" s="14">
        <f t="shared" si="5"/>
        <v>0.11470786693528087</v>
      </c>
      <c r="Z33" s="17">
        <f t="shared" si="10"/>
        <v>76.000000000000014</v>
      </c>
      <c r="AA33" s="14">
        <f t="shared" si="27"/>
        <v>1.062913198349094E-2</v>
      </c>
      <c r="AB33" s="14">
        <f t="shared" si="6"/>
        <v>0.22503719846835524</v>
      </c>
      <c r="AC33" s="17">
        <f t="shared" si="12"/>
        <v>19.746556620809134</v>
      </c>
    </row>
    <row r="34" spans="1:29" ht="14.4" x14ac:dyDescent="0.3">
      <c r="A34" s="10">
        <f t="shared" si="7"/>
        <v>33</v>
      </c>
      <c r="B34" s="9" t="s">
        <v>82</v>
      </c>
      <c r="C34" s="9">
        <v>4</v>
      </c>
      <c r="D34" s="9" t="s">
        <v>84</v>
      </c>
      <c r="E34" s="9" t="s">
        <v>83</v>
      </c>
      <c r="F34" s="9" t="s">
        <v>59</v>
      </c>
      <c r="G34" s="9" t="s">
        <v>40</v>
      </c>
      <c r="H34" s="9">
        <v>108</v>
      </c>
      <c r="I34" s="10">
        <f>H34/2</f>
        <v>54</v>
      </c>
      <c r="J34" s="10">
        <v>37.9</v>
      </c>
      <c r="K34" s="13">
        <v>17.29</v>
      </c>
      <c r="L34" s="10">
        <f>H34/2</f>
        <v>54</v>
      </c>
      <c r="M34" s="10">
        <v>36.299999999999997</v>
      </c>
      <c r="N34" s="13">
        <v>19.91</v>
      </c>
      <c r="O34" s="12">
        <f t="shared" si="26"/>
        <v>18.646074653931855</v>
      </c>
      <c r="P34" s="14">
        <f t="shared" si="3"/>
        <v>0.95778364116094983</v>
      </c>
      <c r="Q34" s="4"/>
      <c r="R34" s="14"/>
      <c r="S34" s="15"/>
      <c r="T34" s="15"/>
      <c r="U34" s="4"/>
      <c r="V34" s="16"/>
      <c r="W34" s="17">
        <v>2.5999999999999999E-2</v>
      </c>
      <c r="X34" s="14">
        <f t="shared" si="4"/>
        <v>2.6005861044089879E-2</v>
      </c>
      <c r="Y34" s="14">
        <f t="shared" si="5"/>
        <v>9.7590007294853329E-2</v>
      </c>
      <c r="Z34" s="17">
        <f t="shared" si="10"/>
        <v>104.99999999999997</v>
      </c>
      <c r="AA34" s="14">
        <f t="shared" si="27"/>
        <v>-8.5808945297910902E-2</v>
      </c>
      <c r="AB34" s="14">
        <f t="shared" si="6"/>
        <v>0.19253863459216797</v>
      </c>
      <c r="AC34" s="17">
        <f t="shared" si="12"/>
        <v>26.975172135549798</v>
      </c>
    </row>
    <row r="35" spans="1:29" ht="14.4" x14ac:dyDescent="0.3">
      <c r="A35" s="10">
        <f t="shared" si="7"/>
        <v>34</v>
      </c>
      <c r="B35" s="10" t="s">
        <v>111</v>
      </c>
      <c r="C35" s="10">
        <v>1</v>
      </c>
      <c r="D35" s="10" t="s">
        <v>37</v>
      </c>
      <c r="E35" s="10" t="s">
        <v>43</v>
      </c>
      <c r="F35" s="10" t="s">
        <v>59</v>
      </c>
      <c r="G35" s="10" t="s">
        <v>53</v>
      </c>
      <c r="H35" s="10">
        <f>SUM(I35,L35)</f>
        <v>35</v>
      </c>
      <c r="I35" s="10">
        <v>17</v>
      </c>
      <c r="J35" s="13">
        <v>87.275000000000006</v>
      </c>
      <c r="K35" s="12"/>
      <c r="L35" s="10">
        <v>18</v>
      </c>
      <c r="M35" s="10">
        <v>127.19</v>
      </c>
      <c r="N35" s="12"/>
      <c r="O35" s="12">
        <f>ABS((M35-J35)/AA35)</f>
        <v>52.059154440569039</v>
      </c>
      <c r="P35" s="14">
        <f t="shared" si="3"/>
        <v>1.457347464909768</v>
      </c>
      <c r="Q35" s="4"/>
      <c r="R35" s="14"/>
      <c r="S35" s="18">
        <v>2.2679999999999998</v>
      </c>
      <c r="T35" s="15">
        <v>1.1664603339999999E-2</v>
      </c>
      <c r="U35" s="4"/>
      <c r="V35" s="16"/>
      <c r="W35" s="14">
        <f>AA35/SQRT(AA35^2+4)</f>
        <v>0.35795932482871512</v>
      </c>
      <c r="X35" s="14">
        <f t="shared" si="4"/>
        <v>0.37454334838041414</v>
      </c>
      <c r="Y35" s="14">
        <f t="shared" si="5"/>
        <v>0.17677669529663687</v>
      </c>
      <c r="Z35" s="17">
        <f t="shared" si="10"/>
        <v>32.000000000000007</v>
      </c>
      <c r="AA35" s="14">
        <f>2*S35/SQRT(H35)</f>
        <v>0.7667239398897101</v>
      </c>
      <c r="AB35" s="14">
        <f t="shared" si="6"/>
        <v>0.35039572624009024</v>
      </c>
      <c r="AC35" s="17">
        <f t="shared" si="12"/>
        <v>8.1448370327346371</v>
      </c>
    </row>
    <row r="36" spans="1:29" ht="14.4" x14ac:dyDescent="0.3">
      <c r="A36" s="10">
        <f t="shared" si="7"/>
        <v>35</v>
      </c>
      <c r="B36" s="10" t="s">
        <v>112</v>
      </c>
      <c r="C36" s="10">
        <v>1</v>
      </c>
      <c r="D36" s="10" t="s">
        <v>37</v>
      </c>
      <c r="E36" s="10" t="s">
        <v>38</v>
      </c>
      <c r="F36" s="10" t="s">
        <v>41</v>
      </c>
      <c r="G36" s="10" t="s">
        <v>53</v>
      </c>
      <c r="H36" s="10">
        <v>351</v>
      </c>
      <c r="I36" s="10">
        <f t="shared" ref="I36:I38" si="28">H36/2</f>
        <v>175.5</v>
      </c>
      <c r="J36" s="4"/>
      <c r="K36" s="12"/>
      <c r="L36" s="10">
        <f t="shared" ref="L36:L38" si="29">H36/2</f>
        <v>175.5</v>
      </c>
      <c r="M36" s="4"/>
      <c r="N36" s="12"/>
      <c r="O36" s="12"/>
      <c r="P36" s="4"/>
      <c r="Q36" s="4"/>
      <c r="R36" s="14"/>
      <c r="S36" s="15"/>
      <c r="T36" s="15"/>
      <c r="U36" s="4"/>
      <c r="V36" s="16"/>
      <c r="W36" s="17">
        <v>2.4E-2</v>
      </c>
      <c r="X36" s="14">
        <f t="shared" si="4"/>
        <v>2.4004609593180331E-2</v>
      </c>
      <c r="Y36" s="14">
        <f t="shared" si="5"/>
        <v>5.3605626741889741E-2</v>
      </c>
      <c r="Z36" s="17">
        <f t="shared" si="10"/>
        <v>348</v>
      </c>
      <c r="AA36" s="14">
        <f t="shared" ref="AA36:AA38" si="30">2*W36/SQRT(1-W36^2)</f>
        <v>4.8013829974835991E-2</v>
      </c>
      <c r="AB36" s="14">
        <f t="shared" si="6"/>
        <v>0.10676748259111722</v>
      </c>
      <c r="AC36" s="17">
        <f t="shared" si="12"/>
        <v>87.724720719567244</v>
      </c>
    </row>
    <row r="37" spans="1:29" ht="14.4" x14ac:dyDescent="0.3">
      <c r="A37" s="10">
        <f t="shared" si="7"/>
        <v>36</v>
      </c>
      <c r="B37" s="10" t="s">
        <v>112</v>
      </c>
      <c r="C37" s="10">
        <v>2</v>
      </c>
      <c r="D37" s="10" t="s">
        <v>37</v>
      </c>
      <c r="E37" s="10" t="s">
        <v>38</v>
      </c>
      <c r="F37" s="10" t="s">
        <v>41</v>
      </c>
      <c r="G37" s="10" t="s">
        <v>53</v>
      </c>
      <c r="H37" s="10">
        <v>356</v>
      </c>
      <c r="I37" s="10">
        <f t="shared" si="28"/>
        <v>178</v>
      </c>
      <c r="J37" s="4"/>
      <c r="K37" s="12"/>
      <c r="L37" s="10">
        <f t="shared" si="29"/>
        <v>178</v>
      </c>
      <c r="M37" s="4"/>
      <c r="N37" s="12"/>
      <c r="O37" s="12"/>
      <c r="P37" s="4"/>
      <c r="Q37" s="4"/>
      <c r="R37" s="14"/>
      <c r="S37" s="15"/>
      <c r="T37" s="15"/>
      <c r="U37" s="4"/>
      <c r="V37" s="16"/>
      <c r="W37" s="17">
        <v>0.10199999999999999</v>
      </c>
      <c r="X37" s="14">
        <f t="shared" si="4"/>
        <v>0.10235596070533017</v>
      </c>
      <c r="Y37" s="14">
        <f t="shared" si="5"/>
        <v>5.3224629541234948E-2</v>
      </c>
      <c r="Z37" s="17">
        <f t="shared" si="10"/>
        <v>353</v>
      </c>
      <c r="AA37" s="14">
        <f t="shared" si="30"/>
        <v>0.20506956105862315</v>
      </c>
      <c r="AB37" s="14">
        <f t="shared" si="6"/>
        <v>0.10627802687106978</v>
      </c>
      <c r="AC37" s="17">
        <f t="shared" si="12"/>
        <v>88.534600994372738</v>
      </c>
    </row>
    <row r="38" spans="1:29" ht="14.4" x14ac:dyDescent="0.3">
      <c r="A38" s="10">
        <f t="shared" si="7"/>
        <v>37</v>
      </c>
      <c r="B38" s="10" t="s">
        <v>112</v>
      </c>
      <c r="C38" s="10">
        <v>3</v>
      </c>
      <c r="D38" s="10" t="s">
        <v>37</v>
      </c>
      <c r="E38" s="10" t="s">
        <v>38</v>
      </c>
      <c r="F38" s="10" t="s">
        <v>41</v>
      </c>
      <c r="G38" s="10" t="s">
        <v>53</v>
      </c>
      <c r="H38" s="10">
        <v>351</v>
      </c>
      <c r="I38" s="10">
        <f t="shared" si="28"/>
        <v>175.5</v>
      </c>
      <c r="J38" s="4"/>
      <c r="K38" s="12"/>
      <c r="L38" s="10">
        <f t="shared" si="29"/>
        <v>175.5</v>
      </c>
      <c r="M38" s="4"/>
      <c r="N38" s="12"/>
      <c r="O38" s="4"/>
      <c r="P38" s="4"/>
      <c r="Q38" s="4"/>
      <c r="R38" s="14"/>
      <c r="S38" s="15"/>
      <c r="T38" s="15"/>
      <c r="U38" s="4"/>
      <c r="V38" s="16"/>
      <c r="W38" s="17">
        <v>0.26200000000000001</v>
      </c>
      <c r="X38" s="14">
        <f t="shared" si="4"/>
        <v>0.268254609250343</v>
      </c>
      <c r="Y38" s="14">
        <f t="shared" si="5"/>
        <v>5.3605626741889741E-2</v>
      </c>
      <c r="Z38" s="17">
        <f t="shared" si="10"/>
        <v>348</v>
      </c>
      <c r="AA38" s="14">
        <f t="shared" si="30"/>
        <v>0.54296699177180985</v>
      </c>
      <c r="AB38" s="14">
        <f t="shared" si="6"/>
        <v>0.10870130244879839</v>
      </c>
      <c r="AC38" s="17">
        <f t="shared" si="12"/>
        <v>84.631201083590994</v>
      </c>
    </row>
    <row r="39" spans="1:29" ht="14.4" x14ac:dyDescent="0.3">
      <c r="A39" s="10">
        <f t="shared" si="7"/>
        <v>38</v>
      </c>
      <c r="B39" s="10" t="s">
        <v>86</v>
      </c>
      <c r="C39" s="9" t="s">
        <v>52</v>
      </c>
      <c r="D39" s="9" t="s">
        <v>37</v>
      </c>
      <c r="E39" s="9" t="s">
        <v>43</v>
      </c>
      <c r="F39" s="10" t="s">
        <v>59</v>
      </c>
      <c r="G39" s="9" t="s">
        <v>40</v>
      </c>
      <c r="H39" s="10">
        <f t="shared" ref="H39:H75" si="31">SUM(I39,L39)</f>
        <v>180</v>
      </c>
      <c r="I39" s="10">
        <v>90</v>
      </c>
      <c r="J39" s="10">
        <v>4.67</v>
      </c>
      <c r="K39" s="13">
        <v>3.09</v>
      </c>
      <c r="L39" s="10">
        <v>90</v>
      </c>
      <c r="M39" s="10">
        <v>5.43</v>
      </c>
      <c r="N39" s="13">
        <v>3.47</v>
      </c>
      <c r="O39" s="12">
        <f t="shared" ref="O39:O77" si="32">SQRT( ((I39-1)*K39^2+(L39-1)*N39^2)/ (H39-2) )</f>
        <v>3.2854984401152896</v>
      </c>
      <c r="P39" s="14">
        <f t="shared" ref="P39:P119" si="33">M39/J39</f>
        <v>1.1627408993576016</v>
      </c>
      <c r="Q39" s="4"/>
      <c r="R39" s="14"/>
      <c r="S39" s="18"/>
      <c r="T39" s="15"/>
      <c r="U39" s="4"/>
      <c r="V39" s="16"/>
      <c r="W39" s="14">
        <f t="shared" ref="W39:W99" si="34">AA39/SQRT(AA39^2+4)</f>
        <v>0.11489384682389585</v>
      </c>
      <c r="X39" s="14">
        <f t="shared" si="4"/>
        <v>0.11540344490661406</v>
      </c>
      <c r="Y39" s="14">
        <f t="shared" si="5"/>
        <v>7.5164602800282893E-2</v>
      </c>
      <c r="Z39" s="17">
        <f t="shared" si="10"/>
        <v>176.99999999999997</v>
      </c>
      <c r="AA39" s="14">
        <f t="shared" ref="AA39:AA99" si="35">(M39-J39)/O39</f>
        <v>0.23131954370166466</v>
      </c>
      <c r="AB39" s="14">
        <f t="shared" si="6"/>
        <v>0.14956890581581403</v>
      </c>
      <c r="AC39" s="17">
        <f t="shared" si="12"/>
        <v>44.701013187076121</v>
      </c>
    </row>
    <row r="40" spans="1:29" ht="14.4" x14ac:dyDescent="0.3">
      <c r="A40" s="10">
        <f t="shared" si="7"/>
        <v>39</v>
      </c>
      <c r="B40" s="10" t="s">
        <v>86</v>
      </c>
      <c r="C40" s="9" t="s">
        <v>55</v>
      </c>
      <c r="D40" s="9" t="s">
        <v>37</v>
      </c>
      <c r="E40" s="9" t="s">
        <v>43</v>
      </c>
      <c r="F40" s="10" t="s">
        <v>41</v>
      </c>
      <c r="G40" s="9" t="s">
        <v>40</v>
      </c>
      <c r="H40" s="10">
        <f t="shared" si="31"/>
        <v>200</v>
      </c>
      <c r="I40" s="10">
        <v>100</v>
      </c>
      <c r="J40" s="10">
        <v>1.41</v>
      </c>
      <c r="K40" s="13">
        <v>1.78</v>
      </c>
      <c r="L40" s="10">
        <v>100</v>
      </c>
      <c r="M40" s="10">
        <v>1.53</v>
      </c>
      <c r="N40" s="13">
        <v>1.89</v>
      </c>
      <c r="O40" s="12">
        <f t="shared" si="32"/>
        <v>1.8358240656446358</v>
      </c>
      <c r="P40" s="14">
        <f t="shared" si="33"/>
        <v>1.0851063829787235</v>
      </c>
      <c r="Q40" s="4"/>
      <c r="R40" s="14"/>
      <c r="S40" s="18"/>
      <c r="T40" s="15"/>
      <c r="U40" s="4"/>
      <c r="V40" s="16"/>
      <c r="W40" s="14">
        <f t="shared" si="34"/>
        <v>3.266542893248979E-2</v>
      </c>
      <c r="X40" s="14">
        <f t="shared" si="4"/>
        <v>3.2677054710002824E-2</v>
      </c>
      <c r="Y40" s="14">
        <f t="shared" si="5"/>
        <v>7.124704998790965E-2</v>
      </c>
      <c r="Z40" s="17">
        <f t="shared" si="10"/>
        <v>196.99999999999994</v>
      </c>
      <c r="AA40" s="14">
        <f t="shared" si="35"/>
        <v>6.5365740784023879E-2</v>
      </c>
      <c r="AB40" s="14">
        <f t="shared" si="6"/>
        <v>0.14145911670928321</v>
      </c>
      <c r="AC40" s="17">
        <f t="shared" si="12"/>
        <v>49.97331000430006</v>
      </c>
    </row>
    <row r="41" spans="1:29" ht="14.4" x14ac:dyDescent="0.3">
      <c r="A41" s="10">
        <f t="shared" si="7"/>
        <v>40</v>
      </c>
      <c r="B41" s="10" t="s">
        <v>86</v>
      </c>
      <c r="C41" s="9" t="s">
        <v>62</v>
      </c>
      <c r="D41" s="9" t="s">
        <v>37</v>
      </c>
      <c r="E41" s="9" t="s">
        <v>43</v>
      </c>
      <c r="F41" s="10" t="s">
        <v>59</v>
      </c>
      <c r="G41" s="9" t="s">
        <v>40</v>
      </c>
      <c r="H41" s="10">
        <f t="shared" si="31"/>
        <v>90</v>
      </c>
      <c r="I41" s="10">
        <v>45</v>
      </c>
      <c r="J41" s="10">
        <v>5.12</v>
      </c>
      <c r="K41" s="13">
        <v>3.01</v>
      </c>
      <c r="L41" s="10">
        <v>45</v>
      </c>
      <c r="M41" s="10">
        <v>5.43</v>
      </c>
      <c r="N41" s="13">
        <v>3.09</v>
      </c>
      <c r="O41" s="12">
        <f t="shared" si="32"/>
        <v>3.0502622838044595</v>
      </c>
      <c r="P41" s="14">
        <f t="shared" si="33"/>
        <v>1.060546875</v>
      </c>
      <c r="Q41" s="4"/>
      <c r="R41" s="14"/>
      <c r="S41" s="18"/>
      <c r="T41" s="15"/>
      <c r="U41" s="4"/>
      <c r="V41" s="16"/>
      <c r="W41" s="14">
        <f t="shared" si="34"/>
        <v>5.074982156234354E-2</v>
      </c>
      <c r="X41" s="14">
        <f t="shared" si="4"/>
        <v>5.0793458488238317E-2</v>
      </c>
      <c r="Y41" s="14">
        <f t="shared" si="5"/>
        <v>0.10721125348377948</v>
      </c>
      <c r="Z41" s="17">
        <f t="shared" si="10"/>
        <v>87</v>
      </c>
      <c r="AA41" s="14">
        <f t="shared" si="35"/>
        <v>0.1016306045699618</v>
      </c>
      <c r="AB41" s="14">
        <f t="shared" si="6"/>
        <v>0.21095456040190869</v>
      </c>
      <c r="AC41" s="17">
        <f t="shared" si="12"/>
        <v>22.470987764477936</v>
      </c>
    </row>
    <row r="42" spans="1:29" ht="14.4" x14ac:dyDescent="0.3">
      <c r="A42" s="10">
        <f t="shared" si="7"/>
        <v>41</v>
      </c>
      <c r="B42" s="10" t="s">
        <v>86</v>
      </c>
      <c r="C42" s="9" t="s">
        <v>63</v>
      </c>
      <c r="D42" s="9" t="s">
        <v>37</v>
      </c>
      <c r="E42" s="9" t="s">
        <v>43</v>
      </c>
      <c r="F42" s="10" t="s">
        <v>41</v>
      </c>
      <c r="G42" s="9" t="s">
        <v>40</v>
      </c>
      <c r="H42" s="10">
        <f t="shared" si="31"/>
        <v>100</v>
      </c>
      <c r="I42" s="10">
        <v>50</v>
      </c>
      <c r="J42" s="10">
        <v>1.22</v>
      </c>
      <c r="K42" s="13">
        <v>1.74</v>
      </c>
      <c r="L42" s="10">
        <v>50</v>
      </c>
      <c r="M42" s="10">
        <v>1.32</v>
      </c>
      <c r="N42" s="13">
        <v>1.92</v>
      </c>
      <c r="O42" s="12">
        <f t="shared" si="32"/>
        <v>1.8322117781522964</v>
      </c>
      <c r="P42" s="14">
        <f t="shared" si="33"/>
        <v>1.0819672131147542</v>
      </c>
      <c r="Q42" s="4"/>
      <c r="R42" s="14"/>
      <c r="S42" s="18"/>
      <c r="T42" s="15"/>
      <c r="U42" s="4"/>
      <c r="V42" s="16"/>
      <c r="W42" s="14">
        <f t="shared" si="34"/>
        <v>2.7279266062310938E-2</v>
      </c>
      <c r="X42" s="14">
        <f t="shared" si="4"/>
        <v>2.7286035783151464E-2</v>
      </c>
      <c r="Y42" s="14">
        <f t="shared" si="5"/>
        <v>0.10153461651336192</v>
      </c>
      <c r="Z42" s="17">
        <f t="shared" si="10"/>
        <v>96.999999999999972</v>
      </c>
      <c r="AA42" s="14">
        <f t="shared" si="35"/>
        <v>5.4578843555326127E-2</v>
      </c>
      <c r="AB42" s="14">
        <f t="shared" si="6"/>
        <v>0.20003723216146335</v>
      </c>
      <c r="AC42" s="17">
        <f t="shared" si="12"/>
        <v>24.990694558177619</v>
      </c>
    </row>
    <row r="43" spans="1:29" ht="14.4" x14ac:dyDescent="0.3">
      <c r="A43" s="10">
        <f t="shared" si="7"/>
        <v>42</v>
      </c>
      <c r="B43" s="10" t="s">
        <v>86</v>
      </c>
      <c r="C43" s="10" t="s">
        <v>67</v>
      </c>
      <c r="D43" s="10" t="s">
        <v>37</v>
      </c>
      <c r="E43" s="10" t="s">
        <v>43</v>
      </c>
      <c r="F43" s="10" t="s">
        <v>59</v>
      </c>
      <c r="G43" s="10" t="s">
        <v>40</v>
      </c>
      <c r="H43" s="10">
        <f t="shared" si="31"/>
        <v>90</v>
      </c>
      <c r="I43" s="10">
        <v>45</v>
      </c>
      <c r="J43" s="10">
        <v>4.24</v>
      </c>
      <c r="K43" s="13">
        <v>2.97</v>
      </c>
      <c r="L43" s="10">
        <v>45</v>
      </c>
      <c r="M43" s="10">
        <v>4.29</v>
      </c>
      <c r="N43" s="13">
        <v>2.96</v>
      </c>
      <c r="O43" s="12">
        <f t="shared" si="32"/>
        <v>2.9650042158486052</v>
      </c>
      <c r="P43" s="14">
        <f t="shared" si="33"/>
        <v>1.0117924528301887</v>
      </c>
      <c r="Q43" s="4"/>
      <c r="R43" s="14"/>
      <c r="S43" s="15"/>
      <c r="T43" s="15"/>
      <c r="U43" s="4"/>
      <c r="V43" s="16"/>
      <c r="W43" s="14">
        <f t="shared" si="34"/>
        <v>8.4313915123782127E-3</v>
      </c>
      <c r="X43" s="14">
        <f t="shared" si="4"/>
        <v>8.4315913121733223E-3</v>
      </c>
      <c r="Y43" s="14">
        <f t="shared" si="5"/>
        <v>0.10721125348377948</v>
      </c>
      <c r="Z43" s="17">
        <f t="shared" si="10"/>
        <v>87</v>
      </c>
      <c r="AA43" s="14">
        <f t="shared" si="35"/>
        <v>1.6863382430533733E-2</v>
      </c>
      <c r="AB43" s="14">
        <f t="shared" si="6"/>
        <v>0.21082225759665413</v>
      </c>
      <c r="AC43" s="17">
        <f t="shared" si="12"/>
        <v>22.499200227490846</v>
      </c>
    </row>
    <row r="44" spans="1:29" ht="14.4" x14ac:dyDescent="0.3">
      <c r="A44" s="10">
        <f t="shared" si="7"/>
        <v>43</v>
      </c>
      <c r="B44" s="10" t="s">
        <v>86</v>
      </c>
      <c r="C44" s="10" t="s">
        <v>69</v>
      </c>
      <c r="D44" s="10" t="s">
        <v>37</v>
      </c>
      <c r="E44" s="10" t="s">
        <v>43</v>
      </c>
      <c r="F44" s="10" t="s">
        <v>41</v>
      </c>
      <c r="G44" s="10" t="s">
        <v>40</v>
      </c>
      <c r="H44" s="10">
        <f t="shared" si="31"/>
        <v>100</v>
      </c>
      <c r="I44" s="10">
        <v>50</v>
      </c>
      <c r="J44" s="10">
        <v>1.28</v>
      </c>
      <c r="K44" s="13">
        <v>1.48</v>
      </c>
      <c r="L44" s="10">
        <v>50</v>
      </c>
      <c r="M44" s="10">
        <v>1.36</v>
      </c>
      <c r="N44" s="13">
        <v>1.65</v>
      </c>
      <c r="O44" s="12">
        <f t="shared" si="32"/>
        <v>1.5673066068896666</v>
      </c>
      <c r="P44" s="14">
        <f t="shared" si="33"/>
        <v>1.0625</v>
      </c>
      <c r="Q44" s="4"/>
      <c r="R44" s="14"/>
      <c r="S44" s="15"/>
      <c r="T44" s="15"/>
      <c r="U44" s="4"/>
      <c r="V44" s="16"/>
      <c r="W44" s="14">
        <f t="shared" si="34"/>
        <v>2.5513182459289432E-2</v>
      </c>
      <c r="X44" s="14">
        <f t="shared" si="4"/>
        <v>2.5518720323608812E-2</v>
      </c>
      <c r="Y44" s="14">
        <f t="shared" si="5"/>
        <v>0.10153461651336192</v>
      </c>
      <c r="Z44" s="17">
        <f t="shared" si="10"/>
        <v>96.999999999999972</v>
      </c>
      <c r="AA44" s="14">
        <f t="shared" si="35"/>
        <v>5.1042980134410811E-2</v>
      </c>
      <c r="AB44" s="14">
        <f t="shared" si="6"/>
        <v>0.20003256467161792</v>
      </c>
      <c r="AC44" s="17">
        <f t="shared" si="12"/>
        <v>24.991860820022385</v>
      </c>
    </row>
    <row r="45" spans="1:29" ht="14.4" x14ac:dyDescent="0.3">
      <c r="A45" s="10">
        <f t="shared" si="7"/>
        <v>44</v>
      </c>
      <c r="B45" s="10" t="s">
        <v>86</v>
      </c>
      <c r="C45" s="10" t="s">
        <v>75</v>
      </c>
      <c r="D45" s="10" t="s">
        <v>37</v>
      </c>
      <c r="E45" s="10" t="s">
        <v>43</v>
      </c>
      <c r="F45" s="10" t="s">
        <v>59</v>
      </c>
      <c r="G45" s="10" t="s">
        <v>40</v>
      </c>
      <c r="H45" s="10">
        <f t="shared" si="31"/>
        <v>90</v>
      </c>
      <c r="I45" s="10">
        <v>45</v>
      </c>
      <c r="J45" s="10">
        <v>4.7699999999999996</v>
      </c>
      <c r="K45" s="13">
        <v>3.37</v>
      </c>
      <c r="L45" s="10">
        <v>45</v>
      </c>
      <c r="M45" s="10">
        <v>4.58</v>
      </c>
      <c r="N45" s="13">
        <v>3.36</v>
      </c>
      <c r="O45" s="12">
        <f t="shared" si="32"/>
        <v>3.3650037147082021</v>
      </c>
      <c r="P45" s="14">
        <f t="shared" si="33"/>
        <v>0.9601677148846961</v>
      </c>
      <c r="Q45" s="4"/>
      <c r="R45" s="14"/>
      <c r="S45" s="15"/>
      <c r="T45" s="15"/>
      <c r="U45" s="4"/>
      <c r="V45" s="16"/>
      <c r="W45" s="14">
        <f t="shared" si="34"/>
        <v>-2.8220522655001256E-2</v>
      </c>
      <c r="X45" s="14">
        <f t="shared" si="4"/>
        <v>-2.8228017825126298E-2</v>
      </c>
      <c r="Y45" s="14">
        <f t="shared" si="5"/>
        <v>0.10721125348377948</v>
      </c>
      <c r="Z45" s="17">
        <f t="shared" si="10"/>
        <v>87</v>
      </c>
      <c r="AA45" s="14">
        <f t="shared" si="35"/>
        <v>-5.6463533508008458E-2</v>
      </c>
      <c r="AB45" s="14">
        <f t="shared" si="6"/>
        <v>0.21086051380284829</v>
      </c>
      <c r="AC45" s="17">
        <f t="shared" si="12"/>
        <v>22.491036954561853</v>
      </c>
    </row>
    <row r="46" spans="1:29" ht="14.4" x14ac:dyDescent="0.3">
      <c r="A46" s="10">
        <f t="shared" si="7"/>
        <v>45</v>
      </c>
      <c r="B46" s="10" t="s">
        <v>86</v>
      </c>
      <c r="C46" s="10" t="s">
        <v>77</v>
      </c>
      <c r="D46" s="10" t="s">
        <v>37</v>
      </c>
      <c r="E46" s="10" t="s">
        <v>43</v>
      </c>
      <c r="F46" s="10" t="s">
        <v>41</v>
      </c>
      <c r="G46" s="10" t="s">
        <v>40</v>
      </c>
      <c r="H46" s="10">
        <f t="shared" si="31"/>
        <v>100</v>
      </c>
      <c r="I46" s="10">
        <v>50</v>
      </c>
      <c r="J46" s="10">
        <v>1.2</v>
      </c>
      <c r="K46" s="13">
        <v>1.5</v>
      </c>
      <c r="L46" s="10">
        <v>50</v>
      </c>
      <c r="M46" s="10">
        <v>1.26</v>
      </c>
      <c r="N46" s="13">
        <v>1.59</v>
      </c>
      <c r="O46" s="12">
        <f t="shared" si="32"/>
        <v>1.5456552008776085</v>
      </c>
      <c r="P46" s="14">
        <f t="shared" si="33"/>
        <v>1.05</v>
      </c>
      <c r="Q46" s="4"/>
      <c r="R46" s="14"/>
      <c r="S46" s="15"/>
      <c r="T46" s="15"/>
      <c r="U46" s="4"/>
      <c r="V46" s="16"/>
      <c r="W46" s="14">
        <f t="shared" si="34"/>
        <v>1.9405589808997297E-2</v>
      </c>
      <c r="X46" s="14">
        <f t="shared" si="4"/>
        <v>1.9408026258580853E-2</v>
      </c>
      <c r="Y46" s="14">
        <f t="shared" si="5"/>
        <v>0.10153461651336192</v>
      </c>
      <c r="Z46" s="17">
        <f t="shared" si="10"/>
        <v>96.999999999999972</v>
      </c>
      <c r="AA46" s="14">
        <f t="shared" si="35"/>
        <v>3.8818489379735283E-2</v>
      </c>
      <c r="AB46" s="14">
        <f t="shared" si="6"/>
        <v>0.2000188350520736</v>
      </c>
      <c r="AC46" s="17">
        <f t="shared" si="12"/>
        <v>24.99529190207156</v>
      </c>
    </row>
    <row r="47" spans="1:29" ht="14.4" x14ac:dyDescent="0.3">
      <c r="A47" s="10">
        <f t="shared" si="7"/>
        <v>46</v>
      </c>
      <c r="B47" s="10" t="s">
        <v>86</v>
      </c>
      <c r="C47" s="10" t="s">
        <v>113</v>
      </c>
      <c r="D47" s="10" t="s">
        <v>37</v>
      </c>
      <c r="E47" s="10" t="s">
        <v>43</v>
      </c>
      <c r="F47" s="10" t="s">
        <v>59</v>
      </c>
      <c r="G47" s="10" t="s">
        <v>40</v>
      </c>
      <c r="H47" s="10">
        <f t="shared" si="31"/>
        <v>90</v>
      </c>
      <c r="I47" s="10">
        <v>45</v>
      </c>
      <c r="J47" s="10">
        <v>4.7699999999999996</v>
      </c>
      <c r="K47" s="13">
        <v>3.45</v>
      </c>
      <c r="L47" s="10">
        <v>45</v>
      </c>
      <c r="M47" s="10">
        <v>5.66</v>
      </c>
      <c r="N47" s="13">
        <v>3.72</v>
      </c>
      <c r="O47" s="12">
        <f t="shared" si="32"/>
        <v>3.5875409405329441</v>
      </c>
      <c r="P47" s="14">
        <f t="shared" si="33"/>
        <v>1.1865828092243187</v>
      </c>
      <c r="Q47" s="4"/>
      <c r="R47" s="14"/>
      <c r="S47" s="15"/>
      <c r="T47" s="15"/>
      <c r="U47" s="4"/>
      <c r="V47" s="16"/>
      <c r="W47" s="14">
        <f t="shared" si="34"/>
        <v>0.12309702449609863</v>
      </c>
      <c r="X47" s="14">
        <f t="shared" si="4"/>
        <v>0.12372449730565298</v>
      </c>
      <c r="Y47" s="14">
        <f t="shared" si="5"/>
        <v>0.10721125348377948</v>
      </c>
      <c r="Z47" s="17">
        <f t="shared" si="10"/>
        <v>87</v>
      </c>
      <c r="AA47" s="14">
        <f t="shared" si="35"/>
        <v>0.24808079259655427</v>
      </c>
      <c r="AB47" s="14">
        <f t="shared" si="6"/>
        <v>0.21162787150582316</v>
      </c>
      <c r="AC47" s="17">
        <f t="shared" si="12"/>
        <v>22.328228714181481</v>
      </c>
    </row>
    <row r="48" spans="1:29" ht="14.4" x14ac:dyDescent="0.3">
      <c r="A48" s="10">
        <f t="shared" si="7"/>
        <v>47</v>
      </c>
      <c r="B48" s="10" t="s">
        <v>86</v>
      </c>
      <c r="C48" s="10" t="s">
        <v>114</v>
      </c>
      <c r="D48" s="10" t="s">
        <v>37</v>
      </c>
      <c r="E48" s="10" t="s">
        <v>43</v>
      </c>
      <c r="F48" s="10" t="s">
        <v>41</v>
      </c>
      <c r="G48" s="10" t="s">
        <v>40</v>
      </c>
      <c r="H48" s="10">
        <f t="shared" si="31"/>
        <v>100</v>
      </c>
      <c r="I48" s="10">
        <v>50</v>
      </c>
      <c r="J48" s="10">
        <v>1.31</v>
      </c>
      <c r="K48" s="13">
        <v>1.33</v>
      </c>
      <c r="L48" s="10">
        <v>50</v>
      </c>
      <c r="M48" s="10">
        <v>1.47</v>
      </c>
      <c r="N48" s="13">
        <v>1.48</v>
      </c>
      <c r="O48" s="12">
        <f t="shared" si="32"/>
        <v>1.407000355365982</v>
      </c>
      <c r="P48" s="14">
        <f t="shared" si="33"/>
        <v>1.1221374045801527</v>
      </c>
      <c r="Q48" s="4"/>
      <c r="R48" s="14"/>
      <c r="S48" s="15"/>
      <c r="T48" s="15"/>
      <c r="U48" s="4"/>
      <c r="V48" s="16"/>
      <c r="W48" s="14">
        <f t="shared" si="34"/>
        <v>5.6766863358029336E-2</v>
      </c>
      <c r="X48" s="14">
        <f t="shared" si="4"/>
        <v>5.6827958160484096E-2</v>
      </c>
      <c r="Y48" s="14">
        <f t="shared" si="5"/>
        <v>0.10153461651336192</v>
      </c>
      <c r="Z48" s="17">
        <f t="shared" si="10"/>
        <v>96.999999999999972</v>
      </c>
      <c r="AA48" s="14">
        <f t="shared" si="35"/>
        <v>0.11371709992097444</v>
      </c>
      <c r="AB48" s="14">
        <f t="shared" si="6"/>
        <v>0.20016157946537139</v>
      </c>
      <c r="AC48" s="17">
        <f t="shared" si="12"/>
        <v>24.959654033335855</v>
      </c>
    </row>
    <row r="49" spans="1:29" ht="14.4" x14ac:dyDescent="0.3">
      <c r="A49" s="10">
        <f t="shared" si="7"/>
        <v>48</v>
      </c>
      <c r="B49" s="10" t="s">
        <v>86</v>
      </c>
      <c r="C49" s="10" t="s">
        <v>96</v>
      </c>
      <c r="D49" s="10" t="s">
        <v>37</v>
      </c>
      <c r="E49" s="10" t="s">
        <v>43</v>
      </c>
      <c r="F49" s="10" t="s">
        <v>59</v>
      </c>
      <c r="G49" s="10" t="s">
        <v>40</v>
      </c>
      <c r="H49" s="10">
        <f t="shared" si="31"/>
        <v>90</v>
      </c>
      <c r="I49" s="10">
        <v>45</v>
      </c>
      <c r="J49" s="10">
        <v>4.42</v>
      </c>
      <c r="K49" s="13">
        <v>2.65</v>
      </c>
      <c r="L49" s="10">
        <v>45</v>
      </c>
      <c r="M49" s="10">
        <v>5.37</v>
      </c>
      <c r="N49" s="13">
        <v>3.06</v>
      </c>
      <c r="O49" s="12">
        <f t="shared" si="32"/>
        <v>2.862350432773737</v>
      </c>
      <c r="P49" s="14">
        <f t="shared" si="33"/>
        <v>1.2149321266968327</v>
      </c>
      <c r="Q49" s="4"/>
      <c r="R49" s="14"/>
      <c r="S49" s="15"/>
      <c r="T49" s="15"/>
      <c r="U49" s="4"/>
      <c r="V49" s="16"/>
      <c r="W49" s="14">
        <f t="shared" si="34"/>
        <v>0.16370869162556836</v>
      </c>
      <c r="X49" s="14">
        <f t="shared" si="4"/>
        <v>0.16519516233085177</v>
      </c>
      <c r="Y49" s="14">
        <f t="shared" si="5"/>
        <v>0.10721125348377948</v>
      </c>
      <c r="Z49" s="17">
        <f t="shared" si="10"/>
        <v>87</v>
      </c>
      <c r="AA49" s="14">
        <f t="shared" si="35"/>
        <v>0.33189507096075954</v>
      </c>
      <c r="AB49" s="14">
        <f t="shared" si="6"/>
        <v>0.21226495940121692</v>
      </c>
      <c r="AC49" s="17">
        <f t="shared" si="12"/>
        <v>22.194398835762087</v>
      </c>
    </row>
    <row r="50" spans="1:29" ht="14.4" x14ac:dyDescent="0.3">
      <c r="A50" s="10">
        <f t="shared" si="7"/>
        <v>49</v>
      </c>
      <c r="B50" s="10" t="s">
        <v>86</v>
      </c>
      <c r="C50" s="10" t="s">
        <v>97</v>
      </c>
      <c r="D50" s="10" t="s">
        <v>37</v>
      </c>
      <c r="E50" s="10" t="s">
        <v>43</v>
      </c>
      <c r="F50" s="10" t="s">
        <v>41</v>
      </c>
      <c r="G50" s="10" t="s">
        <v>40</v>
      </c>
      <c r="H50" s="10">
        <f t="shared" si="31"/>
        <v>100</v>
      </c>
      <c r="I50" s="10">
        <v>50</v>
      </c>
      <c r="J50" s="10">
        <v>1.28</v>
      </c>
      <c r="K50" s="13">
        <v>1.91</v>
      </c>
      <c r="L50" s="10">
        <v>50</v>
      </c>
      <c r="M50" s="10">
        <v>1.35</v>
      </c>
      <c r="N50" s="13">
        <v>2.0499999999999998</v>
      </c>
      <c r="O50" s="12">
        <f t="shared" si="32"/>
        <v>1.9812369873389706</v>
      </c>
      <c r="P50" s="14">
        <f t="shared" si="33"/>
        <v>1.0546875</v>
      </c>
      <c r="Q50" s="4"/>
      <c r="R50" s="14"/>
      <c r="S50" s="15"/>
      <c r="T50" s="15"/>
      <c r="U50" s="4"/>
      <c r="V50" s="16"/>
      <c r="W50" s="14">
        <f t="shared" si="34"/>
        <v>1.7662975270282287E-2</v>
      </c>
      <c r="X50" s="14">
        <f t="shared" si="4"/>
        <v>1.766481244996258E-2</v>
      </c>
      <c r="Y50" s="14">
        <f t="shared" si="5"/>
        <v>0.10153461651336192</v>
      </c>
      <c r="Z50" s="17">
        <f t="shared" si="10"/>
        <v>96.999999999999972</v>
      </c>
      <c r="AA50" s="14">
        <f t="shared" si="35"/>
        <v>3.5331462337586439E-2</v>
      </c>
      <c r="AB50" s="14">
        <f t="shared" si="6"/>
        <v>0.20001560329422943</v>
      </c>
      <c r="AC50" s="17">
        <f t="shared" si="12"/>
        <v>24.996099632887894</v>
      </c>
    </row>
    <row r="51" spans="1:29" ht="14.4" x14ac:dyDescent="0.3">
      <c r="A51" s="10">
        <f t="shared" si="7"/>
        <v>50</v>
      </c>
      <c r="B51" s="10" t="s">
        <v>86</v>
      </c>
      <c r="C51" s="10" t="s">
        <v>115</v>
      </c>
      <c r="D51" s="10" t="s">
        <v>37</v>
      </c>
      <c r="E51" s="10" t="s">
        <v>43</v>
      </c>
      <c r="F51" s="10" t="s">
        <v>59</v>
      </c>
      <c r="G51" s="10" t="s">
        <v>40</v>
      </c>
      <c r="H51" s="10">
        <f t="shared" si="31"/>
        <v>90</v>
      </c>
      <c r="I51" s="10">
        <v>45</v>
      </c>
      <c r="J51" s="10">
        <v>4.67</v>
      </c>
      <c r="K51" s="13">
        <v>2.89</v>
      </c>
      <c r="L51" s="10">
        <v>45</v>
      </c>
      <c r="M51" s="10">
        <v>5.42</v>
      </c>
      <c r="N51" s="13">
        <v>3.21</v>
      </c>
      <c r="O51" s="12">
        <f t="shared" si="32"/>
        <v>3.0541938379873663</v>
      </c>
      <c r="P51" s="14">
        <f t="shared" si="33"/>
        <v>1.1605995717344755</v>
      </c>
      <c r="Q51" s="4"/>
      <c r="R51" s="14"/>
      <c r="S51" s="15"/>
      <c r="T51" s="15"/>
      <c r="U51" s="4"/>
      <c r="V51" s="16"/>
      <c r="W51" s="14">
        <f t="shared" si="34"/>
        <v>0.12186683043576853</v>
      </c>
      <c r="X51" s="14">
        <f t="shared" si="4"/>
        <v>0.12247556684506435</v>
      </c>
      <c r="Y51" s="14">
        <f t="shared" si="5"/>
        <v>0.10721125348377948</v>
      </c>
      <c r="Z51" s="17">
        <f t="shared" si="10"/>
        <v>87</v>
      </c>
      <c r="AA51" s="14">
        <f t="shared" si="35"/>
        <v>0.24556398178520009</v>
      </c>
      <c r="AB51" s="14">
        <f t="shared" si="6"/>
        <v>0.21161156328873224</v>
      </c>
      <c r="AC51" s="17">
        <f t="shared" si="12"/>
        <v>22.331670375183041</v>
      </c>
    </row>
    <row r="52" spans="1:29" ht="14.4" x14ac:dyDescent="0.3">
      <c r="A52" s="10">
        <f t="shared" si="7"/>
        <v>51</v>
      </c>
      <c r="B52" s="10" t="s">
        <v>86</v>
      </c>
      <c r="C52" s="10" t="s">
        <v>116</v>
      </c>
      <c r="D52" s="10" t="s">
        <v>37</v>
      </c>
      <c r="E52" s="10" t="s">
        <v>43</v>
      </c>
      <c r="F52" s="10" t="s">
        <v>41</v>
      </c>
      <c r="G52" s="10" t="s">
        <v>40</v>
      </c>
      <c r="H52" s="10">
        <f t="shared" si="31"/>
        <v>100</v>
      </c>
      <c r="I52" s="10">
        <v>50</v>
      </c>
      <c r="J52" s="10">
        <v>1.03</v>
      </c>
      <c r="K52" s="13">
        <v>1.01</v>
      </c>
      <c r="L52" s="10">
        <v>50</v>
      </c>
      <c r="M52" s="10">
        <v>1.27</v>
      </c>
      <c r="N52" s="13">
        <v>1.56</v>
      </c>
      <c r="O52" s="12">
        <f t="shared" si="32"/>
        <v>1.3140966478916229</v>
      </c>
      <c r="P52" s="14">
        <f t="shared" si="33"/>
        <v>1.233009708737864</v>
      </c>
      <c r="Q52" s="4"/>
      <c r="R52" s="14"/>
      <c r="S52" s="15"/>
      <c r="T52" s="15"/>
      <c r="U52" s="4"/>
      <c r="V52" s="16"/>
      <c r="W52" s="14">
        <f t="shared" si="34"/>
        <v>9.0939106185073809E-2</v>
      </c>
      <c r="X52" s="14">
        <f t="shared" si="4"/>
        <v>9.1191043883541753E-2</v>
      </c>
      <c r="Y52" s="14">
        <f t="shared" si="5"/>
        <v>0.10153461651336192</v>
      </c>
      <c r="Z52" s="17">
        <f t="shared" si="10"/>
        <v>96.999999999999972</v>
      </c>
      <c r="AA52" s="14">
        <f t="shared" si="35"/>
        <v>0.18263496858093609</v>
      </c>
      <c r="AB52" s="14">
        <f t="shared" si="6"/>
        <v>0.20041651044448108</v>
      </c>
      <c r="AC52" s="17">
        <f t="shared" si="12"/>
        <v>24.896196764799171</v>
      </c>
    </row>
    <row r="53" spans="1:29" ht="14.4" x14ac:dyDescent="0.3">
      <c r="A53" s="10">
        <f t="shared" si="7"/>
        <v>52</v>
      </c>
      <c r="B53" s="10" t="s">
        <v>86</v>
      </c>
      <c r="C53" s="10" t="s">
        <v>117</v>
      </c>
      <c r="D53" s="10" t="s">
        <v>37</v>
      </c>
      <c r="E53" s="10" t="s">
        <v>43</v>
      </c>
      <c r="F53" s="10" t="s">
        <v>59</v>
      </c>
      <c r="G53" s="10" t="s">
        <v>40</v>
      </c>
      <c r="H53" s="10">
        <f t="shared" si="31"/>
        <v>90</v>
      </c>
      <c r="I53" s="10">
        <v>45</v>
      </c>
      <c r="J53" s="10">
        <v>5.0199999999999996</v>
      </c>
      <c r="K53" s="13">
        <v>3.32</v>
      </c>
      <c r="L53" s="10">
        <v>45</v>
      </c>
      <c r="M53" s="10">
        <v>5.61</v>
      </c>
      <c r="N53" s="13">
        <v>3.4</v>
      </c>
      <c r="O53" s="12">
        <f t="shared" si="32"/>
        <v>3.3602380868027786</v>
      </c>
      <c r="P53" s="14">
        <f t="shared" si="33"/>
        <v>1.1175298804780878</v>
      </c>
      <c r="Q53" s="4"/>
      <c r="R53" s="14"/>
      <c r="S53" s="15"/>
      <c r="T53" s="15"/>
      <c r="U53" s="4"/>
      <c r="V53" s="16"/>
      <c r="W53" s="14">
        <f t="shared" si="34"/>
        <v>8.74550227743459E-2</v>
      </c>
      <c r="X53" s="14">
        <f t="shared" si="4"/>
        <v>8.767901469345292E-2</v>
      </c>
      <c r="Y53" s="14">
        <f t="shared" si="5"/>
        <v>0.10721125348377948</v>
      </c>
      <c r="Z53" s="17">
        <f t="shared" si="10"/>
        <v>87</v>
      </c>
      <c r="AA53" s="14">
        <f t="shared" si="35"/>
        <v>0.17558279644445607</v>
      </c>
      <c r="AB53" s="14">
        <f t="shared" si="6"/>
        <v>0.21122433201597743</v>
      </c>
      <c r="AC53" s="17">
        <f t="shared" si="12"/>
        <v>22.413625400732482</v>
      </c>
    </row>
    <row r="54" spans="1:29" ht="14.4" x14ac:dyDescent="0.3">
      <c r="A54" s="10">
        <f t="shared" si="7"/>
        <v>53</v>
      </c>
      <c r="B54" s="10" t="s">
        <v>86</v>
      </c>
      <c r="C54" s="10" t="s">
        <v>118</v>
      </c>
      <c r="D54" s="10" t="s">
        <v>37</v>
      </c>
      <c r="E54" s="10" t="s">
        <v>43</v>
      </c>
      <c r="F54" s="10" t="s">
        <v>41</v>
      </c>
      <c r="G54" s="10" t="s">
        <v>40</v>
      </c>
      <c r="H54" s="10">
        <f t="shared" si="31"/>
        <v>100</v>
      </c>
      <c r="I54" s="10">
        <v>50</v>
      </c>
      <c r="J54" s="10">
        <v>1.5</v>
      </c>
      <c r="K54" s="13">
        <v>1.85</v>
      </c>
      <c r="L54" s="10">
        <v>50</v>
      </c>
      <c r="M54" s="10">
        <v>1.56</v>
      </c>
      <c r="N54" s="13">
        <v>1.91</v>
      </c>
      <c r="O54" s="12">
        <f t="shared" si="32"/>
        <v>1.880239346466295</v>
      </c>
      <c r="P54" s="14">
        <f t="shared" si="33"/>
        <v>1.04</v>
      </c>
      <c r="Q54" s="4"/>
      <c r="R54" s="14"/>
      <c r="S54" s="15"/>
      <c r="T54" s="15"/>
      <c r="U54" s="4"/>
      <c r="V54" s="16"/>
      <c r="W54" s="14">
        <f t="shared" si="34"/>
        <v>1.5953384953922428E-2</v>
      </c>
      <c r="X54" s="14">
        <f t="shared" si="4"/>
        <v>1.5954738595253103E-2</v>
      </c>
      <c r="Y54" s="14">
        <f t="shared" si="5"/>
        <v>0.10153461651336192</v>
      </c>
      <c r="Z54" s="17">
        <f t="shared" si="10"/>
        <v>96.999999999999972</v>
      </c>
      <c r="AA54" s="14">
        <f t="shared" si="35"/>
        <v>3.1910830986897239E-2</v>
      </c>
      <c r="AB54" s="14">
        <f t="shared" si="6"/>
        <v>0.20001272835915063</v>
      </c>
      <c r="AC54" s="17">
        <f t="shared" si="12"/>
        <v>24.996818213957429</v>
      </c>
    </row>
    <row r="55" spans="1:29" ht="14.4" x14ac:dyDescent="0.3">
      <c r="A55" s="10">
        <f t="shared" si="7"/>
        <v>54</v>
      </c>
      <c r="B55" s="10" t="s">
        <v>86</v>
      </c>
      <c r="C55" s="10" t="s">
        <v>119</v>
      </c>
      <c r="D55" s="10" t="s">
        <v>37</v>
      </c>
      <c r="E55" s="10" t="s">
        <v>43</v>
      </c>
      <c r="F55" s="10" t="s">
        <v>59</v>
      </c>
      <c r="G55" s="10" t="s">
        <v>40</v>
      </c>
      <c r="H55" s="10">
        <f t="shared" si="31"/>
        <v>90</v>
      </c>
      <c r="I55" s="10">
        <v>45</v>
      </c>
      <c r="J55" s="10">
        <v>4.76</v>
      </c>
      <c r="K55" s="13">
        <v>3.22</v>
      </c>
      <c r="L55" s="10">
        <v>45</v>
      </c>
      <c r="M55" s="10">
        <v>5.37</v>
      </c>
      <c r="N55" s="13">
        <v>3.12</v>
      </c>
      <c r="O55" s="12">
        <f t="shared" si="32"/>
        <v>3.1703942972444294</v>
      </c>
      <c r="P55" s="14">
        <f t="shared" si="33"/>
        <v>1.1281512605042017</v>
      </c>
      <c r="Q55" s="4"/>
      <c r="R55" s="14"/>
      <c r="S55" s="15"/>
      <c r="T55" s="15"/>
      <c r="U55" s="4"/>
      <c r="V55" s="16"/>
      <c r="W55" s="14">
        <f t="shared" si="34"/>
        <v>9.5760437490636341E-2</v>
      </c>
      <c r="X55" s="14">
        <f t="shared" si="4"/>
        <v>9.6054768311607849E-2</v>
      </c>
      <c r="Y55" s="14">
        <f t="shared" si="5"/>
        <v>0.10721125348377948</v>
      </c>
      <c r="Z55" s="17">
        <f t="shared" si="10"/>
        <v>87</v>
      </c>
      <c r="AA55" s="14">
        <f t="shared" si="35"/>
        <v>0.19240508996946723</v>
      </c>
      <c r="AB55" s="14">
        <f t="shared" si="6"/>
        <v>0.21130572530822306</v>
      </c>
      <c r="AC55" s="17">
        <f t="shared" si="12"/>
        <v>22.396361624246595</v>
      </c>
    </row>
    <row r="56" spans="1:29" ht="14.4" x14ac:dyDescent="0.3">
      <c r="A56" s="10">
        <f t="shared" si="7"/>
        <v>55</v>
      </c>
      <c r="B56" s="10" t="s">
        <v>86</v>
      </c>
      <c r="C56" s="10" t="s">
        <v>120</v>
      </c>
      <c r="D56" s="10" t="s">
        <v>37</v>
      </c>
      <c r="E56" s="10" t="s">
        <v>43</v>
      </c>
      <c r="F56" s="10" t="s">
        <v>41</v>
      </c>
      <c r="G56" s="10" t="s">
        <v>40</v>
      </c>
      <c r="H56" s="10">
        <f t="shared" si="31"/>
        <v>100</v>
      </c>
      <c r="I56" s="10">
        <v>50</v>
      </c>
      <c r="J56" s="10">
        <v>1.45</v>
      </c>
      <c r="K56" s="13">
        <v>1.65</v>
      </c>
      <c r="L56" s="10">
        <v>50</v>
      </c>
      <c r="M56" s="10">
        <v>1.57</v>
      </c>
      <c r="N56" s="13">
        <v>1.78</v>
      </c>
      <c r="O56" s="12">
        <f t="shared" si="32"/>
        <v>1.7162313363879591</v>
      </c>
      <c r="P56" s="14">
        <f t="shared" si="33"/>
        <v>1.0827586206896553</v>
      </c>
      <c r="Q56" s="4"/>
      <c r="R56" s="14"/>
      <c r="S56" s="15"/>
      <c r="T56" s="15"/>
      <c r="U56" s="4"/>
      <c r="V56" s="16"/>
      <c r="W56" s="14">
        <f t="shared" si="34"/>
        <v>3.493897680482147E-2</v>
      </c>
      <c r="X56" s="14">
        <f t="shared" si="4"/>
        <v>3.4953204270541494E-2</v>
      </c>
      <c r="Y56" s="14">
        <f t="shared" si="5"/>
        <v>0.10153461651336192</v>
      </c>
      <c r="Z56" s="17">
        <f t="shared" si="10"/>
        <v>96.999999999999972</v>
      </c>
      <c r="AA56" s="14">
        <f t="shared" si="35"/>
        <v>6.9920643829145049E-2</v>
      </c>
      <c r="AB56" s="14">
        <f t="shared" si="6"/>
        <v>0.20006110187182166</v>
      </c>
      <c r="AC56" s="17">
        <f t="shared" si="12"/>
        <v>24.984731529391812</v>
      </c>
    </row>
    <row r="57" spans="1:29" ht="14.4" x14ac:dyDescent="0.3">
      <c r="A57" s="10">
        <f t="shared" si="7"/>
        <v>56</v>
      </c>
      <c r="B57" s="10" t="s">
        <v>86</v>
      </c>
      <c r="C57" s="10" t="s">
        <v>57</v>
      </c>
      <c r="D57" s="10" t="s">
        <v>84</v>
      </c>
      <c r="E57" s="9" t="s">
        <v>43</v>
      </c>
      <c r="F57" s="10" t="s">
        <v>59</v>
      </c>
      <c r="G57" s="9" t="s">
        <v>40</v>
      </c>
      <c r="H57" s="10">
        <f t="shared" si="31"/>
        <v>36</v>
      </c>
      <c r="I57" s="10">
        <v>18</v>
      </c>
      <c r="J57" s="10">
        <v>5.44</v>
      </c>
      <c r="K57" s="13">
        <v>3.43</v>
      </c>
      <c r="L57" s="10">
        <v>18</v>
      </c>
      <c r="M57" s="10">
        <v>5.86</v>
      </c>
      <c r="N57" s="13">
        <v>3.44</v>
      </c>
      <c r="O57" s="12">
        <f t="shared" si="32"/>
        <v>3.4350036390082614</v>
      </c>
      <c r="P57" s="14">
        <f t="shared" si="33"/>
        <v>1.0772058823529411</v>
      </c>
      <c r="Q57" s="4"/>
      <c r="R57" s="14"/>
      <c r="S57" s="15"/>
      <c r="T57" s="15"/>
      <c r="U57" s="4"/>
      <c r="V57" s="16"/>
      <c r="W57" s="14">
        <f t="shared" si="34"/>
        <v>6.1021378281401806E-2</v>
      </c>
      <c r="X57" s="14">
        <f t="shared" si="4"/>
        <v>6.1097287858043588E-2</v>
      </c>
      <c r="Y57" s="14">
        <f t="shared" si="5"/>
        <v>0.17407765595569785</v>
      </c>
      <c r="Z57" s="17">
        <f t="shared" si="10"/>
        <v>32.999999999999993</v>
      </c>
      <c r="AA57" s="14">
        <f t="shared" si="35"/>
        <v>0.12227061282568551</v>
      </c>
      <c r="AB57" s="14">
        <f t="shared" si="6"/>
        <v>0.33364464843188013</v>
      </c>
      <c r="AC57" s="17">
        <f t="shared" si="12"/>
        <v>8.983212506238738</v>
      </c>
    </row>
    <row r="58" spans="1:29" ht="14.4" x14ac:dyDescent="0.3">
      <c r="A58" s="10">
        <f t="shared" si="7"/>
        <v>57</v>
      </c>
      <c r="B58" s="10" t="s">
        <v>86</v>
      </c>
      <c r="C58" s="10" t="s">
        <v>58</v>
      </c>
      <c r="D58" s="10" t="s">
        <v>84</v>
      </c>
      <c r="E58" s="9" t="s">
        <v>43</v>
      </c>
      <c r="F58" s="10" t="s">
        <v>41</v>
      </c>
      <c r="G58" s="9" t="s">
        <v>40</v>
      </c>
      <c r="H58" s="10">
        <f t="shared" si="31"/>
        <v>40</v>
      </c>
      <c r="I58" s="10">
        <v>20</v>
      </c>
      <c r="J58" s="10">
        <v>1.9</v>
      </c>
      <c r="K58" s="13">
        <v>1.26</v>
      </c>
      <c r="L58" s="10">
        <v>20</v>
      </c>
      <c r="M58" s="10">
        <v>2.0499999999999998</v>
      </c>
      <c r="N58" s="13">
        <v>1.52</v>
      </c>
      <c r="O58" s="12">
        <f t="shared" si="32"/>
        <v>1.3960659010233005</v>
      </c>
      <c r="P58" s="14">
        <f t="shared" si="33"/>
        <v>1.0789473684210527</v>
      </c>
      <c r="Q58" s="4"/>
      <c r="R58" s="14"/>
      <c r="S58" s="15"/>
      <c r="T58" s="15"/>
      <c r="U58" s="4"/>
      <c r="V58" s="16"/>
      <c r="W58" s="14">
        <f t="shared" si="34"/>
        <v>5.3645035719901632E-2</v>
      </c>
      <c r="X58" s="14">
        <f t="shared" si="4"/>
        <v>5.3696584470332681E-2</v>
      </c>
      <c r="Y58" s="14">
        <f t="shared" si="5"/>
        <v>0.16439898730535729</v>
      </c>
      <c r="Z58" s="17">
        <f t="shared" si="10"/>
        <v>37</v>
      </c>
      <c r="AA58" s="14">
        <f t="shared" si="35"/>
        <v>0.10744478458363005</v>
      </c>
      <c r="AB58" s="14">
        <f t="shared" si="6"/>
        <v>0.31645584964047951</v>
      </c>
      <c r="AC58" s="17">
        <f t="shared" si="12"/>
        <v>9.9855903166928179</v>
      </c>
    </row>
    <row r="59" spans="1:29" ht="14.4" x14ac:dyDescent="0.3">
      <c r="A59" s="10">
        <f t="shared" si="7"/>
        <v>58</v>
      </c>
      <c r="B59" s="10" t="s">
        <v>86</v>
      </c>
      <c r="C59" s="10" t="s">
        <v>64</v>
      </c>
      <c r="D59" s="10" t="s">
        <v>84</v>
      </c>
      <c r="E59" s="9" t="s">
        <v>43</v>
      </c>
      <c r="F59" s="10" t="s">
        <v>59</v>
      </c>
      <c r="G59" s="9" t="s">
        <v>40</v>
      </c>
      <c r="H59" s="10">
        <f t="shared" si="31"/>
        <v>18</v>
      </c>
      <c r="I59" s="10">
        <v>9</v>
      </c>
      <c r="J59" s="10">
        <v>6.11</v>
      </c>
      <c r="K59" s="13">
        <v>2.79</v>
      </c>
      <c r="L59" s="10">
        <v>9</v>
      </c>
      <c r="M59" s="10">
        <v>6.11</v>
      </c>
      <c r="N59" s="13">
        <v>3.59</v>
      </c>
      <c r="O59" s="12">
        <f t="shared" si="32"/>
        <v>3.2149805598168086</v>
      </c>
      <c r="P59" s="14">
        <f t="shared" si="33"/>
        <v>1</v>
      </c>
      <c r="Q59" s="4"/>
      <c r="R59" s="14"/>
      <c r="S59" s="15"/>
      <c r="T59" s="15"/>
      <c r="U59" s="4"/>
      <c r="V59" s="16"/>
      <c r="W59" s="14">
        <f t="shared" si="34"/>
        <v>0</v>
      </c>
      <c r="X59" s="14">
        <f t="shared" si="4"/>
        <v>0</v>
      </c>
      <c r="Y59" s="14">
        <f t="shared" si="5"/>
        <v>0.2581988897471611</v>
      </c>
      <c r="Z59" s="17">
        <f t="shared" si="10"/>
        <v>15.000000000000004</v>
      </c>
      <c r="AA59" s="14">
        <f t="shared" si="35"/>
        <v>0</v>
      </c>
      <c r="AB59" s="14">
        <f t="shared" si="6"/>
        <v>0.47140452079103168</v>
      </c>
      <c r="AC59" s="17">
        <f t="shared" si="12"/>
        <v>4.5</v>
      </c>
    </row>
    <row r="60" spans="1:29" ht="14.4" x14ac:dyDescent="0.3">
      <c r="A60" s="10">
        <f t="shared" si="7"/>
        <v>59</v>
      </c>
      <c r="B60" s="10" t="s">
        <v>86</v>
      </c>
      <c r="C60" s="10" t="s">
        <v>65</v>
      </c>
      <c r="D60" s="10" t="s">
        <v>84</v>
      </c>
      <c r="E60" s="9" t="s">
        <v>43</v>
      </c>
      <c r="F60" s="10" t="s">
        <v>41</v>
      </c>
      <c r="G60" s="9" t="s">
        <v>40</v>
      </c>
      <c r="H60" s="10">
        <f t="shared" si="31"/>
        <v>20</v>
      </c>
      <c r="I60" s="10">
        <v>10</v>
      </c>
      <c r="J60" s="10">
        <v>2.75</v>
      </c>
      <c r="K60" s="13">
        <v>3.46</v>
      </c>
      <c r="L60" s="10">
        <v>10</v>
      </c>
      <c r="M60" s="10">
        <v>2.85</v>
      </c>
      <c r="N60" s="13">
        <v>3.39</v>
      </c>
      <c r="O60" s="12">
        <f t="shared" si="32"/>
        <v>3.4251788274482835</v>
      </c>
      <c r="P60" s="14">
        <f t="shared" si="33"/>
        <v>1.0363636363636364</v>
      </c>
      <c r="Q60" s="4"/>
      <c r="R60" s="14"/>
      <c r="S60" s="15"/>
      <c r="T60" s="15"/>
      <c r="U60" s="4"/>
      <c r="V60" s="16"/>
      <c r="W60" s="14">
        <f t="shared" si="34"/>
        <v>1.4596222851957774E-2</v>
      </c>
      <c r="X60" s="14">
        <f t="shared" si="4"/>
        <v>1.4597259558221096E-2</v>
      </c>
      <c r="Y60" s="14">
        <f t="shared" si="5"/>
        <v>0.24253562503633297</v>
      </c>
      <c r="Z60" s="17">
        <f t="shared" si="10"/>
        <v>17</v>
      </c>
      <c r="AA60" s="14">
        <f t="shared" si="35"/>
        <v>2.919555592211192E-2</v>
      </c>
      <c r="AB60" s="14">
        <f t="shared" si="6"/>
        <v>0.44723741962423047</v>
      </c>
      <c r="AC60" s="17">
        <f t="shared" si="12"/>
        <v>4.999467318952366</v>
      </c>
    </row>
    <row r="61" spans="1:29" ht="14.4" x14ac:dyDescent="0.3">
      <c r="A61" s="10">
        <f t="shared" si="7"/>
        <v>60</v>
      </c>
      <c r="B61" s="10" t="s">
        <v>86</v>
      </c>
      <c r="C61" s="10" t="s">
        <v>70</v>
      </c>
      <c r="D61" s="10" t="s">
        <v>84</v>
      </c>
      <c r="E61" s="10" t="s">
        <v>43</v>
      </c>
      <c r="F61" s="10" t="s">
        <v>59</v>
      </c>
      <c r="G61" s="10" t="s">
        <v>40</v>
      </c>
      <c r="H61" s="10">
        <f t="shared" si="31"/>
        <v>18</v>
      </c>
      <c r="I61" s="10">
        <v>9</v>
      </c>
      <c r="J61" s="10">
        <v>7.22</v>
      </c>
      <c r="K61" s="13">
        <v>1.77</v>
      </c>
      <c r="L61" s="10">
        <v>9</v>
      </c>
      <c r="M61" s="10">
        <v>8.2200000000000006</v>
      </c>
      <c r="N61" s="13">
        <v>1.91</v>
      </c>
      <c r="O61" s="12">
        <f t="shared" si="32"/>
        <v>1.8413310403075271</v>
      </c>
      <c r="P61" s="14">
        <f t="shared" si="33"/>
        <v>1.138504155124654</v>
      </c>
      <c r="Q61" s="4"/>
      <c r="R61" s="14"/>
      <c r="S61" s="15"/>
      <c r="T61" s="15"/>
      <c r="U61" s="4"/>
      <c r="V61" s="16"/>
      <c r="W61" s="14">
        <f t="shared" si="34"/>
        <v>0.26205321163836603</v>
      </c>
      <c r="X61" s="14">
        <f t="shared" si="4"/>
        <v>0.26831174361675042</v>
      </c>
      <c r="Y61" s="14">
        <f t="shared" si="5"/>
        <v>0.2581988897471611</v>
      </c>
      <c r="Z61" s="17">
        <f t="shared" si="10"/>
        <v>15.000000000000004</v>
      </c>
      <c r="AA61" s="14">
        <f t="shared" si="35"/>
        <v>0.54308539752470986</v>
      </c>
      <c r="AB61" s="14">
        <f t="shared" si="6"/>
        <v>0.48001567535181633</v>
      </c>
      <c r="AC61" s="17">
        <f t="shared" si="12"/>
        <v>4.3399943109088328</v>
      </c>
    </row>
    <row r="62" spans="1:29" ht="14.4" x14ac:dyDescent="0.3">
      <c r="A62" s="10">
        <f t="shared" si="7"/>
        <v>61</v>
      </c>
      <c r="B62" s="10" t="s">
        <v>86</v>
      </c>
      <c r="C62" s="10" t="s">
        <v>72</v>
      </c>
      <c r="D62" s="10" t="s">
        <v>84</v>
      </c>
      <c r="E62" s="10" t="s">
        <v>43</v>
      </c>
      <c r="F62" s="10" t="s">
        <v>41</v>
      </c>
      <c r="G62" s="10" t="s">
        <v>40</v>
      </c>
      <c r="H62" s="10">
        <f t="shared" si="31"/>
        <v>20</v>
      </c>
      <c r="I62" s="10">
        <v>10</v>
      </c>
      <c r="J62" s="10">
        <v>2.6</v>
      </c>
      <c r="K62" s="13">
        <v>1.73</v>
      </c>
      <c r="L62" s="10">
        <v>10</v>
      </c>
      <c r="M62" s="10">
        <v>2.5499999999999998</v>
      </c>
      <c r="N62" s="13">
        <v>1.81</v>
      </c>
      <c r="O62" s="12">
        <f t="shared" si="32"/>
        <v>1.7704519197086375</v>
      </c>
      <c r="P62" s="14">
        <f t="shared" si="33"/>
        <v>0.98076923076923062</v>
      </c>
      <c r="Q62" s="4"/>
      <c r="R62" s="14"/>
      <c r="S62" s="15"/>
      <c r="T62" s="15"/>
      <c r="U62" s="4"/>
      <c r="V62" s="16"/>
      <c r="W62" s="14">
        <f t="shared" si="34"/>
        <v>-1.4119280886062369E-2</v>
      </c>
      <c r="X62" s="14">
        <f t="shared" si="4"/>
        <v>-1.4120219243781295E-2</v>
      </c>
      <c r="Y62" s="14">
        <f t="shared" si="5"/>
        <v>0.24253562503633297</v>
      </c>
      <c r="Z62" s="17">
        <f t="shared" si="10"/>
        <v>17</v>
      </c>
      <c r="AA62" s="14">
        <f t="shared" si="35"/>
        <v>-2.8241376929472758E-2</v>
      </c>
      <c r="AB62" s="14">
        <f t="shared" si="6"/>
        <v>0.44723588785368268</v>
      </c>
      <c r="AC62" s="17">
        <f t="shared" si="12"/>
        <v>4.9995015650856311</v>
      </c>
    </row>
    <row r="63" spans="1:29" ht="14.4" x14ac:dyDescent="0.3">
      <c r="A63" s="10">
        <f t="shared" si="7"/>
        <v>62</v>
      </c>
      <c r="B63" s="10" t="s">
        <v>86</v>
      </c>
      <c r="C63" s="10" t="s">
        <v>121</v>
      </c>
      <c r="D63" s="10" t="s">
        <v>84</v>
      </c>
      <c r="E63" s="10" t="s">
        <v>43</v>
      </c>
      <c r="F63" s="10" t="s">
        <v>59</v>
      </c>
      <c r="G63" s="10" t="s">
        <v>40</v>
      </c>
      <c r="H63" s="10">
        <f t="shared" si="31"/>
        <v>18</v>
      </c>
      <c r="I63" s="10">
        <v>9</v>
      </c>
      <c r="J63" s="10">
        <v>5</v>
      </c>
      <c r="K63" s="13">
        <v>2.92</v>
      </c>
      <c r="L63" s="10">
        <v>9</v>
      </c>
      <c r="M63" s="10">
        <v>5.67</v>
      </c>
      <c r="N63" s="13">
        <v>4.1900000000000004</v>
      </c>
      <c r="O63" s="12">
        <f t="shared" si="32"/>
        <v>3.6112670906483784</v>
      </c>
      <c r="P63" s="14">
        <f t="shared" si="33"/>
        <v>1.1339999999999999</v>
      </c>
      <c r="Q63" s="4"/>
      <c r="R63" s="14"/>
      <c r="S63" s="15"/>
      <c r="T63" s="15"/>
      <c r="U63" s="4"/>
      <c r="V63" s="16"/>
      <c r="W63" s="14">
        <f t="shared" si="34"/>
        <v>9.2368641255252598E-2</v>
      </c>
      <c r="X63" s="14">
        <f t="shared" si="4"/>
        <v>9.2632689655644113E-2</v>
      </c>
      <c r="Y63" s="14">
        <f t="shared" si="5"/>
        <v>0.2581988897471611</v>
      </c>
      <c r="Z63" s="17">
        <f t="shared" si="10"/>
        <v>15.000000000000004</v>
      </c>
      <c r="AA63" s="14">
        <f t="shared" si="35"/>
        <v>0.18553044767444934</v>
      </c>
      <c r="AB63" s="14">
        <f t="shared" si="6"/>
        <v>0.47241758678731705</v>
      </c>
      <c r="AC63" s="17">
        <f t="shared" si="12"/>
        <v>4.4807208321522758</v>
      </c>
    </row>
    <row r="64" spans="1:29" ht="14.4" x14ac:dyDescent="0.3">
      <c r="A64" s="10">
        <f t="shared" si="7"/>
        <v>63</v>
      </c>
      <c r="B64" s="10" t="s">
        <v>86</v>
      </c>
      <c r="C64" s="10" t="s">
        <v>122</v>
      </c>
      <c r="D64" s="10" t="s">
        <v>84</v>
      </c>
      <c r="E64" s="10" t="s">
        <v>43</v>
      </c>
      <c r="F64" s="10" t="s">
        <v>41</v>
      </c>
      <c r="G64" s="10" t="s">
        <v>40</v>
      </c>
      <c r="H64" s="10">
        <f t="shared" si="31"/>
        <v>20</v>
      </c>
      <c r="I64" s="10">
        <v>10</v>
      </c>
      <c r="J64" s="10">
        <v>0.85</v>
      </c>
      <c r="K64" s="13">
        <v>0.88</v>
      </c>
      <c r="L64" s="10">
        <v>10</v>
      </c>
      <c r="M64" s="10">
        <v>1.3</v>
      </c>
      <c r="N64" s="13">
        <v>1.1299999999999999</v>
      </c>
      <c r="O64" s="12">
        <f t="shared" si="32"/>
        <v>1.0127437978087053</v>
      </c>
      <c r="P64" s="14">
        <f t="shared" si="33"/>
        <v>1.5294117647058825</v>
      </c>
      <c r="Q64" s="4"/>
      <c r="R64" s="14"/>
      <c r="S64" s="15"/>
      <c r="T64" s="15"/>
      <c r="U64" s="4"/>
      <c r="V64" s="16"/>
      <c r="W64" s="14">
        <f t="shared" si="34"/>
        <v>0.21688069279545238</v>
      </c>
      <c r="X64" s="14">
        <f t="shared" si="4"/>
        <v>0.22038049901614537</v>
      </c>
      <c r="Y64" s="14">
        <f t="shared" si="5"/>
        <v>0.24253562503633297</v>
      </c>
      <c r="Z64" s="17">
        <f t="shared" si="10"/>
        <v>17</v>
      </c>
      <c r="AA64" s="14">
        <f t="shared" si="35"/>
        <v>0.44433745333585295</v>
      </c>
      <c r="AB64" s="14">
        <f t="shared" si="6"/>
        <v>0.45269845848083556</v>
      </c>
      <c r="AC64" s="17">
        <f t="shared" si="12"/>
        <v>4.8795746755949896</v>
      </c>
    </row>
    <row r="65" spans="1:29" ht="14.4" x14ac:dyDescent="0.3">
      <c r="A65" s="10">
        <f t="shared" si="7"/>
        <v>64</v>
      </c>
      <c r="B65" s="10" t="s">
        <v>86</v>
      </c>
      <c r="C65" s="10" t="s">
        <v>123</v>
      </c>
      <c r="D65" s="10" t="s">
        <v>84</v>
      </c>
      <c r="E65" s="10" t="s">
        <v>43</v>
      </c>
      <c r="F65" s="10" t="s">
        <v>59</v>
      </c>
      <c r="G65" s="10" t="s">
        <v>40</v>
      </c>
      <c r="H65" s="10">
        <f t="shared" si="31"/>
        <v>18</v>
      </c>
      <c r="I65" s="10">
        <v>9</v>
      </c>
      <c r="J65" s="10">
        <v>5.3</v>
      </c>
      <c r="K65" s="13">
        <v>3</v>
      </c>
      <c r="L65" s="10">
        <v>9</v>
      </c>
      <c r="M65" s="10">
        <v>4.78</v>
      </c>
      <c r="N65" s="13">
        <v>3.22</v>
      </c>
      <c r="O65" s="12">
        <f t="shared" si="32"/>
        <v>3.1119447295863081</v>
      </c>
      <c r="P65" s="14">
        <f t="shared" si="33"/>
        <v>0.90188679245283021</v>
      </c>
      <c r="Q65" s="4"/>
      <c r="R65" s="14"/>
      <c r="S65" s="15"/>
      <c r="T65" s="15"/>
      <c r="U65" s="4"/>
      <c r="V65" s="16"/>
      <c r="W65" s="14">
        <f t="shared" si="34"/>
        <v>-8.3258954891335238E-2</v>
      </c>
      <c r="X65" s="14">
        <f t="shared" si="4"/>
        <v>-8.3452144227959962E-2</v>
      </c>
      <c r="Y65" s="14">
        <f t="shared" si="5"/>
        <v>0.2581988897471611</v>
      </c>
      <c r="Z65" s="17">
        <f t="shared" si="10"/>
        <v>15.000000000000004</v>
      </c>
      <c r="AA65" s="14">
        <f t="shared" si="35"/>
        <v>-0.16709808341265966</v>
      </c>
      <c r="AB65" s="14">
        <f t="shared" si="6"/>
        <v>0.47222645725330248</v>
      </c>
      <c r="AC65" s="17">
        <f t="shared" si="12"/>
        <v>4.4843486314056396</v>
      </c>
    </row>
    <row r="66" spans="1:29" ht="14.4" x14ac:dyDescent="0.3">
      <c r="A66" s="10">
        <f t="shared" si="7"/>
        <v>65</v>
      </c>
      <c r="B66" s="10" t="s">
        <v>86</v>
      </c>
      <c r="C66" s="10" t="s">
        <v>124</v>
      </c>
      <c r="D66" s="10" t="s">
        <v>84</v>
      </c>
      <c r="E66" s="10" t="s">
        <v>43</v>
      </c>
      <c r="F66" s="10" t="s">
        <v>41</v>
      </c>
      <c r="G66" s="10" t="s">
        <v>40</v>
      </c>
      <c r="H66" s="10">
        <f t="shared" si="31"/>
        <v>20</v>
      </c>
      <c r="I66" s="10">
        <v>10</v>
      </c>
      <c r="J66" s="10">
        <v>1.8</v>
      </c>
      <c r="K66" s="13">
        <v>1.23</v>
      </c>
      <c r="L66" s="10">
        <v>10</v>
      </c>
      <c r="M66" s="10">
        <v>2.0499999999999998</v>
      </c>
      <c r="N66" s="13">
        <v>1.88</v>
      </c>
      <c r="O66" s="12">
        <f t="shared" si="32"/>
        <v>1.5886000125897015</v>
      </c>
      <c r="P66" s="14">
        <f t="shared" si="33"/>
        <v>1.1388888888888888</v>
      </c>
      <c r="Q66" s="4"/>
      <c r="R66" s="14"/>
      <c r="S66" s="15"/>
      <c r="T66" s="15"/>
      <c r="U66" s="4"/>
      <c r="V66" s="16"/>
      <c r="W66" s="14">
        <f t="shared" si="34"/>
        <v>7.8443171578925552E-2</v>
      </c>
      <c r="X66" s="14">
        <f t="shared" si="4"/>
        <v>7.8604663832913299E-2</v>
      </c>
      <c r="Y66" s="14">
        <f t="shared" si="5"/>
        <v>0.24253562503633297</v>
      </c>
      <c r="Z66" s="17">
        <f t="shared" si="10"/>
        <v>17</v>
      </c>
      <c r="AA66" s="14">
        <f t="shared" si="35"/>
        <v>0.15737126905372181</v>
      </c>
      <c r="AB66" s="14">
        <f t="shared" si="6"/>
        <v>0.44790528341167118</v>
      </c>
      <c r="AC66" s="17">
        <f t="shared" si="12"/>
        <v>4.9845691966600327</v>
      </c>
    </row>
    <row r="67" spans="1:29" ht="14.4" x14ac:dyDescent="0.3">
      <c r="A67" s="10">
        <f t="shared" si="7"/>
        <v>66</v>
      </c>
      <c r="B67" s="10" t="s">
        <v>86</v>
      </c>
      <c r="C67" s="10" t="s">
        <v>125</v>
      </c>
      <c r="D67" s="10" t="s">
        <v>84</v>
      </c>
      <c r="E67" s="10" t="s">
        <v>43</v>
      </c>
      <c r="F67" s="10" t="s">
        <v>59</v>
      </c>
      <c r="G67" s="10" t="s">
        <v>40</v>
      </c>
      <c r="H67" s="10">
        <f t="shared" si="31"/>
        <v>18</v>
      </c>
      <c r="I67" s="10">
        <v>9</v>
      </c>
      <c r="J67" s="10">
        <v>6.56</v>
      </c>
      <c r="K67" s="13">
        <v>3</v>
      </c>
      <c r="L67" s="10">
        <v>9</v>
      </c>
      <c r="M67" s="10">
        <v>7.17</v>
      </c>
      <c r="N67" s="13">
        <v>2.95</v>
      </c>
      <c r="O67" s="12">
        <f t="shared" si="32"/>
        <v>2.9751050401624477</v>
      </c>
      <c r="P67" s="14">
        <f t="shared" si="33"/>
        <v>1.0929878048780488</v>
      </c>
      <c r="Q67" s="4"/>
      <c r="R67" s="14"/>
      <c r="S67" s="15"/>
      <c r="T67" s="15"/>
      <c r="U67" s="4"/>
      <c r="V67" s="16"/>
      <c r="W67" s="14">
        <f t="shared" si="34"/>
        <v>0.10198287889276093</v>
      </c>
      <c r="X67" s="14">
        <f t="shared" si="4"/>
        <v>0.1023386596278935</v>
      </c>
      <c r="Y67" s="14">
        <f t="shared" si="5"/>
        <v>0.2581988897471611</v>
      </c>
      <c r="Z67" s="17">
        <f t="shared" ref="Z67:Z119" si="36">1/Y67^2</f>
        <v>15.000000000000004</v>
      </c>
      <c r="AA67" s="14">
        <f t="shared" si="35"/>
        <v>0.20503477751719748</v>
      </c>
      <c r="AB67" s="14">
        <f t="shared" si="6"/>
        <v>0.47264149145436762</v>
      </c>
      <c r="AC67" s="17">
        <f t="shared" ref="AC67:AC119" si="37">1/AB67^2</f>
        <v>4.4764765299141214</v>
      </c>
    </row>
    <row r="68" spans="1:29" ht="14.4" x14ac:dyDescent="0.3">
      <c r="A68" s="10">
        <f t="shared" si="7"/>
        <v>67</v>
      </c>
      <c r="B68" s="10" t="s">
        <v>86</v>
      </c>
      <c r="C68" s="10" t="s">
        <v>126</v>
      </c>
      <c r="D68" s="10" t="s">
        <v>84</v>
      </c>
      <c r="E68" s="10" t="s">
        <v>43</v>
      </c>
      <c r="F68" s="10" t="s">
        <v>41</v>
      </c>
      <c r="G68" s="10" t="s">
        <v>40</v>
      </c>
      <c r="H68" s="10">
        <f t="shared" si="31"/>
        <v>20</v>
      </c>
      <c r="I68" s="10">
        <v>10</v>
      </c>
      <c r="J68" s="10">
        <v>2.15</v>
      </c>
      <c r="K68" s="13">
        <v>1.6</v>
      </c>
      <c r="L68" s="10">
        <v>10</v>
      </c>
      <c r="M68" s="10">
        <v>2.4500000000000002</v>
      </c>
      <c r="N68" s="13">
        <v>1.83</v>
      </c>
      <c r="O68" s="12">
        <f t="shared" si="32"/>
        <v>1.7188513606475693</v>
      </c>
      <c r="P68" s="14">
        <f t="shared" si="33"/>
        <v>1.1395348837209303</v>
      </c>
      <c r="Q68" s="4"/>
      <c r="R68" s="14"/>
      <c r="S68" s="15"/>
      <c r="T68" s="15"/>
      <c r="U68" s="4"/>
      <c r="V68" s="16"/>
      <c r="W68" s="14">
        <f t="shared" si="34"/>
        <v>8.6937168002154383E-2</v>
      </c>
      <c r="X68" s="14">
        <f t="shared" si="4"/>
        <v>8.7157192411435935E-2</v>
      </c>
      <c r="Y68" s="14">
        <f t="shared" si="5"/>
        <v>0.24253562503633297</v>
      </c>
      <c r="Z68" s="17">
        <f t="shared" si="36"/>
        <v>17</v>
      </c>
      <c r="AA68" s="14">
        <f t="shared" si="35"/>
        <v>0.17453516160174354</v>
      </c>
      <c r="AB68" s="14">
        <f t="shared" si="6"/>
        <v>0.44806423988741134</v>
      </c>
      <c r="AC68" s="17">
        <f t="shared" si="37"/>
        <v>4.9810331456317218</v>
      </c>
    </row>
    <row r="69" spans="1:29" ht="14.4" x14ac:dyDescent="0.3">
      <c r="A69" s="10">
        <f t="shared" si="7"/>
        <v>68</v>
      </c>
      <c r="B69" s="10" t="s">
        <v>86</v>
      </c>
      <c r="C69" s="10" t="s">
        <v>127</v>
      </c>
      <c r="D69" s="10" t="s">
        <v>84</v>
      </c>
      <c r="E69" s="10" t="s">
        <v>43</v>
      </c>
      <c r="F69" s="10" t="s">
        <v>59</v>
      </c>
      <c r="G69" s="10" t="s">
        <v>40</v>
      </c>
      <c r="H69" s="10">
        <f t="shared" si="31"/>
        <v>18</v>
      </c>
      <c r="I69" s="10">
        <v>9</v>
      </c>
      <c r="J69" s="10">
        <v>6.33</v>
      </c>
      <c r="K69" s="13">
        <v>3.7</v>
      </c>
      <c r="L69" s="10">
        <v>9</v>
      </c>
      <c r="M69" s="10">
        <v>5.78</v>
      </c>
      <c r="N69" s="13">
        <v>3.3</v>
      </c>
      <c r="O69" s="12">
        <f t="shared" si="32"/>
        <v>3.5057096285916205</v>
      </c>
      <c r="P69" s="14">
        <f t="shared" si="33"/>
        <v>0.91311216429699849</v>
      </c>
      <c r="Q69" s="4"/>
      <c r="R69" s="14"/>
      <c r="S69" s="15"/>
      <c r="T69" s="15"/>
      <c r="U69" s="4"/>
      <c r="V69" s="16"/>
      <c r="W69" s="14">
        <f t="shared" si="34"/>
        <v>-7.8203224042842176E-2</v>
      </c>
      <c r="X69" s="14">
        <f t="shared" si="4"/>
        <v>-7.8363235246349638E-2</v>
      </c>
      <c r="Y69" s="14">
        <f t="shared" si="5"/>
        <v>0.2581988897471611</v>
      </c>
      <c r="Z69" s="17">
        <f t="shared" si="36"/>
        <v>15.000000000000004</v>
      </c>
      <c r="AA69" s="14">
        <f t="shared" si="35"/>
        <v>-0.15688692398091059</v>
      </c>
      <c r="AB69" s="14">
        <f t="shared" si="6"/>
        <v>0.47212914625944452</v>
      </c>
      <c r="AC69" s="17">
        <f t="shared" si="37"/>
        <v>4.4861973687545955</v>
      </c>
    </row>
    <row r="70" spans="1:29" ht="14.4" x14ac:dyDescent="0.3">
      <c r="A70" s="10">
        <f t="shared" si="7"/>
        <v>69</v>
      </c>
      <c r="B70" s="10" t="s">
        <v>86</v>
      </c>
      <c r="C70" s="10" t="s">
        <v>128</v>
      </c>
      <c r="D70" s="10" t="s">
        <v>84</v>
      </c>
      <c r="E70" s="10" t="s">
        <v>43</v>
      </c>
      <c r="F70" s="10" t="s">
        <v>41</v>
      </c>
      <c r="G70" s="10" t="s">
        <v>40</v>
      </c>
      <c r="H70" s="10">
        <f t="shared" si="31"/>
        <v>20</v>
      </c>
      <c r="I70" s="10">
        <v>10</v>
      </c>
      <c r="J70" s="10">
        <v>2.1</v>
      </c>
      <c r="K70" s="13">
        <v>1.76</v>
      </c>
      <c r="L70" s="10">
        <v>10</v>
      </c>
      <c r="M70" s="10">
        <v>2.2999999999999998</v>
      </c>
      <c r="N70" s="13">
        <v>2.16</v>
      </c>
      <c r="O70" s="12">
        <f t="shared" si="32"/>
        <v>1.9701776569639602</v>
      </c>
      <c r="P70" s="14">
        <f t="shared" si="33"/>
        <v>1.0952380952380951</v>
      </c>
      <c r="Q70" s="4"/>
      <c r="R70" s="14"/>
      <c r="S70" s="15"/>
      <c r="T70" s="15"/>
      <c r="U70" s="4"/>
      <c r="V70" s="16"/>
      <c r="W70" s="14">
        <f t="shared" si="34"/>
        <v>5.0691588722706057E-2</v>
      </c>
      <c r="X70" s="14">
        <f t="shared" si="4"/>
        <v>5.0735075452975495E-2</v>
      </c>
      <c r="Y70" s="14">
        <f t="shared" si="5"/>
        <v>0.24253562503633297</v>
      </c>
      <c r="Z70" s="17">
        <f t="shared" si="36"/>
        <v>17</v>
      </c>
      <c r="AA70" s="14">
        <f t="shared" si="35"/>
        <v>0.10151368801339435</v>
      </c>
      <c r="AB70" s="14">
        <f t="shared" si="6"/>
        <v>0.44750153711618917</v>
      </c>
      <c r="AC70" s="17">
        <f t="shared" si="37"/>
        <v>4.9935676426696851</v>
      </c>
    </row>
    <row r="71" spans="1:29" ht="14.4" x14ac:dyDescent="0.3">
      <c r="A71" s="10">
        <f t="shared" si="7"/>
        <v>70</v>
      </c>
      <c r="B71" s="10" t="s">
        <v>86</v>
      </c>
      <c r="C71" s="10" t="s">
        <v>129</v>
      </c>
      <c r="D71" s="10" t="s">
        <v>84</v>
      </c>
      <c r="E71" s="10" t="s">
        <v>43</v>
      </c>
      <c r="F71" s="10" t="s">
        <v>59</v>
      </c>
      <c r="G71" s="10" t="s">
        <v>40</v>
      </c>
      <c r="H71" s="10">
        <f t="shared" si="31"/>
        <v>18</v>
      </c>
      <c r="I71" s="10">
        <v>9</v>
      </c>
      <c r="J71" s="10">
        <v>6.44</v>
      </c>
      <c r="K71" s="13">
        <v>3.69</v>
      </c>
      <c r="L71" s="10">
        <v>9</v>
      </c>
      <c r="M71" s="10">
        <v>7.5</v>
      </c>
      <c r="N71" s="13">
        <v>3.38</v>
      </c>
      <c r="O71" s="12">
        <f t="shared" si="32"/>
        <v>3.5383965295031587</v>
      </c>
      <c r="P71" s="14">
        <f t="shared" si="33"/>
        <v>1.1645962732919255</v>
      </c>
      <c r="Q71" s="4"/>
      <c r="R71" s="14"/>
      <c r="S71" s="15"/>
      <c r="T71" s="15"/>
      <c r="U71" s="4"/>
      <c r="V71" s="16"/>
      <c r="W71" s="14">
        <f t="shared" si="34"/>
        <v>0.14813284925348094</v>
      </c>
      <c r="X71" s="14">
        <f t="shared" si="4"/>
        <v>0.14923085210637413</v>
      </c>
      <c r="Y71" s="14">
        <f t="shared" si="5"/>
        <v>0.2581988897471611</v>
      </c>
      <c r="Z71" s="17">
        <f t="shared" si="36"/>
        <v>15.000000000000004</v>
      </c>
      <c r="AA71" s="14">
        <f t="shared" si="35"/>
        <v>0.29957072113363131</v>
      </c>
      <c r="AB71" s="14">
        <f t="shared" si="6"/>
        <v>0.47404121412947614</v>
      </c>
      <c r="AC71" s="17">
        <f t="shared" si="37"/>
        <v>4.4500797744200566</v>
      </c>
    </row>
    <row r="72" spans="1:29" ht="14.4" x14ac:dyDescent="0.3">
      <c r="A72" s="10">
        <f t="shared" si="7"/>
        <v>71</v>
      </c>
      <c r="B72" s="10" t="s">
        <v>86</v>
      </c>
      <c r="C72" s="10" t="s">
        <v>130</v>
      </c>
      <c r="D72" s="10" t="s">
        <v>84</v>
      </c>
      <c r="E72" s="10" t="s">
        <v>43</v>
      </c>
      <c r="F72" s="10" t="s">
        <v>41</v>
      </c>
      <c r="G72" s="10" t="s">
        <v>40</v>
      </c>
      <c r="H72" s="10">
        <f t="shared" si="31"/>
        <v>20</v>
      </c>
      <c r="I72" s="10">
        <v>10</v>
      </c>
      <c r="J72" s="10">
        <v>3.9</v>
      </c>
      <c r="K72" s="13">
        <v>4.47</v>
      </c>
      <c r="L72" s="10">
        <v>10</v>
      </c>
      <c r="M72" s="10">
        <v>3.05</v>
      </c>
      <c r="N72" s="13">
        <v>3.52</v>
      </c>
      <c r="O72" s="12">
        <f t="shared" si="32"/>
        <v>4.0231393214752078</v>
      </c>
      <c r="P72" s="14">
        <f t="shared" si="33"/>
        <v>0.78205128205128205</v>
      </c>
      <c r="Q72" s="4"/>
      <c r="R72" s="14"/>
      <c r="S72" s="15"/>
      <c r="T72" s="15"/>
      <c r="U72" s="4"/>
      <c r="V72" s="16"/>
      <c r="W72" s="14">
        <f t="shared" si="34"/>
        <v>-0.10505434223559876</v>
      </c>
      <c r="X72" s="14">
        <f t="shared" si="4"/>
        <v>-0.10544339619329567</v>
      </c>
      <c r="Y72" s="14">
        <f t="shared" si="5"/>
        <v>0.24253562503633297</v>
      </c>
      <c r="Z72" s="17">
        <f t="shared" si="36"/>
        <v>17</v>
      </c>
      <c r="AA72" s="14">
        <f t="shared" si="35"/>
        <v>-0.2112777938021598</v>
      </c>
      <c r="AB72" s="14">
        <f t="shared" si="6"/>
        <v>0.44845953848017073</v>
      </c>
      <c r="AC72" s="17">
        <f t="shared" si="37"/>
        <v>4.972255865052527</v>
      </c>
    </row>
    <row r="73" spans="1:29" ht="14.4" x14ac:dyDescent="0.3">
      <c r="A73" s="10">
        <f t="shared" si="7"/>
        <v>72</v>
      </c>
      <c r="B73" s="10" t="s">
        <v>86</v>
      </c>
      <c r="C73" s="10" t="s">
        <v>131</v>
      </c>
      <c r="D73" s="10" t="s">
        <v>84</v>
      </c>
      <c r="E73" s="10" t="s">
        <v>43</v>
      </c>
      <c r="F73" s="10" t="s">
        <v>59</v>
      </c>
      <c r="G73" s="10" t="s">
        <v>40</v>
      </c>
      <c r="H73" s="10">
        <f t="shared" si="31"/>
        <v>18</v>
      </c>
      <c r="I73" s="10">
        <v>9</v>
      </c>
      <c r="J73" s="10">
        <v>5.22</v>
      </c>
      <c r="K73" s="13">
        <v>1.77</v>
      </c>
      <c r="L73" s="10">
        <v>9</v>
      </c>
      <c r="M73" s="10">
        <v>6.06</v>
      </c>
      <c r="N73" s="13">
        <v>1.83</v>
      </c>
      <c r="O73" s="12">
        <f t="shared" si="32"/>
        <v>1.8002499826412999</v>
      </c>
      <c r="P73" s="14">
        <f t="shared" si="33"/>
        <v>1.1609195402298851</v>
      </c>
      <c r="Q73" s="4"/>
      <c r="R73" s="14"/>
      <c r="S73" s="15"/>
      <c r="T73" s="15"/>
      <c r="U73" s="4"/>
      <c r="V73" s="16"/>
      <c r="W73" s="14">
        <f t="shared" si="34"/>
        <v>0.22719969137956753</v>
      </c>
      <c r="X73" s="14">
        <f t="shared" si="4"/>
        <v>0.23123474843888336</v>
      </c>
      <c r="Y73" s="14">
        <f t="shared" si="5"/>
        <v>0.2581988897471611</v>
      </c>
      <c r="Z73" s="17">
        <f t="shared" si="36"/>
        <v>15.000000000000004</v>
      </c>
      <c r="AA73" s="14">
        <f t="shared" si="35"/>
        <v>0.46660186535181319</v>
      </c>
      <c r="AB73" s="14">
        <f t="shared" si="6"/>
        <v>0.47777601972140415</v>
      </c>
      <c r="AC73" s="17">
        <f t="shared" si="37"/>
        <v>4.380778588807785</v>
      </c>
    </row>
    <row r="74" spans="1:29" ht="14.4" x14ac:dyDescent="0.3">
      <c r="A74" s="10">
        <f t="shared" si="7"/>
        <v>73</v>
      </c>
      <c r="B74" s="10" t="s">
        <v>86</v>
      </c>
      <c r="C74" s="10" t="s">
        <v>132</v>
      </c>
      <c r="D74" s="10" t="s">
        <v>84</v>
      </c>
      <c r="E74" s="10" t="s">
        <v>43</v>
      </c>
      <c r="F74" s="10" t="s">
        <v>41</v>
      </c>
      <c r="G74" s="10" t="s">
        <v>40</v>
      </c>
      <c r="H74" s="10">
        <f t="shared" si="31"/>
        <v>20</v>
      </c>
      <c r="I74" s="10">
        <v>10</v>
      </c>
      <c r="J74" s="10">
        <v>1.55</v>
      </c>
      <c r="K74" s="13">
        <v>0.98</v>
      </c>
      <c r="L74" s="10">
        <v>10</v>
      </c>
      <c r="M74" s="10">
        <v>1.55</v>
      </c>
      <c r="N74" s="13">
        <v>1.1399999999999999</v>
      </c>
      <c r="O74" s="12">
        <f t="shared" si="32"/>
        <v>1.0630145812734648</v>
      </c>
      <c r="P74" s="14">
        <f t="shared" si="33"/>
        <v>1</v>
      </c>
      <c r="Q74" s="4"/>
      <c r="R74" s="14"/>
      <c r="S74" s="15"/>
      <c r="T74" s="15"/>
      <c r="U74" s="4"/>
      <c r="V74" s="16"/>
      <c r="W74" s="14">
        <f t="shared" si="34"/>
        <v>0</v>
      </c>
      <c r="X74" s="14">
        <f t="shared" si="4"/>
        <v>0</v>
      </c>
      <c r="Y74" s="14">
        <f t="shared" si="5"/>
        <v>0.24253562503633297</v>
      </c>
      <c r="Z74" s="17">
        <f t="shared" si="36"/>
        <v>17</v>
      </c>
      <c r="AA74" s="14">
        <f t="shared" si="35"/>
        <v>0</v>
      </c>
      <c r="AB74" s="14">
        <f t="shared" si="6"/>
        <v>0.44721359549995793</v>
      </c>
      <c r="AC74" s="17">
        <f t="shared" si="37"/>
        <v>5</v>
      </c>
    </row>
    <row r="75" spans="1:29" ht="14.4" x14ac:dyDescent="0.3">
      <c r="A75" s="10">
        <f t="shared" si="7"/>
        <v>74</v>
      </c>
      <c r="B75" s="10" t="s">
        <v>133</v>
      </c>
      <c r="C75" s="10">
        <v>1</v>
      </c>
      <c r="D75" s="10" t="s">
        <v>37</v>
      </c>
      <c r="E75" s="10" t="s">
        <v>43</v>
      </c>
      <c r="F75" s="10" t="s">
        <v>41</v>
      </c>
      <c r="G75" s="10" t="s">
        <v>53</v>
      </c>
      <c r="H75" s="9">
        <f t="shared" si="31"/>
        <v>524</v>
      </c>
      <c r="I75" s="10">
        <v>257</v>
      </c>
      <c r="J75" s="10">
        <v>18.440000000000001</v>
      </c>
      <c r="K75" s="13">
        <v>3.62</v>
      </c>
      <c r="L75" s="10">
        <v>267</v>
      </c>
      <c r="M75" s="10">
        <v>68.16</v>
      </c>
      <c r="N75" s="13">
        <v>9.6300000000000008</v>
      </c>
      <c r="O75" s="12">
        <f t="shared" si="32"/>
        <v>7.3268965742640102</v>
      </c>
      <c r="P75" s="14">
        <f t="shared" si="33"/>
        <v>3.6963123644251623</v>
      </c>
      <c r="Q75" s="4"/>
      <c r="R75" s="14"/>
      <c r="S75" s="15"/>
      <c r="T75" s="15"/>
      <c r="U75" s="4"/>
      <c r="V75" s="16"/>
      <c r="W75" s="14">
        <f t="shared" si="34"/>
        <v>0.9592073015523056</v>
      </c>
      <c r="X75" s="14">
        <f t="shared" si="4"/>
        <v>1.9358960633271731</v>
      </c>
      <c r="Y75" s="14">
        <f t="shared" si="5"/>
        <v>4.3810795433832352E-2</v>
      </c>
      <c r="Z75" s="17">
        <f t="shared" si="36"/>
        <v>521</v>
      </c>
      <c r="AA75" s="14">
        <f t="shared" si="35"/>
        <v>6.7859563044254374</v>
      </c>
      <c r="AB75" s="14">
        <f t="shared" si="6"/>
        <v>0.22710448718891271</v>
      </c>
      <c r="AC75" s="17">
        <f t="shared" si="37"/>
        <v>19.388694584690452</v>
      </c>
    </row>
    <row r="76" spans="1:29" ht="14.4" x14ac:dyDescent="0.3">
      <c r="A76" s="10">
        <f t="shared" si="7"/>
        <v>75</v>
      </c>
      <c r="B76" s="10" t="s">
        <v>133</v>
      </c>
      <c r="C76" s="10">
        <v>2</v>
      </c>
      <c r="D76" s="10" t="s">
        <v>37</v>
      </c>
      <c r="E76" s="10" t="s">
        <v>43</v>
      </c>
      <c r="F76" s="10" t="s">
        <v>41</v>
      </c>
      <c r="G76" s="10" t="s">
        <v>40</v>
      </c>
      <c r="H76" s="10">
        <v>46</v>
      </c>
      <c r="I76" s="10">
        <f t="shared" ref="I76:I77" si="38">H76/2</f>
        <v>23</v>
      </c>
      <c r="J76" s="10">
        <v>10</v>
      </c>
      <c r="K76" s="13">
        <v>11.25</v>
      </c>
      <c r="L76" s="10">
        <f t="shared" ref="L76:L77" si="39">H76/2</f>
        <v>23</v>
      </c>
      <c r="M76" s="10">
        <v>50</v>
      </c>
      <c r="N76" s="13">
        <v>30</v>
      </c>
      <c r="O76" s="12">
        <f t="shared" si="32"/>
        <v>22.655711200489822</v>
      </c>
      <c r="P76" s="14">
        <f t="shared" si="33"/>
        <v>5</v>
      </c>
      <c r="Q76" s="4"/>
      <c r="R76" s="14"/>
      <c r="S76" s="15"/>
      <c r="T76" s="15"/>
      <c r="U76" s="4"/>
      <c r="V76" s="16"/>
      <c r="W76" s="14">
        <f t="shared" si="34"/>
        <v>0.66180146607283263</v>
      </c>
      <c r="X76" s="14">
        <f t="shared" si="4"/>
        <v>0.79601220596186517</v>
      </c>
      <c r="Y76" s="14">
        <f t="shared" si="5"/>
        <v>0.15249857033260467</v>
      </c>
      <c r="Z76" s="17">
        <f t="shared" si="36"/>
        <v>43</v>
      </c>
      <c r="AA76" s="14">
        <f t="shared" si="35"/>
        <v>1.765559229018385</v>
      </c>
      <c r="AB76" s="14">
        <f t="shared" si="6"/>
        <v>0.34761922245049526</v>
      </c>
      <c r="AC76" s="17">
        <f t="shared" si="37"/>
        <v>8.2754654983570628</v>
      </c>
    </row>
    <row r="77" spans="1:29" ht="14.4" x14ac:dyDescent="0.3">
      <c r="A77" s="10">
        <f t="shared" si="7"/>
        <v>76</v>
      </c>
      <c r="B77" s="9" t="s">
        <v>88</v>
      </c>
      <c r="C77" s="9">
        <v>1</v>
      </c>
      <c r="D77" s="9" t="s">
        <v>42</v>
      </c>
      <c r="E77" s="9" t="s">
        <v>43</v>
      </c>
      <c r="F77" s="9" t="s">
        <v>59</v>
      </c>
      <c r="G77" s="9" t="s">
        <v>40</v>
      </c>
      <c r="H77" s="9">
        <v>116</v>
      </c>
      <c r="I77" s="10">
        <f t="shared" si="38"/>
        <v>58</v>
      </c>
      <c r="J77" s="10">
        <v>19.600000000000001</v>
      </c>
      <c r="K77" s="13">
        <v>21.21</v>
      </c>
      <c r="L77" s="10">
        <f t="shared" si="39"/>
        <v>58</v>
      </c>
      <c r="M77" s="10">
        <v>25.2</v>
      </c>
      <c r="N77" s="13">
        <v>28.97</v>
      </c>
      <c r="O77" s="12">
        <f t="shared" si="32"/>
        <v>25.388235464482364</v>
      </c>
      <c r="P77" s="14">
        <f t="shared" si="33"/>
        <v>1.2857142857142856</v>
      </c>
      <c r="Q77" s="4"/>
      <c r="R77" s="14"/>
      <c r="S77" s="15">
        <f>_xlfn.NORM.S.INV(1-T77)</f>
        <v>0.66507894617592334</v>
      </c>
      <c r="T77" s="15">
        <f>0.253</f>
        <v>0.253</v>
      </c>
      <c r="U77" s="4"/>
      <c r="V77" s="16"/>
      <c r="W77" s="14">
        <f t="shared" si="34"/>
        <v>0.10962263147866114</v>
      </c>
      <c r="X77" s="14">
        <f t="shared" si="4"/>
        <v>0.1100649412140043</v>
      </c>
      <c r="Y77" s="14">
        <f t="shared" si="5"/>
        <v>9.4072086838359728E-2</v>
      </c>
      <c r="Z77" s="17">
        <f t="shared" si="36"/>
        <v>113</v>
      </c>
      <c r="AA77" s="14">
        <f t="shared" si="35"/>
        <v>0.2205746046366352</v>
      </c>
      <c r="AB77" s="14">
        <f t="shared" si="6"/>
        <v>0.18625914877102759</v>
      </c>
      <c r="AC77" s="17">
        <f t="shared" si="37"/>
        <v>28.824698430566748</v>
      </c>
    </row>
    <row r="78" spans="1:29" ht="14.4" x14ac:dyDescent="0.3">
      <c r="A78" s="10">
        <f t="shared" si="7"/>
        <v>77</v>
      </c>
      <c r="B78" s="9" t="s">
        <v>89</v>
      </c>
      <c r="C78" s="9">
        <v>1</v>
      </c>
      <c r="D78" s="9" t="s">
        <v>37</v>
      </c>
      <c r="E78" s="9" t="s">
        <v>38</v>
      </c>
      <c r="F78" s="9" t="s">
        <v>59</v>
      </c>
      <c r="G78" s="9" t="s">
        <v>40</v>
      </c>
      <c r="H78" s="9">
        <f t="shared" ref="H78:H99" si="40">SUM(I78,L78)</f>
        <v>187</v>
      </c>
      <c r="I78" s="10">
        <v>93</v>
      </c>
      <c r="J78" s="10">
        <v>4.17</v>
      </c>
      <c r="K78" s="4"/>
      <c r="L78" s="10">
        <v>94</v>
      </c>
      <c r="M78" s="10">
        <v>4.41</v>
      </c>
      <c r="N78" s="12"/>
      <c r="O78" s="12">
        <f>AVERAGE(1.56,2.04,2.11,2.32)</f>
        <v>2.0074999999999998</v>
      </c>
      <c r="P78" s="14">
        <f t="shared" si="33"/>
        <v>1.0575539568345325</v>
      </c>
      <c r="Q78" s="4"/>
      <c r="R78" s="14"/>
      <c r="S78" s="15"/>
      <c r="T78" s="15"/>
      <c r="U78" s="4"/>
      <c r="V78" s="16"/>
      <c r="W78" s="14">
        <f t="shared" si="34"/>
        <v>5.966933188584677E-2</v>
      </c>
      <c r="X78" s="14">
        <f t="shared" si="4"/>
        <v>5.9740299696387285E-2</v>
      </c>
      <c r="Y78" s="14">
        <f t="shared" si="5"/>
        <v>7.3720978077448568E-2</v>
      </c>
      <c r="Z78" s="17">
        <f t="shared" si="36"/>
        <v>184</v>
      </c>
      <c r="AA78" s="14">
        <f t="shared" si="35"/>
        <v>0.11955168119551693</v>
      </c>
      <c r="AB78" s="14">
        <f t="shared" si="6"/>
        <v>0.146387163249974</v>
      </c>
      <c r="AC78" s="17">
        <f t="shared" si="37"/>
        <v>46.665294411270679</v>
      </c>
    </row>
    <row r="79" spans="1:29" ht="14.4" x14ac:dyDescent="0.3">
      <c r="A79" s="10">
        <f t="shared" si="7"/>
        <v>78</v>
      </c>
      <c r="B79" s="10" t="s">
        <v>134</v>
      </c>
      <c r="C79" s="10">
        <v>1</v>
      </c>
      <c r="D79" s="10" t="s">
        <v>42</v>
      </c>
      <c r="E79" s="10" t="s">
        <v>43</v>
      </c>
      <c r="F79" s="10" t="s">
        <v>59</v>
      </c>
      <c r="G79" s="10" t="s">
        <v>40</v>
      </c>
      <c r="H79" s="9">
        <f t="shared" si="40"/>
        <v>48</v>
      </c>
      <c r="I79" s="10">
        <v>24</v>
      </c>
      <c r="J79" s="10">
        <v>10.58</v>
      </c>
      <c r="K79" s="13">
        <v>0.98699999999999999</v>
      </c>
      <c r="L79" s="10">
        <v>24</v>
      </c>
      <c r="M79" s="10">
        <v>14.18</v>
      </c>
      <c r="N79" s="13">
        <v>1.23</v>
      </c>
      <c r="O79" s="12">
        <f t="shared" ref="O79:O99" si="41">SQRT( ((I79-1)*K79^2+(L79-1)*N79^2)/ (H79-2) )</f>
        <v>1.1151387806008721</v>
      </c>
      <c r="P79" s="14">
        <f t="shared" si="33"/>
        <v>1.3402646502835538</v>
      </c>
      <c r="Q79" s="4"/>
      <c r="R79" s="14"/>
      <c r="S79" s="15"/>
      <c r="T79" s="15"/>
      <c r="U79" s="10"/>
      <c r="V79" s="19"/>
      <c r="W79" s="14">
        <f t="shared" si="34"/>
        <v>0.85008479280775839</v>
      </c>
      <c r="X79" s="14">
        <f t="shared" si="4"/>
        <v>1.2564584510474939</v>
      </c>
      <c r="Y79" s="14">
        <f t="shared" si="5"/>
        <v>0.14907119849998599</v>
      </c>
      <c r="Z79" s="17">
        <f t="shared" si="36"/>
        <v>45</v>
      </c>
      <c r="AA79" s="14">
        <f t="shared" si="35"/>
        <v>3.2282977353367674</v>
      </c>
      <c r="AB79" s="14">
        <f t="shared" si="6"/>
        <v>0.43805805204119946</v>
      </c>
      <c r="AC79" s="17">
        <f t="shared" si="37"/>
        <v>5.2111870836548331</v>
      </c>
    </row>
    <row r="80" spans="1:29" ht="14.4" x14ac:dyDescent="0.3">
      <c r="A80" s="10">
        <f t="shared" si="7"/>
        <v>79</v>
      </c>
      <c r="B80" s="10" t="s">
        <v>135</v>
      </c>
      <c r="C80" s="10">
        <v>9</v>
      </c>
      <c r="D80" s="10" t="s">
        <v>37</v>
      </c>
      <c r="E80" s="10" t="s">
        <v>38</v>
      </c>
      <c r="F80" s="10" t="s">
        <v>41</v>
      </c>
      <c r="G80" s="10" t="s">
        <v>40</v>
      </c>
      <c r="H80" s="9">
        <f t="shared" si="40"/>
        <v>95</v>
      </c>
      <c r="I80" s="10">
        <v>47</v>
      </c>
      <c r="J80" s="10">
        <v>41.99</v>
      </c>
      <c r="K80" s="10">
        <v>21.3</v>
      </c>
      <c r="L80" s="10">
        <v>48</v>
      </c>
      <c r="M80" s="10">
        <v>64.209999999999994</v>
      </c>
      <c r="N80" s="10">
        <v>26.02</v>
      </c>
      <c r="O80" s="12">
        <f t="shared" si="41"/>
        <v>23.802647092333039</v>
      </c>
      <c r="P80" s="14">
        <f t="shared" si="33"/>
        <v>1.5291736127649438</v>
      </c>
      <c r="Q80" s="4"/>
      <c r="R80" s="4"/>
      <c r="S80" s="4"/>
      <c r="T80" s="4"/>
      <c r="U80" s="4"/>
      <c r="V80" s="4"/>
      <c r="W80" s="14">
        <f t="shared" si="34"/>
        <v>0.42295105131459976</v>
      </c>
      <c r="X80" s="14">
        <f t="shared" si="4"/>
        <v>0.45128055163920167</v>
      </c>
      <c r="Y80" s="14">
        <f t="shared" si="5"/>
        <v>0.10425720702853739</v>
      </c>
      <c r="Z80" s="17">
        <f t="shared" si="36"/>
        <v>91.999999999999986</v>
      </c>
      <c r="AA80" s="14">
        <f t="shared" si="35"/>
        <v>0.93350961822885548</v>
      </c>
      <c r="AB80" s="14">
        <f t="shared" si="6"/>
        <v>0.2160936289782556</v>
      </c>
      <c r="AC80" s="17">
        <f t="shared" si="37"/>
        <v>21.41490115682322</v>
      </c>
    </row>
    <row r="81" spans="1:29" ht="14.4" x14ac:dyDescent="0.3">
      <c r="A81" s="10">
        <f t="shared" si="7"/>
        <v>80</v>
      </c>
      <c r="B81" s="9" t="s">
        <v>93</v>
      </c>
      <c r="C81" s="9">
        <v>1</v>
      </c>
      <c r="D81" s="9" t="s">
        <v>84</v>
      </c>
      <c r="E81" s="9" t="s">
        <v>43</v>
      </c>
      <c r="F81" s="9" t="s">
        <v>59</v>
      </c>
      <c r="G81" s="9" t="s">
        <v>40</v>
      </c>
      <c r="H81" s="9">
        <f t="shared" si="40"/>
        <v>204</v>
      </c>
      <c r="I81" s="10">
        <v>102</v>
      </c>
      <c r="J81" s="10">
        <v>10.210000000000001</v>
      </c>
      <c r="K81" s="10">
        <v>10.46</v>
      </c>
      <c r="L81" s="10">
        <v>102</v>
      </c>
      <c r="M81" s="10">
        <v>12.11</v>
      </c>
      <c r="N81" s="10">
        <v>9.9700000000000006</v>
      </c>
      <c r="O81" s="12">
        <f t="shared" si="41"/>
        <v>10.217937658842905</v>
      </c>
      <c r="P81" s="14">
        <f t="shared" si="33"/>
        <v>1.186092066601371</v>
      </c>
      <c r="Q81" s="4"/>
      <c r="R81" s="4"/>
      <c r="S81" s="10">
        <v>2.17</v>
      </c>
      <c r="T81" s="15">
        <v>1.5003422969999999E-2</v>
      </c>
      <c r="U81" s="4"/>
      <c r="V81" s="4"/>
      <c r="W81" s="14">
        <f t="shared" si="34"/>
        <v>9.2574500280838412E-2</v>
      </c>
      <c r="X81" s="14">
        <f t="shared" si="4"/>
        <v>9.2840324162874285E-2</v>
      </c>
      <c r="Y81" s="14">
        <f t="shared" si="5"/>
        <v>7.0534561585859828E-2</v>
      </c>
      <c r="Z81" s="17">
        <f t="shared" si="36"/>
        <v>201</v>
      </c>
      <c r="AA81" s="14">
        <f t="shared" si="35"/>
        <v>0.18594750363892487</v>
      </c>
      <c r="AB81" s="14">
        <f t="shared" si="6"/>
        <v>0.14033028681409912</v>
      </c>
      <c r="AC81" s="17">
        <f t="shared" si="37"/>
        <v>50.780523567699028</v>
      </c>
    </row>
    <row r="82" spans="1:29" ht="14.4" x14ac:dyDescent="0.3">
      <c r="A82" s="10">
        <f t="shared" si="7"/>
        <v>81</v>
      </c>
      <c r="B82" s="9" t="s">
        <v>136</v>
      </c>
      <c r="C82" s="9">
        <v>2</v>
      </c>
      <c r="D82" s="9" t="s">
        <v>37</v>
      </c>
      <c r="E82" s="9" t="s">
        <v>43</v>
      </c>
      <c r="F82" s="9" t="s">
        <v>41</v>
      </c>
      <c r="G82" s="9" t="s">
        <v>40</v>
      </c>
      <c r="H82" s="9">
        <f t="shared" si="40"/>
        <v>671</v>
      </c>
      <c r="I82" s="10">
        <v>490</v>
      </c>
      <c r="J82" s="10">
        <v>0.44</v>
      </c>
      <c r="K82" s="10">
        <v>0.38</v>
      </c>
      <c r="L82" s="10">
        <v>181</v>
      </c>
      <c r="M82" s="10">
        <v>1.04</v>
      </c>
      <c r="N82" s="10">
        <v>0.71</v>
      </c>
      <c r="O82" s="12">
        <f t="shared" si="41"/>
        <v>0.49110107824998306</v>
      </c>
      <c r="P82" s="14">
        <f t="shared" si="33"/>
        <v>2.3636363636363638</v>
      </c>
      <c r="Q82" s="10"/>
      <c r="R82" s="14"/>
      <c r="S82" s="4"/>
      <c r="T82" s="4"/>
      <c r="U82" s="4"/>
      <c r="V82" s="4"/>
      <c r="W82" s="14">
        <f t="shared" si="34"/>
        <v>0.52130156340952538</v>
      </c>
      <c r="X82" s="14">
        <f t="shared" si="4"/>
        <v>0.57812535435192069</v>
      </c>
      <c r="Y82" s="14">
        <f t="shared" si="5"/>
        <v>3.8691161626706841E-2</v>
      </c>
      <c r="Z82" s="17">
        <f t="shared" si="36"/>
        <v>668</v>
      </c>
      <c r="AA82" s="14">
        <f t="shared" si="35"/>
        <v>1.2217444159114321</v>
      </c>
      <c r="AB82" s="14">
        <f t="shared" si="6"/>
        <v>9.3155477814616292E-2</v>
      </c>
      <c r="AC82" s="17">
        <f t="shared" si="37"/>
        <v>115.23468114494548</v>
      </c>
    </row>
    <row r="83" spans="1:29" ht="14.4" x14ac:dyDescent="0.3">
      <c r="A83" s="10">
        <f t="shared" si="7"/>
        <v>82</v>
      </c>
      <c r="B83" s="9" t="s">
        <v>136</v>
      </c>
      <c r="C83" s="9" t="s">
        <v>67</v>
      </c>
      <c r="D83" s="9" t="s">
        <v>37</v>
      </c>
      <c r="E83" s="9" t="s">
        <v>43</v>
      </c>
      <c r="F83" s="9" t="s">
        <v>41</v>
      </c>
      <c r="G83" s="9" t="s">
        <v>40</v>
      </c>
      <c r="H83" s="9">
        <f t="shared" si="40"/>
        <v>303</v>
      </c>
      <c r="I83" s="10">
        <v>110</v>
      </c>
      <c r="J83" s="10">
        <v>6.59</v>
      </c>
      <c r="K83" s="10">
        <v>2.38</v>
      </c>
      <c r="L83" s="10">
        <v>193</v>
      </c>
      <c r="M83" s="10">
        <v>8.0399999999999991</v>
      </c>
      <c r="N83" s="10">
        <v>3.7403</v>
      </c>
      <c r="O83" s="12">
        <f t="shared" si="41"/>
        <v>3.3128510797616215</v>
      </c>
      <c r="P83" s="14">
        <f t="shared" si="33"/>
        <v>1.220030349013657</v>
      </c>
      <c r="Q83" s="10">
        <v>14.02</v>
      </c>
      <c r="R83" s="14">
        <f>TDIST(Q83,H83-2,1)</f>
        <v>5.1255020644402468E-35</v>
      </c>
      <c r="S83" s="4"/>
      <c r="T83" s="4"/>
      <c r="U83" s="4"/>
      <c r="V83" s="4"/>
      <c r="W83" s="14">
        <f t="shared" si="34"/>
        <v>0.21378519185733219</v>
      </c>
      <c r="X83" s="14">
        <f t="shared" si="4"/>
        <v>0.21713448280623984</v>
      </c>
      <c r="Y83" s="14">
        <f t="shared" si="5"/>
        <v>5.7735026918962568E-2</v>
      </c>
      <c r="Z83" s="17">
        <f t="shared" si="36"/>
        <v>300.00000000000011</v>
      </c>
      <c r="AA83" s="14">
        <f t="shared" si="35"/>
        <v>0.43768945995131631</v>
      </c>
      <c r="AB83" s="14">
        <f t="shared" si="6"/>
        <v>0.12078237354122269</v>
      </c>
      <c r="AC83" s="17">
        <f t="shared" si="37"/>
        <v>68.547698886093528</v>
      </c>
    </row>
    <row r="84" spans="1:29" ht="14.4" x14ac:dyDescent="0.3">
      <c r="A84" s="10">
        <f t="shared" si="7"/>
        <v>83</v>
      </c>
      <c r="B84" s="9" t="s">
        <v>136</v>
      </c>
      <c r="C84" s="9" t="s">
        <v>69</v>
      </c>
      <c r="D84" s="9" t="s">
        <v>37</v>
      </c>
      <c r="E84" s="9" t="s">
        <v>43</v>
      </c>
      <c r="F84" s="9" t="s">
        <v>41</v>
      </c>
      <c r="G84" s="9" t="s">
        <v>40</v>
      </c>
      <c r="H84" s="9">
        <f t="shared" si="40"/>
        <v>3978</v>
      </c>
      <c r="I84" s="10">
        <v>1443</v>
      </c>
      <c r="J84" s="10">
        <v>8.8800000000000008</v>
      </c>
      <c r="K84" s="13">
        <v>4.03</v>
      </c>
      <c r="L84" s="10">
        <v>2535</v>
      </c>
      <c r="M84" s="10">
        <v>9.8849999999999998</v>
      </c>
      <c r="N84" s="13">
        <v>5.3014999999999999</v>
      </c>
      <c r="O84" s="12">
        <f t="shared" si="41"/>
        <v>4.8788062090564912</v>
      </c>
      <c r="P84" s="14">
        <f t="shared" si="33"/>
        <v>1.1131756756756757</v>
      </c>
      <c r="Q84" s="4"/>
      <c r="R84" s="14"/>
      <c r="S84" s="15"/>
      <c r="T84" s="15"/>
      <c r="U84" s="4"/>
      <c r="V84" s="16"/>
      <c r="W84" s="14">
        <f t="shared" si="34"/>
        <v>0.10245450798471085</v>
      </c>
      <c r="X84" s="14">
        <f t="shared" si="4"/>
        <v>0.10281526865534582</v>
      </c>
      <c r="Y84" s="14">
        <f t="shared" si="5"/>
        <v>1.5861031714362882E-2</v>
      </c>
      <c r="Z84" s="17">
        <f t="shared" si="36"/>
        <v>3975</v>
      </c>
      <c r="AA84" s="14">
        <f t="shared" si="35"/>
        <v>0.2059930148761443</v>
      </c>
      <c r="AB84" s="14">
        <f t="shared" si="6"/>
        <v>3.3057699329146477E-2</v>
      </c>
      <c r="AC84" s="17">
        <f t="shared" si="37"/>
        <v>915.07091001915524</v>
      </c>
    </row>
    <row r="85" spans="1:29" ht="14.4" x14ac:dyDescent="0.3">
      <c r="A85" s="10">
        <f t="shared" si="7"/>
        <v>84</v>
      </c>
      <c r="B85" s="9" t="s">
        <v>136</v>
      </c>
      <c r="C85" s="9">
        <v>4</v>
      </c>
      <c r="D85" s="9" t="s">
        <v>37</v>
      </c>
      <c r="E85" s="9" t="s">
        <v>43</v>
      </c>
      <c r="F85" s="9" t="s">
        <v>41</v>
      </c>
      <c r="G85" s="9" t="s">
        <v>40</v>
      </c>
      <c r="H85" s="9">
        <f t="shared" si="40"/>
        <v>3214</v>
      </c>
      <c r="I85" s="10">
        <v>1602</v>
      </c>
      <c r="J85" s="10">
        <v>8.8000000000000007</v>
      </c>
      <c r="K85" s="13">
        <v>4.6399999999999997</v>
      </c>
      <c r="L85" s="10">
        <v>1612</v>
      </c>
      <c r="M85" s="10">
        <v>8.8800000000000008</v>
      </c>
      <c r="N85" s="13">
        <v>4.88</v>
      </c>
      <c r="O85" s="12">
        <f t="shared" si="41"/>
        <v>4.7618858304788834</v>
      </c>
      <c r="P85" s="14">
        <f t="shared" si="33"/>
        <v>1.009090909090909</v>
      </c>
      <c r="Q85" s="4"/>
      <c r="R85" s="14"/>
      <c r="S85" s="15"/>
      <c r="T85" s="15"/>
      <c r="U85" s="4"/>
      <c r="V85" s="16"/>
      <c r="W85" s="14">
        <f t="shared" si="34"/>
        <v>8.3997370553158014E-3</v>
      </c>
      <c r="X85" s="14">
        <f t="shared" si="4"/>
        <v>8.3999346131263392E-3</v>
      </c>
      <c r="Y85" s="14">
        <f t="shared" si="5"/>
        <v>1.7647364143889368E-2</v>
      </c>
      <c r="Z85" s="17">
        <f t="shared" si="36"/>
        <v>3210.9999999999995</v>
      </c>
      <c r="AA85" s="14">
        <f t="shared" si="35"/>
        <v>1.6800066790336046E-2</v>
      </c>
      <c r="AB85" s="14">
        <f t="shared" si="6"/>
        <v>3.5279045170416828E-2</v>
      </c>
      <c r="AC85" s="17">
        <f t="shared" si="37"/>
        <v>803.46387537430621</v>
      </c>
    </row>
    <row r="86" spans="1:29" ht="14.4" x14ac:dyDescent="0.3">
      <c r="A86" s="10">
        <f t="shared" si="7"/>
        <v>85</v>
      </c>
      <c r="B86" s="9" t="s">
        <v>136</v>
      </c>
      <c r="C86" s="9">
        <v>5</v>
      </c>
      <c r="D86" s="9" t="s">
        <v>37</v>
      </c>
      <c r="E86" s="9" t="s">
        <v>43</v>
      </c>
      <c r="F86" s="9" t="s">
        <v>41</v>
      </c>
      <c r="G86" s="9" t="s">
        <v>40</v>
      </c>
      <c r="H86" s="9">
        <f t="shared" si="40"/>
        <v>1603</v>
      </c>
      <c r="I86" s="10">
        <v>801</v>
      </c>
      <c r="J86" s="10">
        <v>11.36</v>
      </c>
      <c r="K86" s="13">
        <v>7.7637</v>
      </c>
      <c r="L86" s="10">
        <v>802</v>
      </c>
      <c r="M86" s="10">
        <v>11.17</v>
      </c>
      <c r="N86" s="13">
        <v>7.7087000000000003</v>
      </c>
      <c r="O86" s="12">
        <f t="shared" si="41"/>
        <v>7.7362317005263366</v>
      </c>
      <c r="P86" s="14">
        <f t="shared" si="33"/>
        <v>0.98327464788732399</v>
      </c>
      <c r="Q86" s="4"/>
      <c r="R86" s="14"/>
      <c r="S86" s="15"/>
      <c r="T86" s="15"/>
      <c r="U86" s="4"/>
      <c r="V86" s="16"/>
      <c r="W86" s="14">
        <f t="shared" si="34"/>
        <v>-1.2278954625809713E-2</v>
      </c>
      <c r="X86" s="14">
        <f t="shared" si="4"/>
        <v>-1.2279571792131801E-2</v>
      </c>
      <c r="Y86" s="14">
        <f t="shared" si="5"/>
        <v>2.5000000000000001E-2</v>
      </c>
      <c r="Z86" s="17">
        <f t="shared" si="36"/>
        <v>1599.9999999999998</v>
      </c>
      <c r="AA86" s="14">
        <f t="shared" si="35"/>
        <v>-2.4559760792463442E-2</v>
      </c>
      <c r="AB86" s="14">
        <f t="shared" si="6"/>
        <v>4.9955083677908595E-2</v>
      </c>
      <c r="AC86" s="17">
        <f t="shared" si="37"/>
        <v>400.719630703147</v>
      </c>
    </row>
    <row r="87" spans="1:29" ht="14.4" x14ac:dyDescent="0.3">
      <c r="A87" s="10">
        <f t="shared" si="7"/>
        <v>86</v>
      </c>
      <c r="B87" s="9" t="s">
        <v>136</v>
      </c>
      <c r="C87" s="9" t="s">
        <v>96</v>
      </c>
      <c r="D87" s="9" t="s">
        <v>37</v>
      </c>
      <c r="E87" s="9" t="s">
        <v>43</v>
      </c>
      <c r="F87" s="9" t="s">
        <v>41</v>
      </c>
      <c r="G87" s="9" t="s">
        <v>40</v>
      </c>
      <c r="H87" s="9">
        <f t="shared" si="40"/>
        <v>191</v>
      </c>
      <c r="I87" s="10">
        <v>113</v>
      </c>
      <c r="J87" s="10">
        <v>0.91</v>
      </c>
      <c r="K87" s="13">
        <v>0.38</v>
      </c>
      <c r="L87" s="10">
        <v>78</v>
      </c>
      <c r="M87" s="10">
        <v>0.84</v>
      </c>
      <c r="N87" s="13">
        <v>0.75</v>
      </c>
      <c r="O87" s="12">
        <f t="shared" si="41"/>
        <v>0.56101429307731276</v>
      </c>
      <c r="P87" s="14">
        <f t="shared" si="33"/>
        <v>0.92307692307692302</v>
      </c>
      <c r="Q87" s="4"/>
      <c r="R87" s="14"/>
      <c r="S87" s="15"/>
      <c r="T87" s="15"/>
      <c r="U87" s="4"/>
      <c r="V87" s="16"/>
      <c r="W87" s="14">
        <f t="shared" si="34"/>
        <v>-6.2265946161330951E-2</v>
      </c>
      <c r="X87" s="14">
        <f t="shared" si="4"/>
        <v>-6.2346603226499347E-2</v>
      </c>
      <c r="Y87" s="14">
        <f t="shared" si="5"/>
        <v>7.2932495748947279E-2</v>
      </c>
      <c r="Z87" s="17">
        <f t="shared" si="36"/>
        <v>188</v>
      </c>
      <c r="AA87" s="14">
        <f t="shared" si="35"/>
        <v>-0.12477400462656918</v>
      </c>
      <c r="AB87" s="14">
        <f t="shared" si="6"/>
        <v>0.14734593891576381</v>
      </c>
      <c r="AC87" s="17">
        <f t="shared" si="37"/>
        <v>46.059970870226934</v>
      </c>
    </row>
    <row r="88" spans="1:29" ht="14.4" x14ac:dyDescent="0.3">
      <c r="A88" s="10">
        <f t="shared" si="7"/>
        <v>87</v>
      </c>
      <c r="B88" s="9" t="s">
        <v>136</v>
      </c>
      <c r="C88" s="9" t="s">
        <v>97</v>
      </c>
      <c r="D88" s="9" t="s">
        <v>37</v>
      </c>
      <c r="E88" s="9" t="s">
        <v>43</v>
      </c>
      <c r="F88" s="9" t="s">
        <v>41</v>
      </c>
      <c r="G88" s="9" t="s">
        <v>40</v>
      </c>
      <c r="H88" s="9">
        <f t="shared" si="40"/>
        <v>209</v>
      </c>
      <c r="I88" s="10">
        <v>117</v>
      </c>
      <c r="J88" s="10">
        <v>2.4700000000000002</v>
      </c>
      <c r="K88" s="13">
        <v>2.36</v>
      </c>
      <c r="L88" s="10">
        <v>92</v>
      </c>
      <c r="M88" s="10">
        <v>3.47</v>
      </c>
      <c r="N88" s="13">
        <v>2.96</v>
      </c>
      <c r="O88" s="12">
        <f t="shared" si="41"/>
        <v>2.6406147725125666</v>
      </c>
      <c r="P88" s="14">
        <f t="shared" si="33"/>
        <v>1.4048582995951417</v>
      </c>
      <c r="Q88" s="4"/>
      <c r="R88" s="14"/>
      <c r="S88" s="15"/>
      <c r="T88" s="15"/>
      <c r="U88" s="4"/>
      <c r="V88" s="16"/>
      <c r="W88" s="14">
        <f t="shared" si="34"/>
        <v>0.1860440629628656</v>
      </c>
      <c r="X88" s="14">
        <f t="shared" si="4"/>
        <v>0.18823624915833845</v>
      </c>
      <c r="Y88" s="14">
        <f t="shared" si="5"/>
        <v>6.9673301429161769E-2</v>
      </c>
      <c r="Z88" s="17">
        <f t="shared" si="36"/>
        <v>205.99999999999997</v>
      </c>
      <c r="AA88" s="14">
        <f t="shared" si="35"/>
        <v>0.37869969160571337</v>
      </c>
      <c r="AB88" s="14">
        <f t="shared" si="6"/>
        <v>0.14056908677854654</v>
      </c>
      <c r="AC88" s="17">
        <f t="shared" si="37"/>
        <v>50.608137344025018</v>
      </c>
    </row>
    <row r="89" spans="1:29" ht="14.4" x14ac:dyDescent="0.3">
      <c r="A89" s="10">
        <f t="shared" si="7"/>
        <v>88</v>
      </c>
      <c r="B89" s="9" t="s">
        <v>136</v>
      </c>
      <c r="C89" s="9">
        <v>8</v>
      </c>
      <c r="D89" s="9" t="s">
        <v>37</v>
      </c>
      <c r="E89" s="9" t="s">
        <v>43</v>
      </c>
      <c r="F89" s="9" t="s">
        <v>41</v>
      </c>
      <c r="G89" s="9" t="s">
        <v>40</v>
      </c>
      <c r="H89" s="9">
        <f t="shared" si="40"/>
        <v>737</v>
      </c>
      <c r="I89" s="10">
        <v>347.5</v>
      </c>
      <c r="J89" s="10">
        <v>0.85</v>
      </c>
      <c r="K89" s="13">
        <v>1.9009</v>
      </c>
      <c r="L89" s="10">
        <v>389.5</v>
      </c>
      <c r="M89" s="10">
        <v>0.84</v>
      </c>
      <c r="N89" s="13">
        <v>1.3392999999999999</v>
      </c>
      <c r="O89" s="12">
        <f t="shared" si="41"/>
        <v>1.6283676877693898</v>
      </c>
      <c r="P89" s="14">
        <f t="shared" si="33"/>
        <v>0.9882352941176471</v>
      </c>
      <c r="Q89" s="4"/>
      <c r="R89" s="14"/>
      <c r="S89" s="15"/>
      <c r="T89" s="15"/>
      <c r="U89" s="4"/>
      <c r="V89" s="16"/>
      <c r="W89" s="14">
        <f t="shared" si="34"/>
        <v>-3.0705451028542356E-3</v>
      </c>
      <c r="X89" s="14">
        <f t="shared" si="4"/>
        <v>-3.0705547528616377E-3</v>
      </c>
      <c r="Y89" s="14">
        <f t="shared" si="5"/>
        <v>3.6910673526278109E-2</v>
      </c>
      <c r="Z89" s="17">
        <f t="shared" si="36"/>
        <v>734</v>
      </c>
      <c r="AA89" s="14">
        <f t="shared" si="35"/>
        <v>-6.1411191557715393E-3</v>
      </c>
      <c r="AB89" s="14">
        <f t="shared" si="6"/>
        <v>7.3791039580938217E-2</v>
      </c>
      <c r="AC89" s="17">
        <f t="shared" si="37"/>
        <v>183.65076527360276</v>
      </c>
    </row>
    <row r="90" spans="1:29" ht="14.4" x14ac:dyDescent="0.3">
      <c r="A90" s="10">
        <f t="shared" si="7"/>
        <v>89</v>
      </c>
      <c r="B90" s="9" t="s">
        <v>136</v>
      </c>
      <c r="C90" s="9">
        <v>9</v>
      </c>
      <c r="D90" s="9" t="s">
        <v>37</v>
      </c>
      <c r="E90" s="9" t="s">
        <v>43</v>
      </c>
      <c r="F90" s="9" t="s">
        <v>41</v>
      </c>
      <c r="G90" s="9" t="s">
        <v>40</v>
      </c>
      <c r="H90" s="9">
        <f t="shared" si="40"/>
        <v>771</v>
      </c>
      <c r="I90" s="10">
        <v>378</v>
      </c>
      <c r="J90" s="10">
        <v>11.1</v>
      </c>
      <c r="K90" s="13">
        <v>3.97</v>
      </c>
      <c r="L90" s="10">
        <v>393</v>
      </c>
      <c r="M90" s="10">
        <v>11.17</v>
      </c>
      <c r="N90" s="13">
        <v>3.5</v>
      </c>
      <c r="O90" s="12">
        <f t="shared" si="41"/>
        <v>3.7378079742725898</v>
      </c>
      <c r="P90" s="14">
        <f t="shared" si="33"/>
        <v>1.0063063063063062</v>
      </c>
      <c r="Q90" s="4"/>
      <c r="R90" s="14"/>
      <c r="S90" s="15"/>
      <c r="T90" s="15"/>
      <c r="U90" s="4"/>
      <c r="V90" s="16"/>
      <c r="W90" s="14">
        <f t="shared" si="34"/>
        <v>9.3633664265863233E-3</v>
      </c>
      <c r="X90" s="14">
        <f t="shared" si="4"/>
        <v>9.3636400779709486E-3</v>
      </c>
      <c r="Y90" s="14">
        <f t="shared" si="5"/>
        <v>3.6084391824351615E-2</v>
      </c>
      <c r="Z90" s="17">
        <f t="shared" si="36"/>
        <v>767.99999999999977</v>
      </c>
      <c r="AA90" s="14">
        <f t="shared" si="35"/>
        <v>1.8727553818123282E-2</v>
      </c>
      <c r="AB90" s="14">
        <f t="shared" si="6"/>
        <v>7.2043454617965491E-2</v>
      </c>
      <c r="AC90" s="17">
        <f t="shared" si="37"/>
        <v>192.6685993766296</v>
      </c>
    </row>
    <row r="91" spans="1:29" ht="14.4" x14ac:dyDescent="0.3">
      <c r="A91" s="10">
        <f t="shared" si="7"/>
        <v>90</v>
      </c>
      <c r="B91" s="9" t="s">
        <v>136</v>
      </c>
      <c r="C91" s="9">
        <v>10</v>
      </c>
      <c r="D91" s="9" t="s">
        <v>37</v>
      </c>
      <c r="E91" s="9" t="s">
        <v>43</v>
      </c>
      <c r="F91" s="9" t="s">
        <v>41</v>
      </c>
      <c r="G91" s="9" t="s">
        <v>40</v>
      </c>
      <c r="H91" s="9">
        <f t="shared" si="40"/>
        <v>2190</v>
      </c>
      <c r="I91" s="10">
        <v>1122</v>
      </c>
      <c r="J91" s="13">
        <v>10.78</v>
      </c>
      <c r="K91" s="13">
        <v>5.4</v>
      </c>
      <c r="L91" s="20">
        <v>1068</v>
      </c>
      <c r="M91" s="13">
        <v>11.17</v>
      </c>
      <c r="N91" s="13">
        <v>6.19</v>
      </c>
      <c r="O91" s="12">
        <f t="shared" si="41"/>
        <v>5.7987122183485598</v>
      </c>
      <c r="P91" s="14">
        <f t="shared" si="33"/>
        <v>1.0361781076066792</v>
      </c>
      <c r="Q91" s="4"/>
      <c r="R91" s="14"/>
      <c r="S91" s="15"/>
      <c r="T91" s="15"/>
      <c r="U91" s="4"/>
      <c r="V91" s="16"/>
      <c r="W91" s="14">
        <f t="shared" si="34"/>
        <v>3.3609158021870575E-2</v>
      </c>
      <c r="X91" s="14">
        <f t="shared" si="4"/>
        <v>3.3621821299314548E-2</v>
      </c>
      <c r="Y91" s="14">
        <f t="shared" si="5"/>
        <v>2.1383343303319473E-2</v>
      </c>
      <c r="Z91" s="17">
        <f t="shared" si="36"/>
        <v>2187</v>
      </c>
      <c r="AA91" s="14">
        <f t="shared" si="35"/>
        <v>6.7256312318094369E-2</v>
      </c>
      <c r="AB91" s="14">
        <f t="shared" si="6"/>
        <v>4.2762459325033864E-2</v>
      </c>
      <c r="AC91" s="17">
        <f t="shared" si="37"/>
        <v>546.85810325197087</v>
      </c>
    </row>
    <row r="92" spans="1:29" ht="14.4" x14ac:dyDescent="0.3">
      <c r="A92" s="10">
        <f t="shared" si="7"/>
        <v>91</v>
      </c>
      <c r="B92" s="9" t="s">
        <v>136</v>
      </c>
      <c r="C92" s="9">
        <v>11</v>
      </c>
      <c r="D92" s="9" t="s">
        <v>37</v>
      </c>
      <c r="E92" s="9" t="s">
        <v>43</v>
      </c>
      <c r="F92" s="9" t="s">
        <v>41</v>
      </c>
      <c r="G92" s="9" t="s">
        <v>40</v>
      </c>
      <c r="H92" s="9">
        <f t="shared" si="40"/>
        <v>209</v>
      </c>
      <c r="I92" s="10">
        <v>121</v>
      </c>
      <c r="J92" s="13">
        <v>1.06</v>
      </c>
      <c r="K92" s="13">
        <v>1.55</v>
      </c>
      <c r="L92" s="20">
        <v>88</v>
      </c>
      <c r="M92" s="13">
        <v>0.77</v>
      </c>
      <c r="N92" s="13">
        <v>1.48</v>
      </c>
      <c r="O92" s="12">
        <f t="shared" si="41"/>
        <v>1.5209722291150258</v>
      </c>
      <c r="P92" s="14">
        <f t="shared" si="33"/>
        <v>0.72641509433962259</v>
      </c>
      <c r="Q92" s="4"/>
      <c r="R92" s="14"/>
      <c r="S92" s="15"/>
      <c r="T92" s="15"/>
      <c r="U92" s="4"/>
      <c r="V92" s="16"/>
      <c r="W92" s="14">
        <f t="shared" si="34"/>
        <v>-9.4903468207142877E-2</v>
      </c>
      <c r="X92" s="14">
        <f t="shared" si="4"/>
        <v>-9.5189939249996969E-2</v>
      </c>
      <c r="Y92" s="14">
        <f t="shared" si="5"/>
        <v>6.9673301429161769E-2</v>
      </c>
      <c r="Z92" s="17">
        <f t="shared" si="36"/>
        <v>205.99999999999997</v>
      </c>
      <c r="AA92" s="14">
        <f t="shared" si="35"/>
        <v>-0.19066751808396651</v>
      </c>
      <c r="AB92" s="14">
        <f t="shared" si="6"/>
        <v>0.14041036539558233</v>
      </c>
      <c r="AC92" s="17">
        <f t="shared" si="37"/>
        <v>50.72261797500682</v>
      </c>
    </row>
    <row r="93" spans="1:29" ht="14.4" x14ac:dyDescent="0.3">
      <c r="A93" s="10">
        <f t="shared" si="7"/>
        <v>92</v>
      </c>
      <c r="B93" s="9" t="s">
        <v>136</v>
      </c>
      <c r="C93" s="9" t="s">
        <v>99</v>
      </c>
      <c r="D93" s="9" t="s">
        <v>37</v>
      </c>
      <c r="E93" s="9" t="s">
        <v>43</v>
      </c>
      <c r="F93" s="9" t="s">
        <v>41</v>
      </c>
      <c r="G93" s="9" t="s">
        <v>40</v>
      </c>
      <c r="H93" s="9">
        <f t="shared" si="40"/>
        <v>714</v>
      </c>
      <c r="I93" s="10">
        <v>345</v>
      </c>
      <c r="J93" s="13">
        <v>11.836667</v>
      </c>
      <c r="K93" s="13">
        <v>6.3541999999999996</v>
      </c>
      <c r="L93" s="20">
        <v>369</v>
      </c>
      <c r="M93" s="13">
        <v>11.216666999999999</v>
      </c>
      <c r="N93" s="13">
        <v>7.2004999999999999</v>
      </c>
      <c r="O93" s="12">
        <f t="shared" si="41"/>
        <v>6.804767900523867</v>
      </c>
      <c r="P93" s="14">
        <f t="shared" si="33"/>
        <v>0.94762039009798948</v>
      </c>
      <c r="Q93" s="4"/>
      <c r="R93" s="14"/>
      <c r="S93" s="15"/>
      <c r="T93" s="15"/>
      <c r="U93" s="4"/>
      <c r="V93" s="16"/>
      <c r="W93" s="14">
        <f t="shared" si="34"/>
        <v>-4.5509093200463133E-2</v>
      </c>
      <c r="X93" s="14">
        <f t="shared" si="4"/>
        <v>-4.5540549919936189E-2</v>
      </c>
      <c r="Y93" s="14">
        <f t="shared" si="5"/>
        <v>3.7502930030867465E-2</v>
      </c>
      <c r="Z93" s="17">
        <f t="shared" si="36"/>
        <v>711</v>
      </c>
      <c r="AA93" s="14">
        <f t="shared" si="35"/>
        <v>-9.1112585919685823E-2</v>
      </c>
      <c r="AB93" s="14">
        <f t="shared" si="6"/>
        <v>7.4929241305239661E-2</v>
      </c>
      <c r="AC93" s="17">
        <f t="shared" si="37"/>
        <v>178.11370172079825</v>
      </c>
    </row>
    <row r="94" spans="1:29" ht="14.4" x14ac:dyDescent="0.3">
      <c r="A94" s="10">
        <f t="shared" si="7"/>
        <v>93</v>
      </c>
      <c r="B94" s="9" t="s">
        <v>136</v>
      </c>
      <c r="C94" s="9" t="s">
        <v>100</v>
      </c>
      <c r="D94" s="9" t="s">
        <v>37</v>
      </c>
      <c r="E94" s="9" t="s">
        <v>43</v>
      </c>
      <c r="F94" s="9" t="s">
        <v>41</v>
      </c>
      <c r="G94" s="9" t="s">
        <v>40</v>
      </c>
      <c r="H94" s="9">
        <f t="shared" si="40"/>
        <v>4110</v>
      </c>
      <c r="I94" s="10">
        <v>2048</v>
      </c>
      <c r="J94" s="13">
        <v>10.423333</v>
      </c>
      <c r="K94" s="13">
        <v>4.6063000000000001</v>
      </c>
      <c r="L94" s="20">
        <v>2062</v>
      </c>
      <c r="M94" s="13">
        <v>10.49</v>
      </c>
      <c r="N94" s="13">
        <v>5.0754999999999999</v>
      </c>
      <c r="O94" s="12">
        <f t="shared" si="41"/>
        <v>4.847379776370742</v>
      </c>
      <c r="P94" s="14">
        <f t="shared" si="33"/>
        <v>1.0063959388038357</v>
      </c>
      <c r="Q94" s="4"/>
      <c r="R94" s="14"/>
      <c r="S94" s="15"/>
      <c r="T94" s="15"/>
      <c r="U94" s="4"/>
      <c r="V94" s="16"/>
      <c r="W94" s="14">
        <f t="shared" si="34"/>
        <v>6.8764391143809819E-3</v>
      </c>
      <c r="X94" s="14">
        <f t="shared" si="4"/>
        <v>6.8765475025482246E-3</v>
      </c>
      <c r="Y94" s="14">
        <f t="shared" si="5"/>
        <v>1.5604061329449343E-2</v>
      </c>
      <c r="Z94" s="17">
        <f t="shared" si="36"/>
        <v>4107.0000000000009</v>
      </c>
      <c r="AA94" s="14">
        <f t="shared" si="35"/>
        <v>1.3753203395570261E-2</v>
      </c>
      <c r="AB94" s="14">
        <f t="shared" si="6"/>
        <v>3.119728054492369E-2</v>
      </c>
      <c r="AC94" s="17">
        <f t="shared" si="37"/>
        <v>1027.4637849663629</v>
      </c>
    </row>
    <row r="95" spans="1:29" ht="14.4" x14ac:dyDescent="0.3">
      <c r="A95" s="10">
        <f t="shared" si="7"/>
        <v>94</v>
      </c>
      <c r="B95" s="9" t="s">
        <v>136</v>
      </c>
      <c r="C95" s="9">
        <v>13</v>
      </c>
      <c r="D95" s="9" t="s">
        <v>37</v>
      </c>
      <c r="E95" s="9" t="s">
        <v>43</v>
      </c>
      <c r="F95" s="9" t="s">
        <v>41</v>
      </c>
      <c r="G95" s="9" t="s">
        <v>40</v>
      </c>
      <c r="H95" s="9">
        <f t="shared" si="40"/>
        <v>459</v>
      </c>
      <c r="I95" s="10">
        <v>308.5</v>
      </c>
      <c r="J95" s="13">
        <v>2.4849999999999999</v>
      </c>
      <c r="K95" s="13">
        <v>3.0436000000000001</v>
      </c>
      <c r="L95" s="21">
        <v>150.5</v>
      </c>
      <c r="M95" s="13">
        <v>2.5750000000000002</v>
      </c>
      <c r="N95" s="13">
        <v>2.4209000000000001</v>
      </c>
      <c r="O95" s="12">
        <f t="shared" si="41"/>
        <v>2.8548816835976507</v>
      </c>
      <c r="P95" s="14">
        <f t="shared" si="33"/>
        <v>1.0362173038229376</v>
      </c>
      <c r="Q95" s="4"/>
      <c r="R95" s="14"/>
      <c r="S95" s="15"/>
      <c r="T95" s="15"/>
      <c r="U95" s="4"/>
      <c r="V95" s="16"/>
      <c r="W95" s="14">
        <f t="shared" si="34"/>
        <v>1.5760516818918529E-2</v>
      </c>
      <c r="X95" s="14">
        <f t="shared" si="4"/>
        <v>1.5761821952132112E-2</v>
      </c>
      <c r="Y95" s="14">
        <f t="shared" si="5"/>
        <v>4.6829290579084699E-2</v>
      </c>
      <c r="Z95" s="17">
        <f t="shared" si="36"/>
        <v>455.99999999999994</v>
      </c>
      <c r="AA95" s="14">
        <f t="shared" si="35"/>
        <v>3.1524949183387711E-2</v>
      </c>
      <c r="AB95" s="14">
        <f t="shared" si="6"/>
        <v>9.9433857179306029E-2</v>
      </c>
      <c r="AC95" s="17">
        <f t="shared" si="37"/>
        <v>101.14197427287787</v>
      </c>
    </row>
    <row r="96" spans="1:29" ht="14.4" x14ac:dyDescent="0.3">
      <c r="A96" s="10">
        <f t="shared" si="7"/>
        <v>95</v>
      </c>
      <c r="B96" s="9" t="s">
        <v>136</v>
      </c>
      <c r="C96" s="9" t="s">
        <v>101</v>
      </c>
      <c r="D96" s="9" t="s">
        <v>37</v>
      </c>
      <c r="E96" s="9" t="s">
        <v>43</v>
      </c>
      <c r="F96" s="9" t="s">
        <v>41</v>
      </c>
      <c r="G96" s="9" t="s">
        <v>53</v>
      </c>
      <c r="H96" s="9">
        <f t="shared" si="40"/>
        <v>386</v>
      </c>
      <c r="I96" s="10">
        <v>205</v>
      </c>
      <c r="J96" s="13">
        <v>13.01</v>
      </c>
      <c r="K96" s="13">
        <v>9.82</v>
      </c>
      <c r="L96" s="20">
        <v>181</v>
      </c>
      <c r="M96" s="13">
        <v>15.78</v>
      </c>
      <c r="N96" s="13">
        <v>10.34</v>
      </c>
      <c r="O96" s="12">
        <f t="shared" si="41"/>
        <v>10.067094913628262</v>
      </c>
      <c r="P96" s="14">
        <f t="shared" si="33"/>
        <v>1.212913143735588</v>
      </c>
      <c r="Q96" s="10"/>
      <c r="R96" s="14"/>
      <c r="S96" s="15"/>
      <c r="T96" s="15"/>
      <c r="U96" s="4"/>
      <c r="V96" s="16"/>
      <c r="W96" s="14">
        <f t="shared" si="34"/>
        <v>0.13629313689114853</v>
      </c>
      <c r="X96" s="14">
        <f t="shared" si="4"/>
        <v>0.13714658830246079</v>
      </c>
      <c r="Y96" s="14">
        <f t="shared" si="5"/>
        <v>5.1097613030759603E-2</v>
      </c>
      <c r="Z96" s="17">
        <f t="shared" si="36"/>
        <v>382.99999999999994</v>
      </c>
      <c r="AA96" s="14">
        <f t="shared" si="35"/>
        <v>0.27515385756919114</v>
      </c>
      <c r="AB96" s="14">
        <f t="shared" si="6"/>
        <v>0.10247429017913234</v>
      </c>
      <c r="AC96" s="17">
        <f t="shared" si="37"/>
        <v>95.229205839171726</v>
      </c>
    </row>
    <row r="97" spans="1:29" ht="14.4" x14ac:dyDescent="0.3">
      <c r="A97" s="10">
        <f t="shared" si="7"/>
        <v>96</v>
      </c>
      <c r="B97" s="9" t="s">
        <v>136</v>
      </c>
      <c r="C97" s="9" t="s">
        <v>102</v>
      </c>
      <c r="D97" s="9" t="s">
        <v>37</v>
      </c>
      <c r="E97" s="9" t="s">
        <v>43</v>
      </c>
      <c r="F97" s="9" t="s">
        <v>41</v>
      </c>
      <c r="G97" s="9" t="s">
        <v>53</v>
      </c>
      <c r="H97" s="9">
        <f t="shared" si="40"/>
        <v>581</v>
      </c>
      <c r="I97" s="10">
        <v>274</v>
      </c>
      <c r="J97" s="13">
        <v>5.0999999999999996</v>
      </c>
      <c r="K97" s="13">
        <v>3.43</v>
      </c>
      <c r="L97" s="20">
        <v>307</v>
      </c>
      <c r="M97" s="13">
        <v>5.99</v>
      </c>
      <c r="N97" s="13">
        <v>3.12</v>
      </c>
      <c r="O97" s="12">
        <f t="shared" si="41"/>
        <v>3.2698296607564585</v>
      </c>
      <c r="P97" s="14">
        <f t="shared" si="33"/>
        <v>1.1745098039215687</v>
      </c>
      <c r="Q97" s="4"/>
      <c r="R97" s="14"/>
      <c r="S97" s="15"/>
      <c r="T97" s="15"/>
      <c r="U97" s="4"/>
      <c r="V97" s="16"/>
      <c r="W97" s="14">
        <f t="shared" si="34"/>
        <v>0.13484965497235799</v>
      </c>
      <c r="X97" s="14">
        <f t="shared" si="4"/>
        <v>0.13567607872641657</v>
      </c>
      <c r="Y97" s="14">
        <f t="shared" si="5"/>
        <v>4.1594516540385151E-2</v>
      </c>
      <c r="Z97" s="17">
        <f t="shared" si="36"/>
        <v>577.99999999999989</v>
      </c>
      <c r="AA97" s="14">
        <f t="shared" si="35"/>
        <v>0.27218543237328868</v>
      </c>
      <c r="AB97" s="14">
        <f t="shared" si="6"/>
        <v>8.3490840235999564E-2</v>
      </c>
      <c r="AC97" s="17">
        <f t="shared" si="37"/>
        <v>143.45719554677549</v>
      </c>
    </row>
    <row r="98" spans="1:29" ht="14.4" x14ac:dyDescent="0.3">
      <c r="A98" s="10">
        <f t="shared" si="7"/>
        <v>97</v>
      </c>
      <c r="B98" s="9" t="s">
        <v>136</v>
      </c>
      <c r="C98" s="9" t="s">
        <v>103</v>
      </c>
      <c r="D98" s="9" t="s">
        <v>37</v>
      </c>
      <c r="E98" s="9" t="s">
        <v>43</v>
      </c>
      <c r="F98" s="9" t="s">
        <v>41</v>
      </c>
      <c r="G98" s="9" t="s">
        <v>53</v>
      </c>
      <c r="H98" s="9">
        <f t="shared" si="40"/>
        <v>117</v>
      </c>
      <c r="I98" s="10">
        <v>61</v>
      </c>
      <c r="J98" s="13">
        <v>0.82</v>
      </c>
      <c r="K98" s="13">
        <v>0.82</v>
      </c>
      <c r="L98" s="20">
        <v>56</v>
      </c>
      <c r="M98" s="13">
        <v>1.47</v>
      </c>
      <c r="N98" s="13">
        <v>0.94</v>
      </c>
      <c r="O98" s="12">
        <f t="shared" si="41"/>
        <v>0.87943657852751034</v>
      </c>
      <c r="P98" s="14">
        <f t="shared" si="33"/>
        <v>1.7926829268292683</v>
      </c>
      <c r="Q98" s="4"/>
      <c r="R98" s="14"/>
      <c r="S98" s="15"/>
      <c r="T98" s="15"/>
      <c r="U98" s="4"/>
      <c r="V98" s="16"/>
      <c r="W98" s="14">
        <f t="shared" si="34"/>
        <v>0.34664153522907615</v>
      </c>
      <c r="X98" s="14">
        <f t="shared" si="4"/>
        <v>0.36162154542579894</v>
      </c>
      <c r="Y98" s="14">
        <f t="shared" si="5"/>
        <v>9.3658581158169399E-2</v>
      </c>
      <c r="Z98" s="17">
        <f t="shared" si="36"/>
        <v>113.99999999999999</v>
      </c>
      <c r="AA98" s="14">
        <f t="shared" si="35"/>
        <v>0.73910957978155878</v>
      </c>
      <c r="AB98" s="14">
        <f t="shared" si="6"/>
        <v>0.19127239239075705</v>
      </c>
      <c r="AC98" s="17">
        <f t="shared" si="37"/>
        <v>27.333510969698629</v>
      </c>
    </row>
    <row r="99" spans="1:29" ht="14.4" x14ac:dyDescent="0.3">
      <c r="A99" s="10">
        <f t="shared" si="7"/>
        <v>98</v>
      </c>
      <c r="B99" s="9" t="s">
        <v>136</v>
      </c>
      <c r="C99" s="9" t="s">
        <v>104</v>
      </c>
      <c r="D99" s="9" t="s">
        <v>37</v>
      </c>
      <c r="E99" s="9" t="s">
        <v>43</v>
      </c>
      <c r="F99" s="9" t="s">
        <v>41</v>
      </c>
      <c r="G99" s="9" t="s">
        <v>53</v>
      </c>
      <c r="H99" s="9">
        <f t="shared" si="40"/>
        <v>1717</v>
      </c>
      <c r="I99" s="10">
        <v>863</v>
      </c>
      <c r="J99" s="13">
        <v>0.60333329999999996</v>
      </c>
      <c r="K99" s="13">
        <v>0.62760000000000005</v>
      </c>
      <c r="L99" s="20">
        <v>854</v>
      </c>
      <c r="M99" s="13">
        <v>1</v>
      </c>
      <c r="N99" s="13">
        <v>0.92859999999999998</v>
      </c>
      <c r="O99" s="12">
        <f t="shared" si="41"/>
        <v>0.79174540073930122</v>
      </c>
      <c r="P99" s="14">
        <f t="shared" si="33"/>
        <v>1.6574586551082131</v>
      </c>
      <c r="Q99" s="4"/>
      <c r="R99" s="14"/>
      <c r="S99" s="15"/>
      <c r="T99" s="15"/>
      <c r="U99" s="4"/>
      <c r="V99" s="16"/>
      <c r="W99" s="14">
        <f t="shared" si="34"/>
        <v>0.24299338145826049</v>
      </c>
      <c r="X99" s="14">
        <f t="shared" si="4"/>
        <v>0.24795288516300018</v>
      </c>
      <c r="Y99" s="14">
        <f t="shared" si="5"/>
        <v>2.4154307519818494E-2</v>
      </c>
      <c r="Z99" s="17">
        <f t="shared" si="36"/>
        <v>1714.0000000000002</v>
      </c>
      <c r="AA99" s="14">
        <f t="shared" si="35"/>
        <v>0.50100284716476784</v>
      </c>
      <c r="AB99" s="14">
        <f t="shared" si="6"/>
        <v>4.9018389041995215E-2</v>
      </c>
      <c r="AC99" s="17">
        <f t="shared" si="37"/>
        <v>416.18069519618814</v>
      </c>
    </row>
    <row r="100" spans="1:29" ht="14.4" x14ac:dyDescent="0.3">
      <c r="A100" s="10">
        <f t="shared" si="7"/>
        <v>99</v>
      </c>
      <c r="B100" s="10" t="s">
        <v>137</v>
      </c>
      <c r="C100" s="10">
        <v>1</v>
      </c>
      <c r="D100" s="10" t="s">
        <v>37</v>
      </c>
      <c r="E100" s="10" t="s">
        <v>38</v>
      </c>
      <c r="F100" s="10" t="s">
        <v>41</v>
      </c>
      <c r="G100" s="10" t="s">
        <v>40</v>
      </c>
      <c r="H100" s="10">
        <v>88</v>
      </c>
      <c r="I100" s="4">
        <f t="shared" ref="I100:I102" si="42">H100/2</f>
        <v>44</v>
      </c>
      <c r="J100" s="10">
        <v>62.45</v>
      </c>
      <c r="K100" s="12"/>
      <c r="L100" s="4">
        <f t="shared" ref="L100:L102" si="43">H100/2</f>
        <v>44</v>
      </c>
      <c r="M100" s="10">
        <v>75.8</v>
      </c>
      <c r="N100" s="12"/>
      <c r="O100" s="4"/>
      <c r="P100" s="14">
        <f t="shared" si="33"/>
        <v>1.2137710168134506</v>
      </c>
      <c r="Q100" s="4"/>
      <c r="R100" s="14"/>
      <c r="S100" s="15"/>
      <c r="T100" s="15"/>
      <c r="U100" s="4"/>
      <c r="V100" s="16"/>
      <c r="W100" s="17">
        <v>0.29799999999999999</v>
      </c>
      <c r="X100" s="14">
        <f t="shared" si="4"/>
        <v>0.30732324661911214</v>
      </c>
      <c r="Y100" s="14">
        <f t="shared" si="5"/>
        <v>0.10846522890932808</v>
      </c>
      <c r="Z100" s="17">
        <f t="shared" si="36"/>
        <v>85</v>
      </c>
      <c r="AA100" s="14">
        <f>2*W100/SQRT(1-W100^2)</f>
        <v>0.62436759870245873</v>
      </c>
      <c r="AB100" s="14">
        <f t="shared" si="6"/>
        <v>0.21833349827194973</v>
      </c>
      <c r="AC100" s="17">
        <f t="shared" si="37"/>
        <v>20.977766801521138</v>
      </c>
    </row>
    <row r="101" spans="1:29" ht="14.4" x14ac:dyDescent="0.3">
      <c r="A101" s="10">
        <f t="shared" si="7"/>
        <v>100</v>
      </c>
      <c r="B101" s="10" t="s">
        <v>138</v>
      </c>
      <c r="C101" s="10">
        <v>1</v>
      </c>
      <c r="D101" s="10" t="s">
        <v>37</v>
      </c>
      <c r="E101" s="10" t="s">
        <v>38</v>
      </c>
      <c r="F101" s="10" t="s">
        <v>41</v>
      </c>
      <c r="G101" s="10" t="s">
        <v>53</v>
      </c>
      <c r="H101" s="10">
        <v>22</v>
      </c>
      <c r="I101" s="4">
        <f t="shared" si="42"/>
        <v>11</v>
      </c>
      <c r="J101" s="10">
        <v>19.21</v>
      </c>
      <c r="K101" s="12"/>
      <c r="L101" s="4">
        <f t="shared" si="43"/>
        <v>11</v>
      </c>
      <c r="M101" s="10">
        <v>28.38</v>
      </c>
      <c r="N101" s="12"/>
      <c r="O101" s="4"/>
      <c r="P101" s="14">
        <f t="shared" si="33"/>
        <v>1.4773555439875063</v>
      </c>
      <c r="Q101" s="4"/>
      <c r="R101" s="14"/>
      <c r="S101" s="15"/>
      <c r="T101" s="15"/>
      <c r="U101" s="4"/>
      <c r="V101" s="16"/>
      <c r="W101" s="14">
        <f t="shared" ref="W101:W119" si="44">AA101/SQRT(AA101^2+4)</f>
        <v>0.15678665846452247</v>
      </c>
      <c r="X101" s="14">
        <f t="shared" si="4"/>
        <v>0.15809065901635078</v>
      </c>
      <c r="Y101" s="14">
        <f t="shared" si="5"/>
        <v>0.22941573387056174</v>
      </c>
      <c r="Z101" s="17">
        <f t="shared" si="36"/>
        <v>19.000000000000004</v>
      </c>
      <c r="AA101" s="17">
        <v>0.3175</v>
      </c>
      <c r="AB101" s="14">
        <f t="shared" si="6"/>
        <v>0.42907951821841306</v>
      </c>
      <c r="AC101" s="17">
        <f t="shared" si="37"/>
        <v>5.4315581242299187</v>
      </c>
    </row>
    <row r="102" spans="1:29" ht="14.4" x14ac:dyDescent="0.3">
      <c r="A102" s="10">
        <f t="shared" si="7"/>
        <v>101</v>
      </c>
      <c r="B102" s="10" t="s">
        <v>138</v>
      </c>
      <c r="C102" s="10">
        <v>2</v>
      </c>
      <c r="D102" s="10" t="s">
        <v>37</v>
      </c>
      <c r="E102" s="10" t="s">
        <v>38</v>
      </c>
      <c r="F102" s="10" t="s">
        <v>41</v>
      </c>
      <c r="G102" s="10" t="s">
        <v>53</v>
      </c>
      <c r="H102" s="10">
        <v>69</v>
      </c>
      <c r="I102" s="4">
        <f t="shared" si="42"/>
        <v>34.5</v>
      </c>
      <c r="J102" s="10">
        <v>22.65</v>
      </c>
      <c r="K102" s="12"/>
      <c r="L102" s="4">
        <f t="shared" si="43"/>
        <v>34.5</v>
      </c>
      <c r="M102" s="10">
        <v>28.74</v>
      </c>
      <c r="N102" s="12"/>
      <c r="O102" s="4"/>
      <c r="P102" s="14">
        <f t="shared" si="33"/>
        <v>1.2688741721854304</v>
      </c>
      <c r="Q102" s="4"/>
      <c r="R102" s="14"/>
      <c r="S102" s="15"/>
      <c r="T102" s="15"/>
      <c r="U102" s="4"/>
      <c r="V102" s="16"/>
      <c r="W102" s="14">
        <f t="shared" si="44"/>
        <v>8.963769949589058E-2</v>
      </c>
      <c r="X102" s="14">
        <f t="shared" si="4"/>
        <v>8.9878940743946797E-2</v>
      </c>
      <c r="Y102" s="14">
        <f t="shared" si="5"/>
        <v>0.12309149097933272</v>
      </c>
      <c r="Z102" s="17">
        <f t="shared" si="36"/>
        <v>66</v>
      </c>
      <c r="AA102" s="17">
        <v>0.18</v>
      </c>
      <c r="AB102" s="14">
        <f t="shared" si="6"/>
        <v>0.24125877621642963</v>
      </c>
      <c r="AC102" s="17">
        <f t="shared" si="37"/>
        <v>17.180419301827602</v>
      </c>
    </row>
    <row r="103" spans="1:29" ht="14.4" x14ac:dyDescent="0.3">
      <c r="A103" s="10">
        <f t="shared" si="7"/>
        <v>102</v>
      </c>
      <c r="B103" s="10" t="s">
        <v>138</v>
      </c>
      <c r="C103" s="10">
        <v>3</v>
      </c>
      <c r="D103" s="10" t="s">
        <v>37</v>
      </c>
      <c r="E103" s="10" t="s">
        <v>38</v>
      </c>
      <c r="F103" s="10" t="s">
        <v>41</v>
      </c>
      <c r="G103" s="10" t="s">
        <v>53</v>
      </c>
      <c r="H103" s="10">
        <v>21</v>
      </c>
      <c r="I103" s="10">
        <v>11</v>
      </c>
      <c r="J103" s="10">
        <v>17.13</v>
      </c>
      <c r="K103" s="12"/>
      <c r="L103" s="10">
        <v>10</v>
      </c>
      <c r="M103" s="10">
        <v>17.23</v>
      </c>
      <c r="N103" s="12"/>
      <c r="O103" s="4"/>
      <c r="P103" s="14">
        <f t="shared" si="33"/>
        <v>1.0058377116170463</v>
      </c>
      <c r="Q103" s="4"/>
      <c r="R103" s="14"/>
      <c r="S103" s="15"/>
      <c r="T103" s="15"/>
      <c r="U103" s="4"/>
      <c r="V103" s="16"/>
      <c r="W103" s="14">
        <f t="shared" si="44"/>
        <v>5.9892290727946725E-2</v>
      </c>
      <c r="X103" s="14">
        <f t="shared" si="4"/>
        <v>5.9964058195333916E-2</v>
      </c>
      <c r="Y103" s="14">
        <f t="shared" si="5"/>
        <v>0.23570226039551587</v>
      </c>
      <c r="Z103" s="17">
        <f t="shared" si="36"/>
        <v>17.999999999999996</v>
      </c>
      <c r="AA103" s="17">
        <v>0.12</v>
      </c>
      <c r="AB103" s="14">
        <f t="shared" si="6"/>
        <v>0.43732361936207842</v>
      </c>
      <c r="AC103" s="17">
        <f t="shared" si="37"/>
        <v>5.2287049109083004</v>
      </c>
    </row>
    <row r="104" spans="1:29" ht="14.4" x14ac:dyDescent="0.3">
      <c r="A104" s="10">
        <f t="shared" si="7"/>
        <v>103</v>
      </c>
      <c r="B104" s="10" t="s">
        <v>138</v>
      </c>
      <c r="C104" s="10">
        <v>4</v>
      </c>
      <c r="D104" s="10" t="s">
        <v>37</v>
      </c>
      <c r="E104" s="10" t="s">
        <v>38</v>
      </c>
      <c r="F104" s="10" t="s">
        <v>41</v>
      </c>
      <c r="G104" s="10" t="s">
        <v>53</v>
      </c>
      <c r="H104" s="10">
        <v>22</v>
      </c>
      <c r="I104" s="4">
        <f t="shared" ref="I104:I105" si="45">H104/2</f>
        <v>11</v>
      </c>
      <c r="J104" s="10">
        <v>78.66</v>
      </c>
      <c r="K104" s="12"/>
      <c r="L104" s="4">
        <f t="shared" ref="L104:L105" si="46">H104/2</f>
        <v>11</v>
      </c>
      <c r="M104" s="10">
        <v>42.61</v>
      </c>
      <c r="N104" s="12"/>
      <c r="O104" s="4"/>
      <c r="P104" s="14">
        <f t="shared" si="33"/>
        <v>0.54169844902110353</v>
      </c>
      <c r="Q104" s="4"/>
      <c r="R104" s="14"/>
      <c r="S104" s="15"/>
      <c r="T104" s="15"/>
      <c r="U104" s="4"/>
      <c r="V104" s="16"/>
      <c r="W104" s="14">
        <f t="shared" si="44"/>
        <v>-2.1245203772723677E-2</v>
      </c>
      <c r="X104" s="14">
        <f t="shared" si="4"/>
        <v>-2.1248401041037999E-2</v>
      </c>
      <c r="Y104" s="14">
        <f t="shared" si="5"/>
        <v>0.22941573387056174</v>
      </c>
      <c r="Z104" s="17">
        <f t="shared" si="36"/>
        <v>19.000000000000004</v>
      </c>
      <c r="AA104" s="17">
        <v>-4.2500000000000003E-2</v>
      </c>
      <c r="AB104" s="14">
        <f t="shared" si="6"/>
        <v>0.42644956671867479</v>
      </c>
      <c r="AC104" s="17">
        <f t="shared" si="37"/>
        <v>5.4987584834361618</v>
      </c>
    </row>
    <row r="105" spans="1:29" ht="14.4" x14ac:dyDescent="0.3">
      <c r="A105" s="10">
        <f t="shared" si="7"/>
        <v>104</v>
      </c>
      <c r="B105" s="10" t="s">
        <v>138</v>
      </c>
      <c r="C105" s="10">
        <v>5</v>
      </c>
      <c r="D105" s="10" t="s">
        <v>37</v>
      </c>
      <c r="E105" s="10" t="s">
        <v>38</v>
      </c>
      <c r="F105" s="10" t="s">
        <v>41</v>
      </c>
      <c r="G105" s="10" t="s">
        <v>53</v>
      </c>
      <c r="H105" s="10">
        <v>42</v>
      </c>
      <c r="I105" s="4">
        <f t="shared" si="45"/>
        <v>21</v>
      </c>
      <c r="J105" s="10">
        <v>57.01</v>
      </c>
      <c r="K105" s="12"/>
      <c r="L105" s="4">
        <f t="shared" si="46"/>
        <v>21</v>
      </c>
      <c r="M105" s="10">
        <v>65.680000000000007</v>
      </c>
      <c r="N105" s="12"/>
      <c r="O105" s="4"/>
      <c r="P105" s="14">
        <f t="shared" si="33"/>
        <v>1.1520785827047888</v>
      </c>
      <c r="Q105" s="4"/>
      <c r="R105" s="14"/>
      <c r="S105" s="15"/>
      <c r="T105" s="15"/>
      <c r="U105" s="4"/>
      <c r="V105" s="16"/>
      <c r="W105" s="14">
        <f t="shared" si="44"/>
        <v>-6.2498779332636634E-3</v>
      </c>
      <c r="X105" s="14">
        <f t="shared" si="4"/>
        <v>-6.2499593106110788E-3</v>
      </c>
      <c r="Y105" s="14">
        <f t="shared" si="5"/>
        <v>0.16012815380508713</v>
      </c>
      <c r="Z105" s="17">
        <f t="shared" si="36"/>
        <v>39</v>
      </c>
      <c r="AA105" s="17">
        <v>-1.2500000000000001E-2</v>
      </c>
      <c r="AB105" s="14">
        <f t="shared" si="6"/>
        <v>0.30860971364677242</v>
      </c>
      <c r="AC105" s="17">
        <f t="shared" si="37"/>
        <v>10.499794925880352</v>
      </c>
    </row>
    <row r="106" spans="1:29" ht="14.4" x14ac:dyDescent="0.3">
      <c r="A106" s="10">
        <f t="shared" si="7"/>
        <v>105</v>
      </c>
      <c r="B106" s="10" t="s">
        <v>138</v>
      </c>
      <c r="C106" s="10">
        <v>6</v>
      </c>
      <c r="D106" s="10" t="s">
        <v>37</v>
      </c>
      <c r="E106" s="10" t="s">
        <v>38</v>
      </c>
      <c r="F106" s="10" t="s">
        <v>41</v>
      </c>
      <c r="G106" s="10" t="s">
        <v>53</v>
      </c>
      <c r="H106" s="10">
        <v>19</v>
      </c>
      <c r="I106" s="10">
        <v>10</v>
      </c>
      <c r="J106" s="10">
        <v>43.63</v>
      </c>
      <c r="K106" s="12"/>
      <c r="L106" s="10">
        <v>9</v>
      </c>
      <c r="M106" s="10">
        <v>59.81</v>
      </c>
      <c r="N106" s="12"/>
      <c r="O106" s="4"/>
      <c r="P106" s="14">
        <f t="shared" si="33"/>
        <v>1.3708457483382992</v>
      </c>
      <c r="Q106" s="4"/>
      <c r="R106" s="14"/>
      <c r="S106" s="15"/>
      <c r="T106" s="15"/>
      <c r="U106" s="4"/>
      <c r="V106" s="16"/>
      <c r="W106" s="14">
        <f t="shared" si="44"/>
        <v>2.6240960725887962E-2</v>
      </c>
      <c r="X106" s="14">
        <f t="shared" si="4"/>
        <v>2.6246986285955898E-2</v>
      </c>
      <c r="Y106" s="14">
        <f t="shared" si="5"/>
        <v>0.25</v>
      </c>
      <c r="Z106" s="17">
        <f t="shared" si="36"/>
        <v>16</v>
      </c>
      <c r="AA106" s="17">
        <v>5.2499999999999998E-2</v>
      </c>
      <c r="AB106" s="14">
        <f t="shared" si="6"/>
        <v>0.45954721629648454</v>
      </c>
      <c r="AC106" s="17">
        <f t="shared" si="37"/>
        <v>4.7352151948486538</v>
      </c>
    </row>
    <row r="107" spans="1:29" ht="14.4" x14ac:dyDescent="0.3">
      <c r="A107" s="10">
        <f t="shared" si="7"/>
        <v>106</v>
      </c>
      <c r="B107" s="10" t="s">
        <v>138</v>
      </c>
      <c r="C107" s="10">
        <v>7</v>
      </c>
      <c r="D107" s="10" t="s">
        <v>37</v>
      </c>
      <c r="E107" s="10" t="s">
        <v>38</v>
      </c>
      <c r="F107" s="10" t="s">
        <v>41</v>
      </c>
      <c r="G107" s="10" t="s">
        <v>53</v>
      </c>
      <c r="H107" s="10">
        <v>42</v>
      </c>
      <c r="I107" s="4">
        <f>H107/2</f>
        <v>21</v>
      </c>
      <c r="J107" s="10">
        <v>83.67</v>
      </c>
      <c r="K107" s="12"/>
      <c r="L107" s="4">
        <f>H107/2</f>
        <v>21</v>
      </c>
      <c r="M107" s="10">
        <v>63.59</v>
      </c>
      <c r="N107" s="12"/>
      <c r="O107" s="4"/>
      <c r="P107" s="14">
        <f t="shared" si="33"/>
        <v>0.76000956137205689</v>
      </c>
      <c r="Q107" s="4"/>
      <c r="R107" s="14"/>
      <c r="S107" s="15"/>
      <c r="T107" s="15"/>
      <c r="U107" s="4"/>
      <c r="V107" s="16"/>
      <c r="W107" s="14">
        <f t="shared" si="44"/>
        <v>-1.3748700379591708E-2</v>
      </c>
      <c r="X107" s="14">
        <f t="shared" si="4"/>
        <v>-1.374956676862839E-2</v>
      </c>
      <c r="Y107" s="14">
        <f t="shared" si="5"/>
        <v>0.16012815380508713</v>
      </c>
      <c r="Z107" s="17">
        <f t="shared" si="36"/>
        <v>39</v>
      </c>
      <c r="AA107" s="17">
        <v>-2.75E-2</v>
      </c>
      <c r="AB107" s="14">
        <f t="shared" si="6"/>
        <v>0.30862128606803146</v>
      </c>
      <c r="AC107" s="17">
        <f t="shared" si="37"/>
        <v>10.499007515695782</v>
      </c>
    </row>
    <row r="108" spans="1:29" ht="14.4" x14ac:dyDescent="0.3">
      <c r="A108" s="10">
        <f t="shared" si="7"/>
        <v>107</v>
      </c>
      <c r="B108" s="10" t="s">
        <v>139</v>
      </c>
      <c r="C108" s="10">
        <v>1</v>
      </c>
      <c r="D108" s="10" t="s">
        <v>37</v>
      </c>
      <c r="E108" s="10" t="s">
        <v>38</v>
      </c>
      <c r="F108" s="10" t="s">
        <v>41</v>
      </c>
      <c r="G108" s="10" t="s">
        <v>53</v>
      </c>
      <c r="H108" s="10">
        <v>17</v>
      </c>
      <c r="I108" s="10">
        <v>9</v>
      </c>
      <c r="J108" s="10">
        <v>33.130000000000003</v>
      </c>
      <c r="K108" s="12"/>
      <c r="L108" s="10">
        <v>8</v>
      </c>
      <c r="M108" s="10">
        <v>44.15</v>
      </c>
      <c r="N108" s="12"/>
      <c r="O108" s="4"/>
      <c r="P108" s="14">
        <f t="shared" si="33"/>
        <v>1.3326290371264713</v>
      </c>
      <c r="Q108" s="4"/>
      <c r="R108" s="14"/>
      <c r="S108" s="15"/>
      <c r="T108" s="15"/>
      <c r="U108" s="4"/>
      <c r="V108" s="16"/>
      <c r="W108" s="14">
        <f t="shared" si="44"/>
        <v>8.963769949589058E-2</v>
      </c>
      <c r="X108" s="14">
        <f t="shared" si="4"/>
        <v>8.9878940743946797E-2</v>
      </c>
      <c r="Y108" s="14">
        <f t="shared" si="5"/>
        <v>0.2672612419124244</v>
      </c>
      <c r="Z108" s="17">
        <f t="shared" si="36"/>
        <v>13.999999999999998</v>
      </c>
      <c r="AA108" s="17">
        <v>0.18</v>
      </c>
      <c r="AB108" s="14">
        <f t="shared" si="6"/>
        <v>0.48689223888616434</v>
      </c>
      <c r="AC108" s="17">
        <f t="shared" si="37"/>
        <v>4.2182692413732257</v>
      </c>
    </row>
    <row r="109" spans="1:29" ht="14.4" x14ac:dyDescent="0.3">
      <c r="A109" s="10">
        <f t="shared" si="7"/>
        <v>108</v>
      </c>
      <c r="B109" s="10" t="s">
        <v>139</v>
      </c>
      <c r="C109" s="10">
        <v>2</v>
      </c>
      <c r="D109" s="10" t="s">
        <v>37</v>
      </c>
      <c r="E109" s="10" t="s">
        <v>38</v>
      </c>
      <c r="F109" s="10" t="s">
        <v>41</v>
      </c>
      <c r="G109" s="10" t="s">
        <v>53</v>
      </c>
      <c r="H109" s="10">
        <v>36</v>
      </c>
      <c r="I109" s="4">
        <f>H109/2</f>
        <v>18</v>
      </c>
      <c r="J109" s="10">
        <v>38.979999999999997</v>
      </c>
      <c r="K109" s="12"/>
      <c r="L109" s="4">
        <f>H109/2</f>
        <v>18</v>
      </c>
      <c r="M109" s="10">
        <v>49.2</v>
      </c>
      <c r="N109" s="12"/>
      <c r="O109" s="4"/>
      <c r="P109" s="14">
        <f t="shared" si="33"/>
        <v>1.2621857362750131</v>
      </c>
      <c r="Q109" s="4"/>
      <c r="R109" s="14"/>
      <c r="S109" s="15"/>
      <c r="T109" s="15"/>
      <c r="U109" s="4"/>
      <c r="V109" s="16"/>
      <c r="W109" s="14">
        <f t="shared" si="44"/>
        <v>3.4978582175618625E-2</v>
      </c>
      <c r="X109" s="14">
        <f t="shared" si="4"/>
        <v>3.499285810293741E-2</v>
      </c>
      <c r="Y109" s="14">
        <f t="shared" si="5"/>
        <v>0.17407765595569785</v>
      </c>
      <c r="Z109" s="17">
        <f t="shared" si="36"/>
        <v>32.999999999999993</v>
      </c>
      <c r="AA109" s="17">
        <v>7.0000000000000007E-2</v>
      </c>
      <c r="AB109" s="14">
        <f t="shared" si="6"/>
        <v>0.33343540103994157</v>
      </c>
      <c r="AC109" s="17">
        <f t="shared" si="37"/>
        <v>8.9944908743394674</v>
      </c>
    </row>
    <row r="110" spans="1:29" ht="14.4" x14ac:dyDescent="0.3">
      <c r="A110" s="10">
        <f t="shared" si="7"/>
        <v>109</v>
      </c>
      <c r="B110" s="10" t="s">
        <v>139</v>
      </c>
      <c r="C110" s="10">
        <v>3</v>
      </c>
      <c r="D110" s="10" t="s">
        <v>37</v>
      </c>
      <c r="E110" s="10" t="s">
        <v>38</v>
      </c>
      <c r="F110" s="10" t="s">
        <v>41</v>
      </c>
      <c r="G110" s="10" t="s">
        <v>53</v>
      </c>
      <c r="H110" s="10">
        <v>13</v>
      </c>
      <c r="I110" s="10">
        <v>7</v>
      </c>
      <c r="J110" s="10">
        <v>11</v>
      </c>
      <c r="K110" s="12"/>
      <c r="L110" s="10">
        <v>6</v>
      </c>
      <c r="M110" s="10">
        <v>20.5</v>
      </c>
      <c r="N110" s="12"/>
      <c r="O110" s="4"/>
      <c r="P110" s="14">
        <f t="shared" si="33"/>
        <v>1.8636363636363635</v>
      </c>
      <c r="Q110" s="4"/>
      <c r="R110" s="14"/>
      <c r="S110" s="15"/>
      <c r="T110" s="15"/>
      <c r="U110" s="4"/>
      <c r="V110" s="16"/>
      <c r="W110" s="14">
        <f t="shared" si="44"/>
        <v>0.16279878299320225</v>
      </c>
      <c r="X110" s="14">
        <f t="shared" si="4"/>
        <v>0.1642603389163759</v>
      </c>
      <c r="Y110" s="14">
        <f t="shared" si="5"/>
        <v>0.31622776601683794</v>
      </c>
      <c r="Z110" s="17">
        <f t="shared" si="36"/>
        <v>10</v>
      </c>
      <c r="AA110" s="17">
        <v>0.33</v>
      </c>
      <c r="AB110" s="14">
        <f t="shared" si="6"/>
        <v>0.56010023304964895</v>
      </c>
      <c r="AC110" s="17">
        <f t="shared" si="37"/>
        <v>3.187634314124431</v>
      </c>
    </row>
    <row r="111" spans="1:29" ht="14.4" x14ac:dyDescent="0.3">
      <c r="A111" s="10">
        <f t="shared" si="7"/>
        <v>110</v>
      </c>
      <c r="B111" s="10" t="s">
        <v>140</v>
      </c>
      <c r="C111" s="10">
        <v>1</v>
      </c>
      <c r="D111" s="10" t="s">
        <v>37</v>
      </c>
      <c r="E111" s="10" t="s">
        <v>43</v>
      </c>
      <c r="F111" s="10" t="s">
        <v>41</v>
      </c>
      <c r="G111" s="10" t="s">
        <v>40</v>
      </c>
      <c r="H111" s="4">
        <f t="shared" ref="H111:H119" si="47">SUM(I111,L111)</f>
        <v>190</v>
      </c>
      <c r="I111" s="10">
        <v>90</v>
      </c>
      <c r="J111" s="10">
        <v>4.78</v>
      </c>
      <c r="K111" s="12">
        <f>0.407*SQRT(I111)</f>
        <v>3.8611410230655911</v>
      </c>
      <c r="L111" s="10">
        <v>100</v>
      </c>
      <c r="M111" s="10">
        <v>6.24</v>
      </c>
      <c r="N111" s="12">
        <f>0.524*SQRT(L111)</f>
        <v>5.24</v>
      </c>
      <c r="O111" s="12">
        <f t="shared" ref="O111:O119" si="48">SQRT( ((I111-1)*K111^2+(L111-1)*N111^2)/ (H111-2) )</f>
        <v>4.6386161786885856</v>
      </c>
      <c r="P111" s="14">
        <f t="shared" si="33"/>
        <v>1.3054393305439331</v>
      </c>
      <c r="Q111" s="14">
        <f>_xlfn.T.INV(1-R111,1)</f>
        <v>9.9136510217696365</v>
      </c>
      <c r="R111" s="17">
        <v>3.2000000000000001E-2</v>
      </c>
      <c r="S111" s="15"/>
      <c r="T111" s="15"/>
      <c r="U111" s="4"/>
      <c r="V111" s="16"/>
      <c r="W111" s="14">
        <f t="shared" si="44"/>
        <v>0.15546116253387979</v>
      </c>
      <c r="X111" s="14">
        <f t="shared" si="4"/>
        <v>0.15673204714347674</v>
      </c>
      <c r="Y111" s="14">
        <f t="shared" si="5"/>
        <v>7.3127242412713067E-2</v>
      </c>
      <c r="Z111" s="17">
        <f t="shared" si="36"/>
        <v>186.99999999999997</v>
      </c>
      <c r="AA111" s="14">
        <f t="shared" ref="AA111:AA119" si="49">(M111-J111)/O111</f>
        <v>0.31474904233459694</v>
      </c>
      <c r="AB111" s="14">
        <f t="shared" si="6"/>
        <v>0.14619101763277825</v>
      </c>
      <c r="AC111" s="17">
        <f t="shared" si="37"/>
        <v>46.790600788872801</v>
      </c>
    </row>
    <row r="112" spans="1:29" ht="14.4" x14ac:dyDescent="0.3">
      <c r="A112" s="10">
        <f t="shared" si="7"/>
        <v>111</v>
      </c>
      <c r="B112" s="9" t="s">
        <v>105</v>
      </c>
      <c r="C112" s="9">
        <v>1</v>
      </c>
      <c r="D112" s="9" t="s">
        <v>37</v>
      </c>
      <c r="E112" s="9" t="s">
        <v>38</v>
      </c>
      <c r="F112" s="9" t="s">
        <v>41</v>
      </c>
      <c r="G112" s="9" t="s">
        <v>40</v>
      </c>
      <c r="H112" s="4">
        <f t="shared" si="47"/>
        <v>116</v>
      </c>
      <c r="I112" s="10">
        <v>58</v>
      </c>
      <c r="J112" s="10">
        <v>24.16</v>
      </c>
      <c r="K112" s="13">
        <v>9.5500000000000007</v>
      </c>
      <c r="L112" s="10">
        <v>58</v>
      </c>
      <c r="M112" s="10">
        <v>33.770000000000003</v>
      </c>
      <c r="N112" s="13">
        <v>12.75</v>
      </c>
      <c r="O112" s="12">
        <f t="shared" si="48"/>
        <v>11.26421324372013</v>
      </c>
      <c r="P112" s="14">
        <f t="shared" si="33"/>
        <v>1.3977649006622517</v>
      </c>
      <c r="Q112" s="4"/>
      <c r="R112" s="14"/>
      <c r="S112" s="15"/>
      <c r="T112" s="15"/>
      <c r="U112" s="4"/>
      <c r="V112" s="16"/>
      <c r="W112" s="14">
        <f t="shared" si="44"/>
        <v>0.39236515890658386</v>
      </c>
      <c r="X112" s="14">
        <f t="shared" si="4"/>
        <v>0.41459251103036537</v>
      </c>
      <c r="Y112" s="14">
        <f t="shared" si="5"/>
        <v>9.4072086838359728E-2</v>
      </c>
      <c r="Z112" s="17">
        <f t="shared" si="36"/>
        <v>113</v>
      </c>
      <c r="AA112" s="14">
        <f t="shared" si="49"/>
        <v>0.85314436011388883</v>
      </c>
      <c r="AB112" s="14">
        <f t="shared" si="6"/>
        <v>0.19395892849983037</v>
      </c>
      <c r="AC112" s="17">
        <f t="shared" si="37"/>
        <v>26.58155893366164</v>
      </c>
    </row>
    <row r="113" spans="1:29" ht="14.4" x14ac:dyDescent="0.3">
      <c r="A113" s="10">
        <f t="shared" si="7"/>
        <v>112</v>
      </c>
      <c r="B113" s="9" t="s">
        <v>105</v>
      </c>
      <c r="C113" s="9">
        <v>2</v>
      </c>
      <c r="D113" s="9" t="s">
        <v>37</v>
      </c>
      <c r="E113" s="9" t="s">
        <v>38</v>
      </c>
      <c r="F113" s="9" t="s">
        <v>41</v>
      </c>
      <c r="G113" s="9" t="s">
        <v>40</v>
      </c>
      <c r="H113" s="4">
        <f t="shared" si="47"/>
        <v>82</v>
      </c>
      <c r="I113" s="10">
        <v>41</v>
      </c>
      <c r="J113" s="10">
        <v>33.31</v>
      </c>
      <c r="K113" s="13">
        <v>10.59</v>
      </c>
      <c r="L113" s="10">
        <v>41</v>
      </c>
      <c r="M113" s="10">
        <v>42.96</v>
      </c>
      <c r="N113" s="13">
        <v>18.850000000000001</v>
      </c>
      <c r="O113" s="12">
        <f t="shared" si="48"/>
        <v>15.288404102456214</v>
      </c>
      <c r="P113" s="14">
        <f t="shared" si="33"/>
        <v>1.289702791954368</v>
      </c>
      <c r="Q113" s="4"/>
      <c r="R113" s="14"/>
      <c r="S113" s="15"/>
      <c r="T113" s="15"/>
      <c r="U113" s="4"/>
      <c r="V113" s="16"/>
      <c r="W113" s="14">
        <f t="shared" si="44"/>
        <v>0.30096590616993213</v>
      </c>
      <c r="X113" s="14">
        <f t="shared" si="4"/>
        <v>0.31058137805485053</v>
      </c>
      <c r="Y113" s="14">
        <f t="shared" si="5"/>
        <v>0.1125087900926024</v>
      </c>
      <c r="Z113" s="17">
        <f t="shared" si="36"/>
        <v>78.999999999999986</v>
      </c>
      <c r="AA113" s="14">
        <f t="shared" si="49"/>
        <v>0.63119733984854853</v>
      </c>
      <c r="AB113" s="14">
        <f t="shared" si="6"/>
        <v>0.22629586291433973</v>
      </c>
      <c r="AC113" s="17">
        <f t="shared" si="37"/>
        <v>19.527505611422566</v>
      </c>
    </row>
    <row r="114" spans="1:29" ht="14.4" x14ac:dyDescent="0.3">
      <c r="A114" s="10">
        <f t="shared" si="7"/>
        <v>113</v>
      </c>
      <c r="B114" s="9" t="s">
        <v>105</v>
      </c>
      <c r="C114" s="9">
        <v>3</v>
      </c>
      <c r="D114" s="9" t="s">
        <v>37</v>
      </c>
      <c r="E114" s="9" t="s">
        <v>38</v>
      </c>
      <c r="F114" s="9" t="s">
        <v>41</v>
      </c>
      <c r="G114" s="9" t="s">
        <v>40</v>
      </c>
      <c r="H114" s="4">
        <f t="shared" si="47"/>
        <v>153</v>
      </c>
      <c r="I114" s="10">
        <v>83</v>
      </c>
      <c r="J114" s="10">
        <v>24.66</v>
      </c>
      <c r="K114" s="10">
        <v>15.04</v>
      </c>
      <c r="L114" s="10">
        <v>70</v>
      </c>
      <c r="M114" s="10">
        <v>30.16</v>
      </c>
      <c r="N114" s="10">
        <v>15.6</v>
      </c>
      <c r="O114" s="12">
        <f t="shared" si="48"/>
        <v>15.298437612301571</v>
      </c>
      <c r="P114" s="14">
        <f t="shared" si="33"/>
        <v>1.2230332522303324</v>
      </c>
      <c r="Q114" s="4"/>
      <c r="R114" s="4"/>
      <c r="S114" s="4"/>
      <c r="T114" s="4"/>
      <c r="U114" s="4"/>
      <c r="V114" s="4"/>
      <c r="W114" s="14">
        <f t="shared" si="44"/>
        <v>0.17692125465188677</v>
      </c>
      <c r="X114" s="14">
        <f t="shared" si="4"/>
        <v>0.17880266231122011</v>
      </c>
      <c r="Y114" s="14">
        <f t="shared" si="5"/>
        <v>8.1649658092772609E-2</v>
      </c>
      <c r="Z114" s="17">
        <f t="shared" si="36"/>
        <v>149.99999999999997</v>
      </c>
      <c r="AA114" s="14">
        <f t="shared" si="49"/>
        <v>0.35951383660102748</v>
      </c>
      <c r="AB114" s="14">
        <f t="shared" si="6"/>
        <v>0.16357351046879462</v>
      </c>
      <c r="AC114" s="17">
        <f t="shared" si="37"/>
        <v>37.374384701774815</v>
      </c>
    </row>
    <row r="115" spans="1:29" ht="14.4" x14ac:dyDescent="0.3">
      <c r="A115" s="10">
        <f t="shared" si="7"/>
        <v>114</v>
      </c>
      <c r="B115" s="9" t="s">
        <v>106</v>
      </c>
      <c r="C115" s="9" t="s">
        <v>107</v>
      </c>
      <c r="D115" s="9" t="s">
        <v>37</v>
      </c>
      <c r="E115" s="9" t="s">
        <v>38</v>
      </c>
      <c r="F115" s="9" t="s">
        <v>41</v>
      </c>
      <c r="G115" s="9" t="s">
        <v>40</v>
      </c>
      <c r="H115" s="4">
        <f t="shared" si="47"/>
        <v>141</v>
      </c>
      <c r="I115" s="10">
        <v>71</v>
      </c>
      <c r="J115" s="9">
        <v>26.19</v>
      </c>
      <c r="K115" s="13">
        <v>20.41</v>
      </c>
      <c r="L115" s="10">
        <v>70</v>
      </c>
      <c r="M115" s="9">
        <v>30.44</v>
      </c>
      <c r="N115" s="13">
        <v>12.31</v>
      </c>
      <c r="O115" s="12">
        <f t="shared" si="48"/>
        <v>16.882104505007234</v>
      </c>
      <c r="P115" s="14">
        <f t="shared" si="33"/>
        <v>1.1622756777395953</v>
      </c>
      <c r="Q115" s="4"/>
      <c r="R115" s="14"/>
      <c r="S115" s="15"/>
      <c r="T115" s="15"/>
      <c r="U115" s="4"/>
      <c r="V115" s="16"/>
      <c r="W115" s="14">
        <f t="shared" si="44"/>
        <v>0.12488746238456622</v>
      </c>
      <c r="X115" s="14">
        <f t="shared" si="4"/>
        <v>0.12554289184688672</v>
      </c>
      <c r="Y115" s="14">
        <f t="shared" si="5"/>
        <v>8.5125653075874858E-2</v>
      </c>
      <c r="Z115" s="17">
        <f t="shared" si="36"/>
        <v>138</v>
      </c>
      <c r="AA115" s="14">
        <f t="shared" si="49"/>
        <v>0.25174586490324413</v>
      </c>
      <c r="AB115" s="14">
        <f t="shared" si="6"/>
        <v>0.16910044011609418</v>
      </c>
      <c r="AC115" s="17">
        <f t="shared" si="37"/>
        <v>34.971199131099304</v>
      </c>
    </row>
    <row r="116" spans="1:29" ht="14.4" x14ac:dyDescent="0.3">
      <c r="A116" s="10">
        <f t="shared" si="7"/>
        <v>115</v>
      </c>
      <c r="B116" s="9" t="s">
        <v>106</v>
      </c>
      <c r="C116" s="9">
        <v>1</v>
      </c>
      <c r="D116" s="9" t="s">
        <v>37</v>
      </c>
      <c r="E116" s="9" t="s">
        <v>38</v>
      </c>
      <c r="F116" s="9" t="s">
        <v>41</v>
      </c>
      <c r="G116" s="9" t="s">
        <v>40</v>
      </c>
      <c r="H116" s="4">
        <f t="shared" si="47"/>
        <v>194</v>
      </c>
      <c r="I116" s="10">
        <v>97</v>
      </c>
      <c r="J116" s="10">
        <v>28.07</v>
      </c>
      <c r="K116" s="13">
        <v>10.38</v>
      </c>
      <c r="L116" s="10">
        <v>97</v>
      </c>
      <c r="M116" s="10">
        <v>38.18</v>
      </c>
      <c r="N116" s="13">
        <v>14.48</v>
      </c>
      <c r="O116" s="12">
        <f t="shared" si="48"/>
        <v>12.597912525494054</v>
      </c>
      <c r="P116" s="14">
        <f t="shared" si="33"/>
        <v>1.3601710010687567</v>
      </c>
      <c r="Q116" s="4"/>
      <c r="R116" s="14"/>
      <c r="S116" s="15"/>
      <c r="T116" s="15"/>
      <c r="U116" s="4"/>
      <c r="V116" s="16"/>
      <c r="W116" s="14">
        <f t="shared" si="44"/>
        <v>0.37239610134652329</v>
      </c>
      <c r="X116" s="14">
        <f t="shared" si="4"/>
        <v>0.39120211869054561</v>
      </c>
      <c r="Y116" s="14">
        <f t="shared" si="5"/>
        <v>7.2357460529242162E-2</v>
      </c>
      <c r="Z116" s="17">
        <f t="shared" si="36"/>
        <v>191.00000000000003</v>
      </c>
      <c r="AA116" s="14">
        <f t="shared" si="49"/>
        <v>0.80251390693026847</v>
      </c>
      <c r="AB116" s="14">
        <f t="shared" si="6"/>
        <v>0.14925958646461832</v>
      </c>
      <c r="AC116" s="17">
        <f t="shared" si="37"/>
        <v>44.886478199522074</v>
      </c>
    </row>
    <row r="117" spans="1:29" ht="14.4" x14ac:dyDescent="0.3">
      <c r="A117" s="10">
        <f t="shared" si="7"/>
        <v>116</v>
      </c>
      <c r="B117" s="9" t="s">
        <v>106</v>
      </c>
      <c r="C117" s="9">
        <v>2</v>
      </c>
      <c r="D117" s="9" t="s">
        <v>37</v>
      </c>
      <c r="E117" s="9" t="s">
        <v>38</v>
      </c>
      <c r="F117" s="9" t="s">
        <v>41</v>
      </c>
      <c r="G117" s="9" t="s">
        <v>40</v>
      </c>
      <c r="H117" s="4">
        <f t="shared" si="47"/>
        <v>309</v>
      </c>
      <c r="I117" s="10">
        <v>162</v>
      </c>
      <c r="J117" s="10">
        <v>34.1</v>
      </c>
      <c r="K117" s="13">
        <v>20.16</v>
      </c>
      <c r="L117" s="10">
        <v>147</v>
      </c>
      <c r="M117" s="10">
        <v>40.229999999999997</v>
      </c>
      <c r="N117" s="13">
        <v>19.25</v>
      </c>
      <c r="O117" s="12">
        <f t="shared" si="48"/>
        <v>19.732465237897188</v>
      </c>
      <c r="P117" s="14">
        <f t="shared" si="33"/>
        <v>1.1797653958944281</v>
      </c>
      <c r="Q117" s="4"/>
      <c r="R117" s="14"/>
      <c r="S117" s="15"/>
      <c r="T117" s="15"/>
      <c r="U117" s="4"/>
      <c r="V117" s="16"/>
      <c r="W117" s="14">
        <f t="shared" si="44"/>
        <v>0.15348724260038127</v>
      </c>
      <c r="X117" s="14">
        <f t="shared" si="4"/>
        <v>0.1547098728002945</v>
      </c>
      <c r="Y117" s="14">
        <f t="shared" si="5"/>
        <v>5.7166195047502949E-2</v>
      </c>
      <c r="Z117" s="17">
        <f t="shared" si="36"/>
        <v>305.99999999999994</v>
      </c>
      <c r="AA117" s="14">
        <f t="shared" si="49"/>
        <v>0.31065555804081812</v>
      </c>
      <c r="AB117" s="14">
        <f t="shared" si="6"/>
        <v>0.11459371966961228</v>
      </c>
      <c r="AC117" s="17">
        <f t="shared" si="37"/>
        <v>76.151483221118525</v>
      </c>
    </row>
    <row r="118" spans="1:29" ht="14.4" x14ac:dyDescent="0.3">
      <c r="A118" s="10">
        <f t="shared" si="7"/>
        <v>117</v>
      </c>
      <c r="B118" s="9" t="s">
        <v>106</v>
      </c>
      <c r="C118" s="9">
        <v>3</v>
      </c>
      <c r="D118" s="9" t="s">
        <v>37</v>
      </c>
      <c r="E118" s="9" t="s">
        <v>38</v>
      </c>
      <c r="F118" s="9" t="s">
        <v>41</v>
      </c>
      <c r="G118" s="9" t="s">
        <v>40</v>
      </c>
      <c r="H118" s="4">
        <f t="shared" si="47"/>
        <v>214</v>
      </c>
      <c r="I118" s="10">
        <v>108</v>
      </c>
      <c r="J118" s="10">
        <v>27.57</v>
      </c>
      <c r="K118" s="13">
        <v>13.44</v>
      </c>
      <c r="L118" s="10">
        <v>106</v>
      </c>
      <c r="M118" s="10">
        <v>44.6</v>
      </c>
      <c r="N118" s="13">
        <v>21.22</v>
      </c>
      <c r="O118" s="12">
        <f t="shared" si="48"/>
        <v>17.725378512072073</v>
      </c>
      <c r="P118" s="14">
        <f t="shared" si="33"/>
        <v>1.6177003989844034</v>
      </c>
      <c r="Q118" s="4"/>
      <c r="R118" s="14"/>
      <c r="S118" s="15"/>
      <c r="T118" s="15"/>
      <c r="U118" s="4"/>
      <c r="V118" s="16"/>
      <c r="W118" s="14">
        <f t="shared" si="44"/>
        <v>0.43301285022789726</v>
      </c>
      <c r="X118" s="14">
        <f t="shared" si="4"/>
        <v>0.46359887760950497</v>
      </c>
      <c r="Y118" s="14">
        <f t="shared" si="5"/>
        <v>6.8842839082151427E-2</v>
      </c>
      <c r="Z118" s="17">
        <f t="shared" si="36"/>
        <v>210.99999999999997</v>
      </c>
      <c r="AA118" s="14">
        <f t="shared" si="49"/>
        <v>0.96076932791034753</v>
      </c>
      <c r="AB118" s="14">
        <f t="shared" si="6"/>
        <v>0.14439510076500728</v>
      </c>
      <c r="AC118" s="17">
        <f t="shared" si="37"/>
        <v>47.96175692587299</v>
      </c>
    </row>
    <row r="119" spans="1:29" ht="14.4" x14ac:dyDescent="0.3">
      <c r="A119" s="10">
        <f t="shared" si="7"/>
        <v>118</v>
      </c>
      <c r="B119" s="10" t="s">
        <v>108</v>
      </c>
      <c r="C119" s="10">
        <v>1</v>
      </c>
      <c r="D119" s="10" t="s">
        <v>37</v>
      </c>
      <c r="E119" s="10" t="s">
        <v>83</v>
      </c>
      <c r="F119" s="10" t="s">
        <v>59</v>
      </c>
      <c r="G119" s="10" t="s">
        <v>40</v>
      </c>
      <c r="H119" s="4">
        <f t="shared" si="47"/>
        <v>316</v>
      </c>
      <c r="I119" s="10">
        <v>159</v>
      </c>
      <c r="J119" s="10">
        <v>5.79</v>
      </c>
      <c r="K119" s="13">
        <v>3.39</v>
      </c>
      <c r="L119" s="10">
        <v>157</v>
      </c>
      <c r="M119" s="10">
        <v>6.07</v>
      </c>
      <c r="N119" s="13">
        <v>2.86</v>
      </c>
      <c r="O119" s="12">
        <f t="shared" si="48"/>
        <v>3.1378972837008741</v>
      </c>
      <c r="P119" s="14">
        <f t="shared" si="33"/>
        <v>1.0483592400690847</v>
      </c>
      <c r="Q119" s="4"/>
      <c r="R119" s="14"/>
      <c r="S119" s="15"/>
      <c r="T119" s="15"/>
      <c r="U119" s="4"/>
      <c r="V119" s="16"/>
      <c r="W119" s="14">
        <f t="shared" si="44"/>
        <v>4.4571525056599032E-2</v>
      </c>
      <c r="X119" s="14">
        <f t="shared" si="4"/>
        <v>4.4601075861955185E-2</v>
      </c>
      <c r="Y119" s="14">
        <f t="shared" si="5"/>
        <v>5.6523341894422152E-2</v>
      </c>
      <c r="Z119" s="17">
        <f t="shared" si="36"/>
        <v>312.99999999999994</v>
      </c>
      <c r="AA119" s="14">
        <f t="shared" si="49"/>
        <v>8.9231728984374162E-2</v>
      </c>
      <c r="AB119" s="14">
        <f t="shared" si="6"/>
        <v>0.11256701784247723</v>
      </c>
      <c r="AC119" s="17">
        <f t="shared" si="37"/>
        <v>78.91829218531322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32"/>
  <sheetViews>
    <sheetView workbookViewId="0">
      <pane ySplit="1" topLeftCell="A2" activePane="bottomLeft" state="frozen"/>
      <selection pane="bottomLeft" activeCell="B19" sqref="B19"/>
    </sheetView>
  </sheetViews>
  <sheetFormatPr defaultColWidth="14.44140625" defaultRowHeight="15.75" customHeight="1" x14ac:dyDescent="0.25"/>
  <cols>
    <col min="1" max="1" width="7.33203125" customWidth="1"/>
    <col min="2" max="2" width="24" customWidth="1"/>
    <col min="3" max="3" width="10.88671875" customWidth="1"/>
    <col min="4" max="4" width="9.5546875" customWidth="1"/>
    <col min="5" max="5" width="12.88671875" customWidth="1"/>
    <col min="6" max="6" width="9.5546875" customWidth="1"/>
    <col min="7" max="7" width="9.6640625" customWidth="1"/>
    <col min="8" max="8" width="7.33203125" customWidth="1"/>
    <col min="9" max="9" width="9.5546875" customWidth="1"/>
    <col min="10" max="11" width="10" customWidth="1"/>
    <col min="12" max="13" width="9.88671875" customWidth="1"/>
    <col min="14" max="14" width="10.44140625" customWidth="1"/>
    <col min="15" max="15" width="38.33203125" customWidth="1"/>
  </cols>
  <sheetData>
    <row r="1" spans="1:28" ht="15.75" customHeight="1" x14ac:dyDescent="0.3">
      <c r="A1" s="2" t="s">
        <v>1</v>
      </c>
      <c r="B1" s="2" t="s">
        <v>2</v>
      </c>
      <c r="C1" s="2" t="s">
        <v>3</v>
      </c>
      <c r="D1" s="2" t="s">
        <v>4</v>
      </c>
      <c r="E1" s="2" t="s">
        <v>5</v>
      </c>
      <c r="F1" s="2" t="s">
        <v>6</v>
      </c>
      <c r="G1" s="2" t="s">
        <v>7</v>
      </c>
      <c r="H1" s="2" t="s">
        <v>12</v>
      </c>
      <c r="I1" s="2" t="s">
        <v>13</v>
      </c>
      <c r="J1" s="2" t="s">
        <v>15</v>
      </c>
      <c r="K1" s="2" t="s">
        <v>17</v>
      </c>
      <c r="L1" s="2" t="s">
        <v>19</v>
      </c>
      <c r="M1" s="2" t="s">
        <v>21</v>
      </c>
      <c r="N1" s="2" t="s">
        <v>23</v>
      </c>
      <c r="O1" s="2" t="s">
        <v>25</v>
      </c>
      <c r="P1" s="4"/>
      <c r="Q1" s="4"/>
      <c r="R1" s="4"/>
      <c r="S1" s="4"/>
      <c r="T1" s="4"/>
      <c r="U1" s="4"/>
      <c r="V1" s="4"/>
      <c r="W1" s="4"/>
      <c r="X1" s="4"/>
      <c r="Y1" s="4"/>
      <c r="Z1" s="4"/>
      <c r="AA1" s="4"/>
      <c r="AB1" s="4"/>
    </row>
    <row r="2" spans="1:28" ht="15.75" customHeight="1" x14ac:dyDescent="0.3">
      <c r="A2" s="7"/>
      <c r="B2" s="9" t="s">
        <v>31</v>
      </c>
      <c r="C2" s="9">
        <v>1</v>
      </c>
      <c r="D2" s="9" t="s">
        <v>37</v>
      </c>
      <c r="E2" s="9" t="s">
        <v>38</v>
      </c>
      <c r="F2" s="9" t="s">
        <v>39</v>
      </c>
      <c r="G2" s="9" t="s">
        <v>40</v>
      </c>
      <c r="H2" s="9">
        <v>55</v>
      </c>
      <c r="I2" s="9">
        <v>14.71</v>
      </c>
      <c r="J2" s="9"/>
      <c r="K2" s="9">
        <v>25.13</v>
      </c>
      <c r="L2" s="7"/>
      <c r="M2" s="7"/>
      <c r="N2" s="9">
        <v>0.39</v>
      </c>
      <c r="O2" s="7"/>
      <c r="P2" s="4"/>
      <c r="Q2" s="4"/>
      <c r="R2" s="4"/>
      <c r="S2" s="4"/>
      <c r="T2" s="4"/>
      <c r="U2" s="4"/>
      <c r="V2" s="4"/>
      <c r="W2" s="4"/>
      <c r="X2" s="4"/>
      <c r="Y2" s="4"/>
      <c r="Z2" s="4"/>
      <c r="AA2" s="4"/>
      <c r="AB2" s="4"/>
    </row>
    <row r="3" spans="1:28" ht="15.75" customHeight="1" x14ac:dyDescent="0.3">
      <c r="A3" s="7"/>
      <c r="B3" s="7"/>
      <c r="C3" s="9">
        <v>2</v>
      </c>
      <c r="D3" s="9" t="s">
        <v>42</v>
      </c>
      <c r="E3" s="9" t="s">
        <v>43</v>
      </c>
      <c r="F3" s="9" t="s">
        <v>44</v>
      </c>
      <c r="G3" s="9" t="s">
        <v>40</v>
      </c>
      <c r="H3" s="9">
        <v>132</v>
      </c>
      <c r="I3" s="9">
        <v>0.4</v>
      </c>
      <c r="J3" s="9"/>
      <c r="K3" s="9">
        <v>0.6</v>
      </c>
      <c r="L3" s="7"/>
      <c r="M3" s="7"/>
      <c r="N3" s="7"/>
      <c r="O3" s="9" t="s">
        <v>45</v>
      </c>
      <c r="P3" s="4"/>
      <c r="Q3" s="4"/>
      <c r="R3" s="4"/>
      <c r="S3" s="4"/>
      <c r="T3" s="4"/>
      <c r="U3" s="4"/>
      <c r="V3" s="4"/>
      <c r="W3" s="4"/>
      <c r="X3" s="4"/>
      <c r="Y3" s="4"/>
      <c r="Z3" s="4"/>
      <c r="AA3" s="4"/>
      <c r="AB3" s="4"/>
    </row>
    <row r="4" spans="1:28" ht="15.75" customHeight="1" x14ac:dyDescent="0.3">
      <c r="A4" s="7"/>
      <c r="B4" s="7"/>
      <c r="C4" s="9">
        <v>3</v>
      </c>
      <c r="D4" s="9" t="s">
        <v>42</v>
      </c>
      <c r="E4" s="9" t="s">
        <v>38</v>
      </c>
      <c r="F4" s="9" t="s">
        <v>44</v>
      </c>
      <c r="G4" s="9" t="s">
        <v>40</v>
      </c>
      <c r="H4" s="9">
        <v>90</v>
      </c>
      <c r="I4" s="9">
        <v>3.55</v>
      </c>
      <c r="J4" s="9"/>
      <c r="K4" s="9">
        <v>5.76</v>
      </c>
      <c r="L4" s="7"/>
      <c r="M4" s="7"/>
      <c r="N4" s="7"/>
      <c r="O4" s="9" t="s">
        <v>46</v>
      </c>
      <c r="P4" s="4"/>
      <c r="Q4" s="4"/>
      <c r="R4" s="4"/>
      <c r="S4" s="4"/>
      <c r="T4" s="4"/>
      <c r="U4" s="4"/>
      <c r="V4" s="4"/>
      <c r="W4" s="4"/>
      <c r="X4" s="4"/>
      <c r="Y4" s="4"/>
      <c r="Z4" s="4"/>
      <c r="AA4" s="4"/>
      <c r="AB4" s="4"/>
    </row>
    <row r="5" spans="1:28" ht="15.75" customHeight="1" x14ac:dyDescent="0.3">
      <c r="A5" s="7"/>
      <c r="B5" s="7"/>
      <c r="C5" s="9">
        <v>4</v>
      </c>
      <c r="D5" s="9" t="s">
        <v>42</v>
      </c>
      <c r="E5" s="9" t="s">
        <v>43</v>
      </c>
      <c r="F5" s="9" t="s">
        <v>44</v>
      </c>
      <c r="G5" s="9" t="s">
        <v>40</v>
      </c>
      <c r="H5" s="9">
        <v>53</v>
      </c>
      <c r="I5" s="9">
        <v>0.43</v>
      </c>
      <c r="J5" s="9"/>
      <c r="K5" s="9">
        <v>1.3</v>
      </c>
      <c r="L5" s="7"/>
      <c r="M5" s="7"/>
      <c r="N5" s="7"/>
      <c r="O5" s="9" t="s">
        <v>48</v>
      </c>
      <c r="P5" s="4"/>
      <c r="Q5" s="4"/>
      <c r="R5" s="4"/>
      <c r="S5" s="4"/>
      <c r="T5" s="4"/>
      <c r="U5" s="4"/>
      <c r="V5" s="4"/>
      <c r="W5" s="4"/>
      <c r="X5" s="4"/>
      <c r="Y5" s="4"/>
      <c r="Z5" s="4"/>
      <c r="AA5" s="4"/>
      <c r="AB5" s="4"/>
    </row>
    <row r="6" spans="1:28" ht="15.75" customHeight="1" x14ac:dyDescent="0.3">
      <c r="A6" s="7"/>
      <c r="B6" s="7"/>
      <c r="C6" s="9">
        <v>5</v>
      </c>
      <c r="D6" s="9" t="s">
        <v>42</v>
      </c>
      <c r="E6" s="9" t="s">
        <v>43</v>
      </c>
      <c r="F6" s="9" t="s">
        <v>44</v>
      </c>
      <c r="G6" s="9" t="s">
        <v>40</v>
      </c>
      <c r="H6" s="9">
        <v>44</v>
      </c>
      <c r="I6" s="9">
        <v>0.34</v>
      </c>
      <c r="J6" s="9"/>
      <c r="K6" s="9">
        <v>0.73</v>
      </c>
      <c r="L6" s="7"/>
      <c r="M6" s="7"/>
      <c r="N6" s="7"/>
      <c r="O6" s="9" t="s">
        <v>49</v>
      </c>
      <c r="P6" s="4"/>
      <c r="Q6" s="4"/>
      <c r="R6" s="4"/>
      <c r="S6" s="4"/>
      <c r="T6" s="4"/>
      <c r="U6" s="4"/>
      <c r="V6" s="4"/>
      <c r="W6" s="4"/>
      <c r="X6" s="4"/>
      <c r="Y6" s="4"/>
      <c r="Z6" s="4"/>
      <c r="AA6" s="4"/>
      <c r="AB6" s="4"/>
    </row>
    <row r="7" spans="1:28" ht="15.75" customHeight="1" x14ac:dyDescent="0.3">
      <c r="A7" s="7"/>
      <c r="B7" s="9"/>
      <c r="C7" s="9">
        <v>6</v>
      </c>
      <c r="D7" s="9" t="s">
        <v>42</v>
      </c>
      <c r="E7" s="9" t="s">
        <v>43</v>
      </c>
      <c r="F7" s="9" t="s">
        <v>44</v>
      </c>
      <c r="G7" s="9" t="s">
        <v>40</v>
      </c>
      <c r="H7" s="9">
        <v>59</v>
      </c>
      <c r="I7" s="9">
        <v>82</v>
      </c>
      <c r="J7" s="9"/>
      <c r="K7" s="9">
        <v>162</v>
      </c>
      <c r="L7" s="7"/>
      <c r="M7" s="7"/>
      <c r="N7" s="7"/>
      <c r="O7" s="9" t="s">
        <v>50</v>
      </c>
      <c r="P7" s="4"/>
      <c r="Q7" s="4"/>
      <c r="R7" s="4"/>
      <c r="S7" s="4"/>
      <c r="T7" s="4"/>
      <c r="U7" s="4"/>
      <c r="V7" s="4"/>
      <c r="W7" s="4"/>
      <c r="X7" s="4"/>
      <c r="Y7" s="4"/>
      <c r="Z7" s="4"/>
      <c r="AA7" s="4"/>
      <c r="AB7" s="4"/>
    </row>
    <row r="8" spans="1:28" ht="15.75" customHeight="1" x14ac:dyDescent="0.3">
      <c r="A8" s="7"/>
      <c r="B8" s="9" t="s">
        <v>51</v>
      </c>
      <c r="C8" s="9" t="s">
        <v>52</v>
      </c>
      <c r="D8" s="9" t="s">
        <v>37</v>
      </c>
      <c r="E8" s="9" t="s">
        <v>38</v>
      </c>
      <c r="F8" s="9" t="s">
        <v>39</v>
      </c>
      <c r="G8" s="9" t="s">
        <v>53</v>
      </c>
      <c r="H8" s="9">
        <v>58</v>
      </c>
      <c r="I8" s="9">
        <v>25</v>
      </c>
      <c r="J8" s="9"/>
      <c r="K8" s="9">
        <v>38</v>
      </c>
      <c r="L8" s="7"/>
      <c r="M8" s="7"/>
      <c r="N8" s="7"/>
      <c r="O8" s="9" t="s">
        <v>54</v>
      </c>
      <c r="P8" s="4"/>
      <c r="Q8" s="4"/>
      <c r="R8" s="4"/>
      <c r="S8" s="4"/>
      <c r="T8" s="4"/>
      <c r="U8" s="4"/>
      <c r="V8" s="4"/>
      <c r="W8" s="4"/>
      <c r="X8" s="4"/>
      <c r="Y8" s="4"/>
      <c r="Z8" s="4"/>
      <c r="AA8" s="4"/>
      <c r="AB8" s="4"/>
    </row>
    <row r="9" spans="1:28" ht="15.75" customHeight="1" x14ac:dyDescent="0.3">
      <c r="A9" s="7"/>
      <c r="B9" s="7"/>
      <c r="C9" s="9" t="s">
        <v>55</v>
      </c>
      <c r="D9" s="9" t="s">
        <v>37</v>
      </c>
      <c r="E9" s="9" t="s">
        <v>38</v>
      </c>
      <c r="F9" s="9" t="s">
        <v>44</v>
      </c>
      <c r="G9" s="9" t="s">
        <v>53</v>
      </c>
      <c r="H9" s="9">
        <v>58</v>
      </c>
      <c r="I9" s="9">
        <v>35</v>
      </c>
      <c r="J9" s="9"/>
      <c r="K9" s="9">
        <v>32.5</v>
      </c>
      <c r="L9" s="7"/>
      <c r="M9" s="7"/>
      <c r="N9" s="7"/>
      <c r="O9" s="9" t="s">
        <v>56</v>
      </c>
      <c r="P9" s="4"/>
      <c r="Q9" s="4"/>
      <c r="R9" s="4"/>
      <c r="S9" s="4"/>
      <c r="T9" s="4"/>
      <c r="U9" s="4"/>
      <c r="V9" s="4"/>
      <c r="W9" s="4"/>
      <c r="X9" s="4"/>
      <c r="Y9" s="4"/>
      <c r="Z9" s="4"/>
      <c r="AA9" s="4"/>
      <c r="AB9" s="4"/>
    </row>
    <row r="10" spans="1:28" ht="15.75" customHeight="1" x14ac:dyDescent="0.3">
      <c r="A10" s="7"/>
      <c r="B10" s="7"/>
      <c r="C10" s="9" t="s">
        <v>57</v>
      </c>
      <c r="D10" s="9" t="s">
        <v>37</v>
      </c>
      <c r="E10" s="9" t="s">
        <v>38</v>
      </c>
      <c r="F10" s="9" t="s">
        <v>39</v>
      </c>
      <c r="G10" s="9" t="s">
        <v>53</v>
      </c>
      <c r="H10" s="9">
        <v>58</v>
      </c>
      <c r="I10" s="9">
        <v>32.5</v>
      </c>
      <c r="J10" s="9"/>
      <c r="K10" s="9">
        <v>35</v>
      </c>
      <c r="L10" s="7"/>
      <c r="M10" s="7"/>
      <c r="N10" s="7"/>
      <c r="P10" s="4"/>
      <c r="Q10" s="4"/>
      <c r="R10" s="4"/>
      <c r="S10" s="4"/>
      <c r="T10" s="4"/>
      <c r="U10" s="4"/>
      <c r="V10" s="4"/>
      <c r="W10" s="4"/>
      <c r="X10" s="4"/>
      <c r="Y10" s="4"/>
      <c r="Z10" s="4"/>
      <c r="AA10" s="4"/>
      <c r="AB10" s="4"/>
    </row>
    <row r="11" spans="1:28" ht="15.75" customHeight="1" x14ac:dyDescent="0.3">
      <c r="A11" s="7"/>
      <c r="B11" s="7"/>
      <c r="C11" s="9" t="s">
        <v>58</v>
      </c>
      <c r="D11" s="9" t="s">
        <v>37</v>
      </c>
      <c r="E11" s="9" t="s">
        <v>38</v>
      </c>
      <c r="F11" s="9" t="s">
        <v>44</v>
      </c>
      <c r="G11" s="9" t="s">
        <v>53</v>
      </c>
      <c r="H11" s="9">
        <v>58</v>
      </c>
      <c r="I11" s="9">
        <v>25</v>
      </c>
      <c r="J11" s="9"/>
      <c r="K11" s="9">
        <v>28.8</v>
      </c>
      <c r="L11" s="7"/>
      <c r="M11" s="7"/>
      <c r="N11" s="7"/>
      <c r="O11" s="7"/>
      <c r="P11" s="4"/>
      <c r="Q11" s="4"/>
      <c r="R11" s="4"/>
      <c r="S11" s="4"/>
      <c r="T11" s="4"/>
      <c r="U11" s="4"/>
      <c r="V11" s="4"/>
      <c r="W11" s="4"/>
      <c r="X11" s="4"/>
      <c r="Y11" s="4"/>
      <c r="Z11" s="4"/>
      <c r="AA11" s="4"/>
      <c r="AB11" s="4"/>
    </row>
    <row r="12" spans="1:28" ht="15.75" customHeight="1" x14ac:dyDescent="0.3">
      <c r="A12" s="7"/>
      <c r="B12" s="7"/>
      <c r="C12" s="9" t="s">
        <v>60</v>
      </c>
      <c r="D12" s="9" t="s">
        <v>37</v>
      </c>
      <c r="E12" s="9" t="s">
        <v>38</v>
      </c>
      <c r="F12" s="9" t="s">
        <v>39</v>
      </c>
      <c r="G12" s="9" t="s">
        <v>53</v>
      </c>
      <c r="H12" s="9">
        <v>58</v>
      </c>
      <c r="I12" s="9">
        <v>32.5</v>
      </c>
      <c r="J12" s="9"/>
      <c r="K12" s="9">
        <v>36.9</v>
      </c>
      <c r="L12" s="7"/>
      <c r="M12" s="7"/>
      <c r="N12" s="7"/>
      <c r="O12" s="7"/>
      <c r="P12" s="4"/>
      <c r="Q12" s="4"/>
      <c r="R12" s="4"/>
      <c r="S12" s="4"/>
      <c r="T12" s="4"/>
      <c r="U12" s="4"/>
      <c r="V12" s="4"/>
      <c r="W12" s="4"/>
      <c r="X12" s="4"/>
      <c r="Y12" s="4"/>
      <c r="Z12" s="4"/>
      <c r="AA12" s="4"/>
      <c r="AB12" s="4"/>
    </row>
    <row r="13" spans="1:28" ht="15.75" customHeight="1" x14ac:dyDescent="0.3">
      <c r="A13" s="7"/>
      <c r="B13" s="7"/>
      <c r="C13" s="9" t="s">
        <v>61</v>
      </c>
      <c r="D13" s="9" t="s">
        <v>37</v>
      </c>
      <c r="E13" s="9" t="s">
        <v>38</v>
      </c>
      <c r="F13" s="9" t="s">
        <v>44</v>
      </c>
      <c r="G13" s="9" t="s">
        <v>53</v>
      </c>
      <c r="H13" s="9">
        <v>58</v>
      </c>
      <c r="I13" s="9">
        <v>25</v>
      </c>
      <c r="J13" s="9"/>
      <c r="K13" s="9">
        <v>27.5</v>
      </c>
      <c r="L13" s="7"/>
      <c r="M13" s="7"/>
      <c r="N13" s="7"/>
      <c r="O13" s="7"/>
      <c r="P13" s="4"/>
      <c r="Q13" s="4"/>
      <c r="R13" s="4"/>
      <c r="S13" s="4"/>
      <c r="T13" s="4"/>
      <c r="U13" s="4"/>
      <c r="V13" s="4"/>
      <c r="W13" s="4"/>
      <c r="X13" s="4"/>
      <c r="Y13" s="4"/>
      <c r="Z13" s="4"/>
      <c r="AA13" s="4"/>
      <c r="AB13" s="4"/>
    </row>
    <row r="14" spans="1:28" ht="15.75" customHeight="1" x14ac:dyDescent="0.3">
      <c r="A14" s="7"/>
      <c r="B14" s="7"/>
      <c r="C14" s="9" t="s">
        <v>62</v>
      </c>
      <c r="D14" s="9" t="s">
        <v>37</v>
      </c>
      <c r="E14" s="9" t="s">
        <v>38</v>
      </c>
      <c r="F14" s="9" t="s">
        <v>39</v>
      </c>
      <c r="G14" s="9" t="s">
        <v>53</v>
      </c>
      <c r="H14" s="9">
        <v>64</v>
      </c>
      <c r="I14" s="9">
        <v>28.8</v>
      </c>
      <c r="J14" s="9"/>
      <c r="K14" s="9">
        <v>43.8</v>
      </c>
      <c r="L14" s="7"/>
      <c r="M14" s="7"/>
      <c r="N14" s="7"/>
      <c r="O14" s="7"/>
      <c r="P14" s="4"/>
      <c r="Q14" s="4"/>
      <c r="R14" s="4"/>
      <c r="S14" s="4"/>
      <c r="T14" s="4"/>
      <c r="U14" s="4"/>
      <c r="V14" s="4"/>
      <c r="W14" s="4"/>
      <c r="X14" s="4"/>
      <c r="Y14" s="4"/>
      <c r="Z14" s="4"/>
      <c r="AA14" s="4"/>
      <c r="AB14" s="4"/>
    </row>
    <row r="15" spans="1:28" ht="15.75" customHeight="1" x14ac:dyDescent="0.3">
      <c r="A15" s="7"/>
      <c r="B15" s="7"/>
      <c r="C15" s="9" t="s">
        <v>63</v>
      </c>
      <c r="D15" s="9" t="s">
        <v>37</v>
      </c>
      <c r="E15" s="9" t="s">
        <v>38</v>
      </c>
      <c r="F15" s="9" t="s">
        <v>39</v>
      </c>
      <c r="G15" s="9" t="s">
        <v>53</v>
      </c>
      <c r="H15" s="9">
        <v>64</v>
      </c>
      <c r="I15" s="9">
        <v>27.6</v>
      </c>
      <c r="J15" s="9"/>
      <c r="K15" s="9">
        <v>32.5</v>
      </c>
      <c r="L15" s="7"/>
      <c r="M15" s="7"/>
      <c r="N15" s="7"/>
      <c r="O15" s="7"/>
      <c r="P15" s="4"/>
      <c r="Q15" s="4"/>
      <c r="R15" s="4"/>
      <c r="S15" s="4"/>
      <c r="T15" s="4"/>
      <c r="U15" s="4"/>
      <c r="V15" s="4"/>
      <c r="W15" s="4"/>
      <c r="X15" s="4"/>
      <c r="Y15" s="4"/>
      <c r="Z15" s="4"/>
      <c r="AA15" s="4"/>
      <c r="AB15" s="4"/>
    </row>
    <row r="16" spans="1:28" ht="15.75" customHeight="1" x14ac:dyDescent="0.3">
      <c r="A16" s="7"/>
      <c r="B16" s="7"/>
      <c r="C16" s="9" t="s">
        <v>64</v>
      </c>
      <c r="D16" s="9" t="s">
        <v>37</v>
      </c>
      <c r="E16" s="9" t="s">
        <v>38</v>
      </c>
      <c r="F16" s="9" t="s">
        <v>44</v>
      </c>
      <c r="G16" s="9" t="s">
        <v>53</v>
      </c>
      <c r="H16" s="9">
        <v>64</v>
      </c>
      <c r="I16" s="9">
        <v>28</v>
      </c>
      <c r="J16" s="9"/>
      <c r="K16" s="9">
        <v>27.5</v>
      </c>
      <c r="L16" s="7"/>
      <c r="M16" s="7"/>
      <c r="N16" s="7"/>
      <c r="O16" s="7"/>
      <c r="P16" s="4"/>
      <c r="Q16" s="4"/>
      <c r="R16" s="4"/>
      <c r="S16" s="4"/>
      <c r="T16" s="4"/>
      <c r="U16" s="4"/>
      <c r="V16" s="4"/>
      <c r="W16" s="4"/>
      <c r="X16" s="4"/>
      <c r="Y16" s="4"/>
      <c r="Z16" s="4"/>
      <c r="AA16" s="4"/>
      <c r="AB16" s="4"/>
    </row>
    <row r="17" spans="1:28" ht="15.75" customHeight="1" x14ac:dyDescent="0.3">
      <c r="A17" s="7"/>
      <c r="B17" s="7"/>
      <c r="C17" s="9" t="s">
        <v>65</v>
      </c>
      <c r="D17" s="9" t="s">
        <v>37</v>
      </c>
      <c r="E17" s="9" t="s">
        <v>38</v>
      </c>
      <c r="F17" s="9" t="s">
        <v>44</v>
      </c>
      <c r="G17" s="9" t="s">
        <v>53</v>
      </c>
      <c r="H17" s="9">
        <v>64</v>
      </c>
      <c r="I17" s="9">
        <v>23.8</v>
      </c>
      <c r="J17" s="9"/>
      <c r="K17" s="9">
        <v>32.5</v>
      </c>
      <c r="L17" s="7"/>
      <c r="M17" s="7"/>
      <c r="N17" s="7"/>
      <c r="O17" s="7"/>
      <c r="P17" s="4"/>
      <c r="Q17" s="4"/>
      <c r="R17" s="4"/>
      <c r="S17" s="4"/>
      <c r="T17" s="4"/>
      <c r="U17" s="4"/>
      <c r="V17" s="4"/>
      <c r="W17" s="4"/>
      <c r="X17" s="4"/>
      <c r="Y17" s="4"/>
      <c r="Z17" s="4"/>
      <c r="AA17" s="4"/>
      <c r="AB17" s="4"/>
    </row>
    <row r="18" spans="1:28" ht="15.75" customHeight="1" x14ac:dyDescent="0.3">
      <c r="A18" s="7"/>
      <c r="B18" s="7"/>
      <c r="C18" s="9" t="s">
        <v>67</v>
      </c>
      <c r="D18" s="9" t="s">
        <v>37</v>
      </c>
      <c r="E18" s="9" t="s">
        <v>43</v>
      </c>
      <c r="F18" s="9" t="s">
        <v>39</v>
      </c>
      <c r="G18" s="9" t="s">
        <v>53</v>
      </c>
      <c r="H18" s="9">
        <v>43</v>
      </c>
      <c r="I18" s="10">
        <v>34.4</v>
      </c>
      <c r="J18" s="10"/>
      <c r="K18" s="10">
        <v>41.3</v>
      </c>
      <c r="L18" s="7"/>
      <c r="M18" s="7"/>
      <c r="N18" s="7"/>
      <c r="O18" s="9" t="s">
        <v>68</v>
      </c>
      <c r="P18" s="4"/>
      <c r="Q18" s="4"/>
      <c r="R18" s="4"/>
      <c r="S18" s="4"/>
      <c r="T18" s="4"/>
      <c r="U18" s="4"/>
      <c r="V18" s="4"/>
      <c r="W18" s="4"/>
      <c r="X18" s="4"/>
      <c r="Y18" s="4"/>
      <c r="Z18" s="4"/>
      <c r="AA18" s="4"/>
      <c r="AB18" s="4"/>
    </row>
    <row r="19" spans="1:28" ht="15.75" customHeight="1" x14ac:dyDescent="0.3">
      <c r="A19" s="7"/>
      <c r="B19" s="7"/>
      <c r="C19" s="9" t="s">
        <v>69</v>
      </c>
      <c r="D19" s="9" t="s">
        <v>37</v>
      </c>
      <c r="E19" s="9" t="s">
        <v>38</v>
      </c>
      <c r="F19" s="9" t="s">
        <v>39</v>
      </c>
      <c r="G19" s="9" t="s">
        <v>53</v>
      </c>
      <c r="H19" s="9">
        <v>46</v>
      </c>
      <c r="I19" s="9">
        <v>31.9</v>
      </c>
      <c r="J19" s="9"/>
      <c r="K19" s="9">
        <v>37.299999999999997</v>
      </c>
      <c r="L19" s="7"/>
      <c r="M19" s="7"/>
      <c r="N19" s="7"/>
      <c r="O19" s="7"/>
      <c r="P19" s="4"/>
      <c r="Q19" s="4"/>
      <c r="R19" s="4"/>
      <c r="S19" s="4"/>
      <c r="T19" s="4"/>
      <c r="U19" s="4"/>
      <c r="V19" s="4"/>
      <c r="W19" s="4"/>
      <c r="X19" s="4"/>
      <c r="Y19" s="4"/>
      <c r="Z19" s="4"/>
      <c r="AA19" s="4"/>
      <c r="AB19" s="4"/>
    </row>
    <row r="20" spans="1:28" ht="15.75" customHeight="1" x14ac:dyDescent="0.3">
      <c r="A20" s="7"/>
      <c r="B20" s="7"/>
      <c r="C20" s="9" t="s">
        <v>70</v>
      </c>
      <c r="D20" s="9" t="s">
        <v>37</v>
      </c>
      <c r="E20" s="9" t="s">
        <v>43</v>
      </c>
      <c r="F20" s="9" t="s">
        <v>44</v>
      </c>
      <c r="G20" s="9" t="s">
        <v>53</v>
      </c>
      <c r="H20" s="9">
        <v>43</v>
      </c>
      <c r="I20" s="9">
        <v>37.5</v>
      </c>
      <c r="J20" s="9"/>
      <c r="K20" s="9">
        <v>33.799999999999997</v>
      </c>
      <c r="L20" s="7"/>
      <c r="M20" s="7"/>
      <c r="N20" s="7"/>
      <c r="O20" s="9" t="s">
        <v>71</v>
      </c>
      <c r="P20" s="4"/>
      <c r="Q20" s="4"/>
      <c r="R20" s="4"/>
      <c r="S20" s="4"/>
      <c r="T20" s="4"/>
      <c r="U20" s="4"/>
      <c r="V20" s="4"/>
      <c r="W20" s="4"/>
      <c r="X20" s="4"/>
      <c r="Y20" s="4"/>
      <c r="Z20" s="4"/>
      <c r="AA20" s="4"/>
      <c r="AB20" s="4"/>
    </row>
    <row r="21" spans="1:28" ht="15.75" customHeight="1" x14ac:dyDescent="0.3">
      <c r="A21" s="7"/>
      <c r="B21" s="7"/>
      <c r="C21" s="9" t="s">
        <v>72</v>
      </c>
      <c r="D21" s="9" t="s">
        <v>37</v>
      </c>
      <c r="E21" s="9" t="s">
        <v>38</v>
      </c>
      <c r="F21" s="9" t="s">
        <v>44</v>
      </c>
      <c r="G21" s="9" t="s">
        <v>53</v>
      </c>
      <c r="H21" s="9">
        <v>46</v>
      </c>
      <c r="I21" s="9">
        <v>19</v>
      </c>
      <c r="J21" s="9"/>
      <c r="K21" s="9">
        <v>31.9</v>
      </c>
      <c r="L21" s="7"/>
      <c r="M21" s="7"/>
      <c r="N21" s="7"/>
      <c r="O21" s="9" t="s">
        <v>73</v>
      </c>
      <c r="P21" s="4"/>
      <c r="Q21" s="4"/>
      <c r="R21" s="4"/>
      <c r="S21" s="4"/>
      <c r="T21" s="4"/>
      <c r="U21" s="4"/>
      <c r="V21" s="4"/>
      <c r="W21" s="4"/>
      <c r="X21" s="4"/>
      <c r="Y21" s="4"/>
      <c r="Z21" s="4"/>
      <c r="AA21" s="4"/>
      <c r="AB21" s="4"/>
    </row>
    <row r="22" spans="1:28" ht="15.75" customHeight="1" x14ac:dyDescent="0.3">
      <c r="A22" s="7"/>
      <c r="B22" s="7"/>
      <c r="C22" s="9" t="s">
        <v>75</v>
      </c>
      <c r="D22" s="9" t="s">
        <v>37</v>
      </c>
      <c r="E22" s="9" t="s">
        <v>38</v>
      </c>
      <c r="F22" s="9" t="s">
        <v>44</v>
      </c>
      <c r="G22" s="9" t="s">
        <v>40</v>
      </c>
      <c r="H22" s="9">
        <v>100</v>
      </c>
      <c r="I22" s="9">
        <v>4.5</v>
      </c>
      <c r="J22" s="9"/>
      <c r="K22" s="9">
        <v>6</v>
      </c>
      <c r="L22" s="7"/>
      <c r="M22" s="7"/>
      <c r="N22" s="7"/>
      <c r="O22" s="9" t="s">
        <v>76</v>
      </c>
      <c r="P22" s="4"/>
      <c r="Q22" s="4"/>
      <c r="R22" s="4"/>
      <c r="S22" s="4"/>
      <c r="T22" s="4"/>
      <c r="U22" s="4"/>
      <c r="V22" s="4"/>
      <c r="W22" s="4"/>
      <c r="X22" s="4"/>
      <c r="Y22" s="4"/>
      <c r="Z22" s="4"/>
      <c r="AA22" s="4"/>
      <c r="AB22" s="4"/>
    </row>
    <row r="23" spans="1:28" ht="15.75" customHeight="1" x14ac:dyDescent="0.3">
      <c r="A23" s="7"/>
      <c r="B23" s="7"/>
      <c r="C23" s="9" t="s">
        <v>77</v>
      </c>
      <c r="D23" s="9" t="s">
        <v>37</v>
      </c>
      <c r="E23" s="9" t="s">
        <v>38</v>
      </c>
      <c r="F23" s="9" t="s">
        <v>44</v>
      </c>
      <c r="G23" s="9" t="s">
        <v>40</v>
      </c>
      <c r="H23" s="9">
        <v>178</v>
      </c>
      <c r="I23" s="9">
        <v>29</v>
      </c>
      <c r="J23" s="9"/>
      <c r="K23" s="9">
        <v>32.5</v>
      </c>
      <c r="L23" s="7"/>
      <c r="M23" s="7"/>
      <c r="N23" s="7"/>
      <c r="O23" s="9" t="s">
        <v>78</v>
      </c>
      <c r="P23" s="4"/>
      <c r="Q23" s="4"/>
      <c r="R23" s="4"/>
      <c r="S23" s="4"/>
      <c r="T23" s="4"/>
      <c r="U23" s="4"/>
      <c r="V23" s="4"/>
      <c r="W23" s="4"/>
      <c r="X23" s="4"/>
      <c r="Y23" s="4"/>
      <c r="Z23" s="4"/>
      <c r="AA23" s="4"/>
      <c r="AB23" s="4"/>
    </row>
    <row r="24" spans="1:28" ht="15.75" customHeight="1" x14ac:dyDescent="0.3">
      <c r="A24" s="7"/>
      <c r="B24" s="9" t="s">
        <v>79</v>
      </c>
      <c r="C24" s="9">
        <v>1</v>
      </c>
      <c r="D24" s="9" t="s">
        <v>37</v>
      </c>
      <c r="E24" s="9" t="s">
        <v>38</v>
      </c>
      <c r="F24" s="9" t="s">
        <v>39</v>
      </c>
      <c r="G24" s="9" t="s">
        <v>40</v>
      </c>
      <c r="H24" s="9">
        <v>116</v>
      </c>
      <c r="I24" s="9">
        <v>49.04</v>
      </c>
      <c r="J24" s="9"/>
      <c r="K24" s="9">
        <v>70.180000000000007</v>
      </c>
      <c r="L24" s="7"/>
      <c r="M24" s="7"/>
      <c r="N24" s="9">
        <v>0.37</v>
      </c>
      <c r="O24" s="9" t="s">
        <v>80</v>
      </c>
      <c r="P24" s="4"/>
      <c r="Q24" s="4"/>
      <c r="R24" s="4"/>
      <c r="S24" s="4"/>
      <c r="T24" s="4"/>
      <c r="U24" s="4"/>
      <c r="V24" s="4"/>
      <c r="W24" s="4"/>
      <c r="X24" s="4"/>
      <c r="Y24" s="4"/>
      <c r="Z24" s="4"/>
      <c r="AA24" s="4"/>
      <c r="AB24" s="4"/>
    </row>
    <row r="25" spans="1:28" ht="15.75" customHeight="1" x14ac:dyDescent="0.3">
      <c r="A25" s="7"/>
      <c r="B25" s="9" t="s">
        <v>81</v>
      </c>
      <c r="C25" s="9">
        <v>1</v>
      </c>
      <c r="D25" s="9" t="s">
        <v>42</v>
      </c>
      <c r="E25" s="9" t="s">
        <v>43</v>
      </c>
      <c r="F25" s="9" t="s">
        <v>44</v>
      </c>
      <c r="G25" s="9" t="s">
        <v>40</v>
      </c>
      <c r="H25" s="9">
        <v>134</v>
      </c>
      <c r="I25" s="9">
        <v>1.33</v>
      </c>
      <c r="J25" s="9"/>
      <c r="K25" s="9">
        <v>1.39</v>
      </c>
      <c r="L25" s="7"/>
      <c r="M25" s="7"/>
      <c r="N25" s="7"/>
      <c r="O25" s="7"/>
      <c r="P25" s="4"/>
      <c r="Q25" s="4"/>
      <c r="R25" s="4"/>
      <c r="S25" s="4"/>
      <c r="T25" s="4"/>
      <c r="U25" s="4"/>
      <c r="V25" s="4"/>
      <c r="W25" s="4"/>
      <c r="X25" s="4"/>
      <c r="Y25" s="4"/>
      <c r="Z25" s="4"/>
      <c r="AA25" s="4"/>
      <c r="AB25" s="4"/>
    </row>
    <row r="26" spans="1:28" ht="15.75" customHeight="1" x14ac:dyDescent="0.3">
      <c r="A26" s="7"/>
      <c r="B26" s="9" t="s">
        <v>82</v>
      </c>
      <c r="C26" s="9">
        <v>1</v>
      </c>
      <c r="D26" s="9" t="s">
        <v>37</v>
      </c>
      <c r="E26" s="9" t="s">
        <v>83</v>
      </c>
      <c r="F26" s="9" t="s">
        <v>44</v>
      </c>
      <c r="G26" s="9" t="s">
        <v>40</v>
      </c>
      <c r="H26" s="9">
        <v>79</v>
      </c>
      <c r="I26" s="9">
        <v>20.98</v>
      </c>
      <c r="J26" s="9"/>
      <c r="K26" s="9">
        <v>21.42</v>
      </c>
      <c r="L26" s="7"/>
      <c r="M26" s="7"/>
      <c r="N26" s="7"/>
      <c r="O26" s="7"/>
      <c r="P26" s="4"/>
      <c r="Q26" s="4"/>
      <c r="R26" s="4"/>
      <c r="S26" s="4"/>
      <c r="T26" s="4"/>
      <c r="U26" s="4"/>
      <c r="V26" s="4"/>
      <c r="W26" s="4"/>
      <c r="X26" s="4"/>
      <c r="Y26" s="4"/>
      <c r="Z26" s="4"/>
      <c r="AA26" s="4"/>
      <c r="AB26" s="4"/>
    </row>
    <row r="27" spans="1:28" ht="15.75" customHeight="1" x14ac:dyDescent="0.3">
      <c r="A27" s="7"/>
      <c r="B27" s="7"/>
      <c r="C27" s="9">
        <v>2</v>
      </c>
      <c r="D27" s="9" t="s">
        <v>37</v>
      </c>
      <c r="E27" s="9" t="s">
        <v>83</v>
      </c>
      <c r="F27" s="9" t="s">
        <v>39</v>
      </c>
      <c r="G27" s="9" t="s">
        <v>40</v>
      </c>
      <c r="H27" s="9">
        <v>78</v>
      </c>
      <c r="I27" s="9">
        <v>12.38</v>
      </c>
      <c r="J27" s="9"/>
      <c r="K27" s="9">
        <v>12.69</v>
      </c>
      <c r="L27" s="7"/>
      <c r="M27" s="7"/>
      <c r="N27" s="7"/>
      <c r="O27" s="7"/>
      <c r="P27" s="4"/>
      <c r="Q27" s="4"/>
      <c r="R27" s="4"/>
      <c r="S27" s="4"/>
      <c r="T27" s="4"/>
      <c r="U27" s="4"/>
      <c r="V27" s="4"/>
      <c r="W27" s="4"/>
      <c r="X27" s="4"/>
      <c r="Y27" s="4"/>
      <c r="Z27" s="4"/>
      <c r="AA27" s="4"/>
      <c r="AB27" s="4"/>
    </row>
    <row r="28" spans="1:28" ht="15.75" customHeight="1" x14ac:dyDescent="0.3">
      <c r="A28" s="7"/>
      <c r="B28" s="7"/>
      <c r="C28" s="9">
        <v>3</v>
      </c>
      <c r="D28" s="9" t="s">
        <v>37</v>
      </c>
      <c r="E28" s="9" t="s">
        <v>83</v>
      </c>
      <c r="F28" s="9" t="s">
        <v>44</v>
      </c>
      <c r="G28" s="9" t="s">
        <v>40</v>
      </c>
      <c r="H28" s="9">
        <v>79</v>
      </c>
      <c r="I28" s="9">
        <v>18.57</v>
      </c>
      <c r="J28" s="9"/>
      <c r="K28" s="9">
        <v>20.3</v>
      </c>
      <c r="L28" s="7"/>
      <c r="M28" s="7"/>
      <c r="N28" s="7"/>
      <c r="O28" s="7"/>
      <c r="P28" s="4"/>
      <c r="Q28" s="4"/>
      <c r="R28" s="4"/>
      <c r="S28" s="4"/>
      <c r="T28" s="4"/>
      <c r="U28" s="4"/>
      <c r="V28" s="4"/>
      <c r="W28" s="4"/>
      <c r="X28" s="4"/>
      <c r="Y28" s="4"/>
      <c r="Z28" s="4"/>
      <c r="AA28" s="4"/>
      <c r="AB28" s="4"/>
    </row>
    <row r="29" spans="1:28" ht="15.75" customHeight="1" x14ac:dyDescent="0.3">
      <c r="A29" s="7"/>
      <c r="B29" s="7"/>
      <c r="C29" s="9">
        <v>4</v>
      </c>
      <c r="D29" s="9" t="s">
        <v>84</v>
      </c>
      <c r="E29" s="9" t="s">
        <v>83</v>
      </c>
      <c r="F29" s="9" t="s">
        <v>44</v>
      </c>
      <c r="G29" s="9" t="s">
        <v>40</v>
      </c>
      <c r="H29" s="9">
        <v>108</v>
      </c>
      <c r="I29" s="9">
        <v>32.79</v>
      </c>
      <c r="J29" s="9"/>
      <c r="K29" s="9">
        <v>36.82</v>
      </c>
      <c r="L29" s="7"/>
      <c r="M29" s="7"/>
      <c r="N29" s="7"/>
      <c r="O29" s="7"/>
      <c r="P29" s="4"/>
      <c r="Q29" s="4"/>
      <c r="R29" s="4"/>
      <c r="S29" s="4"/>
      <c r="T29" s="4"/>
      <c r="U29" s="4"/>
      <c r="V29" s="4"/>
      <c r="W29" s="4"/>
      <c r="X29" s="4"/>
      <c r="Y29" s="4"/>
      <c r="Z29" s="4"/>
      <c r="AA29" s="4"/>
      <c r="AB29" s="4"/>
    </row>
    <row r="30" spans="1:28" ht="14.4" x14ac:dyDescent="0.3">
      <c r="A30" s="7"/>
      <c r="B30" s="9" t="s">
        <v>86</v>
      </c>
      <c r="C30" s="9" t="s">
        <v>52</v>
      </c>
      <c r="D30" s="9" t="s">
        <v>37</v>
      </c>
      <c r="E30" s="9" t="s">
        <v>43</v>
      </c>
      <c r="F30" s="9" t="s">
        <v>44</v>
      </c>
      <c r="G30" s="9" t="s">
        <v>40</v>
      </c>
      <c r="H30" s="9">
        <v>90</v>
      </c>
      <c r="I30" s="9">
        <v>4.6399999999999997</v>
      </c>
      <c r="J30" s="9">
        <v>0.25</v>
      </c>
      <c r="K30" s="9">
        <v>5.23</v>
      </c>
      <c r="L30" s="9">
        <v>0.28000000000000003</v>
      </c>
      <c r="M30" s="9">
        <v>0.59</v>
      </c>
      <c r="N30" s="9">
        <v>0.12</v>
      </c>
      <c r="O30" s="7"/>
      <c r="P30" s="4"/>
      <c r="Q30" s="4"/>
      <c r="R30" s="4"/>
      <c r="S30" s="4"/>
      <c r="T30" s="4"/>
      <c r="U30" s="4"/>
      <c r="V30" s="4"/>
      <c r="W30" s="4"/>
      <c r="X30" s="4"/>
      <c r="Y30" s="4"/>
      <c r="Z30" s="4"/>
      <c r="AA30" s="4"/>
      <c r="AB30" s="4"/>
    </row>
    <row r="31" spans="1:28" ht="14.4" x14ac:dyDescent="0.3">
      <c r="A31" s="7"/>
      <c r="B31" s="9"/>
      <c r="C31" s="9" t="s">
        <v>55</v>
      </c>
      <c r="D31" s="9" t="s">
        <v>37</v>
      </c>
      <c r="E31" s="9" t="s">
        <v>43</v>
      </c>
      <c r="F31" s="9" t="s">
        <v>39</v>
      </c>
      <c r="G31" s="9" t="s">
        <v>40</v>
      </c>
      <c r="H31" s="9">
        <v>100</v>
      </c>
      <c r="I31" s="9">
        <v>1.33</v>
      </c>
      <c r="J31" s="9">
        <v>0.12</v>
      </c>
      <c r="K31" s="9">
        <v>1.45</v>
      </c>
      <c r="L31" s="9">
        <v>0.14000000000000001</v>
      </c>
      <c r="M31" s="9">
        <v>0.11</v>
      </c>
      <c r="N31" s="9">
        <v>0.04</v>
      </c>
      <c r="O31" s="7"/>
      <c r="P31" s="4"/>
      <c r="Q31" s="4"/>
      <c r="R31" s="4"/>
      <c r="S31" s="4"/>
      <c r="T31" s="4"/>
      <c r="U31" s="4"/>
      <c r="V31" s="4"/>
      <c r="W31" s="4"/>
      <c r="X31" s="4"/>
      <c r="Y31" s="4"/>
      <c r="Z31" s="4"/>
      <c r="AA31" s="4"/>
      <c r="AB31" s="4"/>
    </row>
    <row r="32" spans="1:28" ht="14.4" x14ac:dyDescent="0.3">
      <c r="A32" s="7"/>
      <c r="B32" s="9"/>
      <c r="C32" s="9" t="s">
        <v>62</v>
      </c>
      <c r="D32" s="9" t="s">
        <v>84</v>
      </c>
      <c r="E32" s="9" t="s">
        <v>43</v>
      </c>
      <c r="F32" s="9" t="s">
        <v>44</v>
      </c>
      <c r="G32" s="9" t="s">
        <v>40</v>
      </c>
      <c r="H32" s="9">
        <v>90</v>
      </c>
      <c r="I32" s="9">
        <v>5.91</v>
      </c>
      <c r="J32" s="9">
        <v>0.31</v>
      </c>
      <c r="K32" s="9">
        <v>6.3</v>
      </c>
      <c r="L32" s="9">
        <v>0.34</v>
      </c>
      <c r="M32" s="9">
        <v>0.39</v>
      </c>
      <c r="N32" s="9">
        <v>0.06</v>
      </c>
      <c r="O32" s="7"/>
      <c r="P32" s="4"/>
      <c r="Q32" s="4"/>
      <c r="R32" s="4"/>
      <c r="S32" s="4"/>
      <c r="T32" s="4"/>
      <c r="U32" s="4"/>
      <c r="V32" s="4"/>
      <c r="W32" s="4"/>
      <c r="X32" s="4"/>
      <c r="Y32" s="4"/>
      <c r="Z32" s="4"/>
      <c r="AA32" s="4"/>
      <c r="AB32" s="4"/>
    </row>
    <row r="33" spans="1:28" ht="14.4" x14ac:dyDescent="0.3">
      <c r="A33" s="7"/>
      <c r="B33" s="9"/>
      <c r="C33" s="9" t="s">
        <v>63</v>
      </c>
      <c r="D33" s="9" t="s">
        <v>84</v>
      </c>
      <c r="E33" s="9" t="s">
        <v>43</v>
      </c>
      <c r="F33" s="9" t="s">
        <v>39</v>
      </c>
      <c r="G33" s="9" t="s">
        <v>40</v>
      </c>
      <c r="H33" s="9">
        <v>100</v>
      </c>
      <c r="I33" s="9">
        <v>2.15</v>
      </c>
      <c r="J33" s="9">
        <v>0.22</v>
      </c>
      <c r="K33" s="9">
        <v>2.2200000000000002</v>
      </c>
      <c r="L33" s="9">
        <v>0.21</v>
      </c>
      <c r="M33" s="9">
        <v>7.0000000000000007E-2</v>
      </c>
      <c r="N33" s="9">
        <v>0.02</v>
      </c>
      <c r="O33" s="7"/>
      <c r="P33" s="4"/>
      <c r="Q33" s="4"/>
      <c r="R33" s="4"/>
      <c r="S33" s="4"/>
      <c r="T33" s="4"/>
      <c r="U33" s="4"/>
      <c r="V33" s="4"/>
      <c r="W33" s="4"/>
      <c r="X33" s="4"/>
      <c r="Y33" s="4"/>
      <c r="Z33" s="4"/>
      <c r="AA33" s="4"/>
      <c r="AB33" s="4"/>
    </row>
    <row r="34" spans="1:28" ht="14.4" x14ac:dyDescent="0.3">
      <c r="A34" s="7"/>
      <c r="B34" s="9" t="s">
        <v>88</v>
      </c>
      <c r="C34" s="9">
        <v>1</v>
      </c>
      <c r="D34" s="9" t="s">
        <v>42</v>
      </c>
      <c r="E34" s="9" t="s">
        <v>43</v>
      </c>
      <c r="F34" s="9" t="s">
        <v>44</v>
      </c>
      <c r="G34" s="9" t="s">
        <v>40</v>
      </c>
      <c r="H34" s="9">
        <v>116</v>
      </c>
      <c r="I34" s="9">
        <v>19.600000000000001</v>
      </c>
      <c r="J34" s="9"/>
      <c r="K34" s="9">
        <v>25.2</v>
      </c>
      <c r="L34" s="7"/>
      <c r="M34" s="7"/>
      <c r="N34" s="7"/>
      <c r="O34" s="7"/>
      <c r="P34" s="4"/>
      <c r="Q34" s="4"/>
      <c r="R34" s="4"/>
      <c r="S34" s="4"/>
      <c r="T34" s="4"/>
      <c r="U34" s="4"/>
      <c r="V34" s="4"/>
      <c r="W34" s="4"/>
      <c r="X34" s="4"/>
      <c r="Y34" s="4"/>
      <c r="Z34" s="4"/>
      <c r="AA34" s="4"/>
      <c r="AB34" s="4"/>
    </row>
    <row r="35" spans="1:28" ht="14.4" x14ac:dyDescent="0.3">
      <c r="A35" s="7"/>
      <c r="B35" s="9" t="s">
        <v>89</v>
      </c>
      <c r="C35" s="9" t="s">
        <v>52</v>
      </c>
      <c r="D35" s="9" t="s">
        <v>37</v>
      </c>
      <c r="E35" s="9" t="s">
        <v>38</v>
      </c>
      <c r="F35" s="9" t="s">
        <v>44</v>
      </c>
      <c r="G35" s="9" t="s">
        <v>40</v>
      </c>
      <c r="H35" s="9">
        <v>66</v>
      </c>
      <c r="I35" s="9">
        <v>3.83</v>
      </c>
      <c r="J35" s="9">
        <v>0.15</v>
      </c>
      <c r="K35" s="9">
        <v>3.43</v>
      </c>
      <c r="L35" s="9">
        <v>0.15</v>
      </c>
      <c r="M35" s="9">
        <v>0.11</v>
      </c>
      <c r="N35" s="7"/>
      <c r="O35" s="9" t="s">
        <v>90</v>
      </c>
      <c r="P35" s="4"/>
      <c r="Q35" s="4"/>
      <c r="R35" s="4"/>
      <c r="S35" s="4"/>
      <c r="T35" s="4"/>
      <c r="U35" s="4"/>
      <c r="V35" s="4"/>
      <c r="W35" s="4"/>
      <c r="X35" s="4"/>
      <c r="Y35" s="4"/>
      <c r="Z35" s="4"/>
      <c r="AA35" s="4"/>
      <c r="AB35" s="4"/>
    </row>
    <row r="36" spans="1:28" ht="14.4" x14ac:dyDescent="0.3">
      <c r="A36" s="7"/>
      <c r="B36" s="7"/>
      <c r="C36" s="9" t="s">
        <v>55</v>
      </c>
      <c r="D36" s="9" t="s">
        <v>42</v>
      </c>
      <c r="E36" s="9" t="s">
        <v>38</v>
      </c>
      <c r="F36" s="9" t="s">
        <v>44</v>
      </c>
      <c r="G36" s="9" t="s">
        <v>40</v>
      </c>
      <c r="H36" s="9">
        <v>121</v>
      </c>
      <c r="I36" s="9">
        <v>4.3899999999999997</v>
      </c>
      <c r="J36" s="9">
        <v>0.13</v>
      </c>
      <c r="K36" s="9">
        <v>4.91</v>
      </c>
      <c r="L36" s="9">
        <v>0.13</v>
      </c>
      <c r="M36" s="9">
        <v>0.05</v>
      </c>
      <c r="N36" s="7"/>
      <c r="O36" s="9" t="s">
        <v>92</v>
      </c>
      <c r="P36" s="4"/>
      <c r="Q36" s="4"/>
      <c r="R36" s="4"/>
      <c r="S36" s="4"/>
      <c r="T36" s="4"/>
      <c r="U36" s="4"/>
      <c r="V36" s="4"/>
      <c r="W36" s="4"/>
      <c r="X36" s="4"/>
      <c r="Y36" s="4"/>
      <c r="Z36" s="4"/>
      <c r="AA36" s="4"/>
      <c r="AB36" s="4"/>
    </row>
    <row r="37" spans="1:28" ht="14.4" x14ac:dyDescent="0.3">
      <c r="A37" s="7"/>
      <c r="B37" s="9" t="s">
        <v>93</v>
      </c>
      <c r="C37" s="9">
        <v>1</v>
      </c>
      <c r="D37" s="9" t="s">
        <v>84</v>
      </c>
      <c r="E37" s="9" t="s">
        <v>43</v>
      </c>
      <c r="F37" s="9" t="s">
        <v>44</v>
      </c>
      <c r="G37" s="9" t="s">
        <v>40</v>
      </c>
      <c r="H37" s="9">
        <v>102</v>
      </c>
      <c r="I37" s="9">
        <v>10.210000000000001</v>
      </c>
      <c r="J37" s="9">
        <v>0.32</v>
      </c>
      <c r="K37" s="9">
        <v>12.11</v>
      </c>
      <c r="L37" s="9">
        <v>0.31</v>
      </c>
      <c r="M37" s="7"/>
      <c r="N37" s="7"/>
      <c r="O37" s="9" t="s">
        <v>94</v>
      </c>
      <c r="P37" s="4"/>
      <c r="Q37" s="4"/>
      <c r="R37" s="4"/>
      <c r="S37" s="4"/>
      <c r="T37" s="4"/>
      <c r="U37" s="4"/>
      <c r="V37" s="4"/>
      <c r="W37" s="4"/>
      <c r="X37" s="4"/>
      <c r="Y37" s="4"/>
      <c r="Z37" s="4"/>
      <c r="AA37" s="4"/>
      <c r="AB37" s="4"/>
    </row>
    <row r="38" spans="1:28" ht="14.4" x14ac:dyDescent="0.3">
      <c r="A38" s="7"/>
      <c r="B38" s="9" t="s">
        <v>95</v>
      </c>
      <c r="C38" s="9">
        <v>2</v>
      </c>
      <c r="D38" s="9" t="s">
        <v>37</v>
      </c>
      <c r="E38" s="9" t="s">
        <v>43</v>
      </c>
      <c r="F38" s="9" t="s">
        <v>39</v>
      </c>
      <c r="G38" s="9" t="s">
        <v>40</v>
      </c>
      <c r="H38" s="9">
        <v>671</v>
      </c>
      <c r="I38" s="9">
        <v>0.44</v>
      </c>
      <c r="J38" s="9"/>
      <c r="K38" s="9">
        <v>1.04</v>
      </c>
      <c r="L38" s="9"/>
      <c r="M38" s="9"/>
      <c r="N38" s="9"/>
      <c r="O38" s="7"/>
      <c r="P38" s="4"/>
      <c r="Q38" s="4"/>
      <c r="R38" s="4"/>
      <c r="S38" s="4"/>
      <c r="T38" s="4"/>
      <c r="U38" s="4"/>
      <c r="V38" s="4"/>
      <c r="W38" s="4"/>
      <c r="X38" s="4"/>
      <c r="Y38" s="4"/>
      <c r="Z38" s="4"/>
      <c r="AA38" s="4"/>
      <c r="AB38" s="4"/>
    </row>
    <row r="39" spans="1:28" ht="14.4" x14ac:dyDescent="0.3">
      <c r="A39" s="7"/>
      <c r="B39" s="9"/>
      <c r="C39" s="9" t="s">
        <v>67</v>
      </c>
      <c r="D39" s="9" t="s">
        <v>37</v>
      </c>
      <c r="E39" s="9" t="s">
        <v>43</v>
      </c>
      <c r="F39" s="9" t="s">
        <v>39</v>
      </c>
      <c r="G39" s="9" t="s">
        <v>40</v>
      </c>
      <c r="H39" s="9">
        <v>212</v>
      </c>
      <c r="I39" s="9">
        <v>6.59</v>
      </c>
      <c r="J39" s="9"/>
      <c r="K39" s="9">
        <v>8.2899999999999991</v>
      </c>
      <c r="L39" s="9"/>
      <c r="M39" s="9"/>
      <c r="N39" s="9"/>
      <c r="O39" s="7"/>
      <c r="P39" s="4"/>
      <c r="Q39" s="4"/>
      <c r="R39" s="4"/>
      <c r="S39" s="4"/>
      <c r="T39" s="4"/>
      <c r="U39" s="4"/>
      <c r="V39" s="4"/>
      <c r="W39" s="4"/>
      <c r="X39" s="4"/>
      <c r="Y39" s="4"/>
      <c r="Z39" s="4"/>
      <c r="AA39" s="4"/>
      <c r="AB39" s="4"/>
    </row>
    <row r="40" spans="1:28" ht="14.4" x14ac:dyDescent="0.3">
      <c r="A40" s="7"/>
      <c r="B40" s="9"/>
      <c r="C40" s="9" t="s">
        <v>69</v>
      </c>
      <c r="D40" s="9" t="s">
        <v>37</v>
      </c>
      <c r="E40" s="9" t="s">
        <v>43</v>
      </c>
      <c r="F40" s="9" t="s">
        <v>39</v>
      </c>
      <c r="G40" s="9" t="s">
        <v>40</v>
      </c>
      <c r="H40" s="9">
        <v>2687</v>
      </c>
      <c r="I40" s="9">
        <v>8.8800000000000008</v>
      </c>
      <c r="J40" s="9"/>
      <c r="K40" s="9">
        <v>9.8800000000000008</v>
      </c>
      <c r="L40" s="9"/>
      <c r="M40" s="9"/>
      <c r="N40" s="9"/>
      <c r="O40" s="7"/>
      <c r="P40" s="4"/>
      <c r="Q40" s="4"/>
      <c r="R40" s="4"/>
      <c r="S40" s="4"/>
      <c r="T40" s="4"/>
      <c r="U40" s="4"/>
      <c r="V40" s="4"/>
      <c r="W40" s="4"/>
      <c r="X40" s="4"/>
      <c r="Y40" s="4"/>
      <c r="Z40" s="4"/>
      <c r="AA40" s="4"/>
      <c r="AB40" s="4"/>
    </row>
    <row r="41" spans="1:28" ht="14.4" x14ac:dyDescent="0.3">
      <c r="A41" s="7"/>
      <c r="B41" s="9"/>
      <c r="C41" s="9">
        <v>4</v>
      </c>
      <c r="D41" s="9" t="s">
        <v>37</v>
      </c>
      <c r="E41" s="9" t="s">
        <v>43</v>
      </c>
      <c r="F41" s="9" t="s">
        <v>39</v>
      </c>
      <c r="G41" s="9" t="s">
        <v>40</v>
      </c>
      <c r="H41" s="9">
        <v>3214</v>
      </c>
      <c r="I41" s="9">
        <v>8.8000000000000007</v>
      </c>
      <c r="J41" s="9"/>
      <c r="K41" s="9">
        <v>8.8800000000000008</v>
      </c>
      <c r="L41" s="9"/>
      <c r="M41" s="9"/>
      <c r="N41" s="9"/>
      <c r="O41" s="7"/>
      <c r="P41" s="4"/>
      <c r="Q41" s="4"/>
      <c r="R41" s="4"/>
      <c r="S41" s="4"/>
      <c r="T41" s="4"/>
      <c r="U41" s="4"/>
      <c r="V41" s="4"/>
      <c r="W41" s="4"/>
      <c r="X41" s="4"/>
      <c r="Y41" s="4"/>
      <c r="Z41" s="4"/>
      <c r="AA41" s="4"/>
      <c r="AB41" s="4"/>
    </row>
    <row r="42" spans="1:28" ht="14.4" x14ac:dyDescent="0.3">
      <c r="A42" s="7"/>
      <c r="B42" s="9"/>
      <c r="C42" s="9">
        <v>5</v>
      </c>
      <c r="D42" s="9" t="s">
        <v>37</v>
      </c>
      <c r="E42" s="9" t="s">
        <v>43</v>
      </c>
      <c r="F42" s="9" t="s">
        <v>39</v>
      </c>
      <c r="G42" s="9" t="s">
        <v>40</v>
      </c>
      <c r="H42" s="9">
        <v>1602</v>
      </c>
      <c r="I42" s="9">
        <v>11.35</v>
      </c>
      <c r="J42" s="9"/>
      <c r="K42" s="9">
        <v>11.16</v>
      </c>
      <c r="L42" s="9"/>
      <c r="M42" s="9"/>
      <c r="N42" s="9"/>
      <c r="O42" s="7"/>
      <c r="P42" s="4"/>
      <c r="Q42" s="4"/>
      <c r="R42" s="4"/>
      <c r="S42" s="4"/>
      <c r="T42" s="4"/>
      <c r="U42" s="4"/>
      <c r="V42" s="4"/>
      <c r="W42" s="4"/>
      <c r="X42" s="4"/>
      <c r="Y42" s="4"/>
      <c r="Z42" s="4"/>
      <c r="AA42" s="4"/>
      <c r="AB42" s="4"/>
    </row>
    <row r="43" spans="1:28" ht="14.4" x14ac:dyDescent="0.3">
      <c r="A43" s="7"/>
      <c r="B43" s="9"/>
      <c r="C43" s="9" t="s">
        <v>96</v>
      </c>
      <c r="D43" s="9" t="s">
        <v>37</v>
      </c>
      <c r="E43" s="9" t="s">
        <v>43</v>
      </c>
      <c r="F43" s="9" t="s">
        <v>39</v>
      </c>
      <c r="G43" s="9" t="s">
        <v>40</v>
      </c>
      <c r="H43" s="9">
        <v>191</v>
      </c>
      <c r="I43" s="9">
        <v>0.91</v>
      </c>
      <c r="J43" s="9"/>
      <c r="K43" s="9">
        <v>0.84</v>
      </c>
      <c r="L43" s="9"/>
      <c r="M43" s="9"/>
      <c r="N43" s="9"/>
      <c r="O43" s="7"/>
      <c r="P43" s="4"/>
      <c r="Q43" s="4"/>
      <c r="R43" s="4"/>
      <c r="S43" s="4"/>
      <c r="T43" s="4"/>
      <c r="U43" s="4"/>
      <c r="V43" s="4"/>
      <c r="W43" s="4"/>
      <c r="X43" s="4"/>
      <c r="Y43" s="4"/>
      <c r="Z43" s="4"/>
      <c r="AA43" s="4"/>
      <c r="AB43" s="4"/>
    </row>
    <row r="44" spans="1:28" ht="14.4" x14ac:dyDescent="0.3">
      <c r="A44" s="7"/>
      <c r="B44" s="9"/>
      <c r="C44" s="9" t="s">
        <v>97</v>
      </c>
      <c r="D44" s="9" t="s">
        <v>37</v>
      </c>
      <c r="E44" s="9" t="s">
        <v>43</v>
      </c>
      <c r="F44" s="9" t="s">
        <v>39</v>
      </c>
      <c r="G44" s="9" t="s">
        <v>40</v>
      </c>
      <c r="H44" s="9">
        <v>209</v>
      </c>
      <c r="I44" s="9">
        <v>2.4700000000000002</v>
      </c>
      <c r="J44" s="9"/>
      <c r="K44" s="9">
        <v>3.47</v>
      </c>
      <c r="L44" s="9"/>
      <c r="M44" s="9"/>
      <c r="N44" s="9"/>
      <c r="O44" s="7"/>
      <c r="P44" s="4"/>
      <c r="Q44" s="4"/>
      <c r="R44" s="4"/>
      <c r="S44" s="4"/>
      <c r="T44" s="4"/>
      <c r="U44" s="4"/>
      <c r="V44" s="4"/>
      <c r="W44" s="4"/>
      <c r="X44" s="4"/>
      <c r="Y44" s="4"/>
      <c r="Z44" s="4"/>
      <c r="AA44" s="4"/>
      <c r="AB44" s="4"/>
    </row>
    <row r="45" spans="1:28" ht="14.4" x14ac:dyDescent="0.3">
      <c r="A45" s="7"/>
      <c r="B45" s="9"/>
      <c r="C45" s="9">
        <v>8</v>
      </c>
      <c r="D45" s="9" t="s">
        <v>37</v>
      </c>
      <c r="E45" s="9" t="s">
        <v>43</v>
      </c>
      <c r="F45" s="9" t="s">
        <v>39</v>
      </c>
      <c r="G45" s="9" t="s">
        <v>40</v>
      </c>
      <c r="H45" s="9">
        <v>464</v>
      </c>
      <c r="I45" s="9">
        <v>0.93</v>
      </c>
      <c r="J45" s="9"/>
      <c r="K45" s="9">
        <v>0.91</v>
      </c>
      <c r="L45" s="9"/>
      <c r="M45" s="9"/>
      <c r="N45" s="9"/>
      <c r="O45" s="7"/>
      <c r="P45" s="4"/>
      <c r="Q45" s="4"/>
      <c r="R45" s="4"/>
      <c r="S45" s="4"/>
      <c r="T45" s="4"/>
      <c r="U45" s="4"/>
      <c r="V45" s="4"/>
      <c r="W45" s="4"/>
      <c r="X45" s="4"/>
      <c r="Y45" s="4"/>
      <c r="Z45" s="4"/>
      <c r="AA45" s="4"/>
      <c r="AB45" s="4"/>
    </row>
    <row r="46" spans="1:28" ht="14.4" x14ac:dyDescent="0.3">
      <c r="A46" s="7"/>
      <c r="B46" s="9"/>
      <c r="C46" s="9">
        <v>9</v>
      </c>
      <c r="D46" s="9" t="s">
        <v>37</v>
      </c>
      <c r="E46" s="9" t="s">
        <v>43</v>
      </c>
      <c r="F46" s="9" t="s">
        <v>39</v>
      </c>
      <c r="G46" s="9" t="s">
        <v>40</v>
      </c>
      <c r="H46" s="9">
        <v>1175</v>
      </c>
      <c r="I46" s="9">
        <v>11.1</v>
      </c>
      <c r="J46" s="9"/>
      <c r="K46" s="9">
        <v>11.17</v>
      </c>
      <c r="L46" s="9"/>
      <c r="M46" s="9"/>
      <c r="N46" s="9"/>
      <c r="O46" s="7"/>
      <c r="P46" s="4"/>
      <c r="Q46" s="4"/>
      <c r="R46" s="4"/>
      <c r="S46" s="4"/>
      <c r="T46" s="4"/>
      <c r="U46" s="4"/>
      <c r="V46" s="4"/>
      <c r="W46" s="4"/>
      <c r="X46" s="4"/>
      <c r="Y46" s="4"/>
      <c r="Z46" s="4"/>
      <c r="AA46" s="4"/>
      <c r="AB46" s="4"/>
    </row>
    <row r="47" spans="1:28" ht="14.4" x14ac:dyDescent="0.3">
      <c r="A47" s="7"/>
      <c r="B47" s="9"/>
      <c r="C47" s="9">
        <v>10</v>
      </c>
      <c r="D47" s="9" t="s">
        <v>37</v>
      </c>
      <c r="E47" s="9" t="s">
        <v>43</v>
      </c>
      <c r="F47" s="9" t="s">
        <v>39</v>
      </c>
      <c r="G47" s="9" t="s">
        <v>40</v>
      </c>
      <c r="H47" s="9">
        <v>2190</v>
      </c>
      <c r="I47" s="9">
        <v>10.78</v>
      </c>
      <c r="J47" s="9"/>
      <c r="K47" s="9">
        <v>11.17</v>
      </c>
      <c r="L47" s="9"/>
      <c r="M47" s="9"/>
      <c r="N47" s="9"/>
      <c r="O47" s="7"/>
      <c r="P47" s="4"/>
      <c r="Q47" s="4"/>
      <c r="R47" s="4"/>
      <c r="S47" s="4"/>
      <c r="T47" s="4"/>
      <c r="U47" s="4"/>
      <c r="V47" s="4"/>
      <c r="W47" s="4"/>
      <c r="X47" s="4"/>
      <c r="Y47" s="4"/>
      <c r="Z47" s="4"/>
      <c r="AA47" s="4"/>
      <c r="AB47" s="4"/>
    </row>
    <row r="48" spans="1:28" ht="14.4" x14ac:dyDescent="0.3">
      <c r="A48" s="7"/>
      <c r="B48" s="9"/>
      <c r="C48" s="9">
        <v>11</v>
      </c>
      <c r="D48" s="9" t="s">
        <v>37</v>
      </c>
      <c r="E48" s="9" t="s">
        <v>43</v>
      </c>
      <c r="F48" s="9" t="s">
        <v>39</v>
      </c>
      <c r="G48" s="9" t="s">
        <v>40</v>
      </c>
      <c r="H48" s="9">
        <v>209</v>
      </c>
      <c r="I48" s="9">
        <v>1.06</v>
      </c>
      <c r="J48" s="9"/>
      <c r="K48" s="9">
        <v>0.77</v>
      </c>
      <c r="L48" s="9"/>
      <c r="M48" s="9"/>
      <c r="N48" s="9"/>
      <c r="O48" s="7"/>
      <c r="P48" s="4"/>
      <c r="Q48" s="4"/>
      <c r="R48" s="4"/>
      <c r="S48" s="4"/>
      <c r="T48" s="4"/>
      <c r="U48" s="4"/>
      <c r="V48" s="4"/>
      <c r="W48" s="4"/>
      <c r="X48" s="4"/>
      <c r="Y48" s="4"/>
      <c r="Z48" s="4"/>
      <c r="AA48" s="4"/>
      <c r="AB48" s="4"/>
    </row>
    <row r="49" spans="1:28" ht="14.4" x14ac:dyDescent="0.3">
      <c r="A49" s="7"/>
      <c r="B49" s="9"/>
      <c r="C49" s="9" t="s">
        <v>99</v>
      </c>
      <c r="D49" s="9" t="s">
        <v>37</v>
      </c>
      <c r="E49" s="9" t="s">
        <v>43</v>
      </c>
      <c r="F49" s="9" t="s">
        <v>39</v>
      </c>
      <c r="G49" s="9" t="s">
        <v>40</v>
      </c>
      <c r="H49" s="9">
        <v>714</v>
      </c>
      <c r="I49" s="9">
        <v>11.67</v>
      </c>
      <c r="J49" s="9"/>
      <c r="K49" s="9">
        <v>11.6</v>
      </c>
      <c r="L49" s="9"/>
      <c r="M49" s="9"/>
      <c r="N49" s="9"/>
      <c r="O49" s="7"/>
      <c r="P49" s="4"/>
      <c r="Q49" s="4"/>
      <c r="R49" s="4"/>
      <c r="S49" s="4"/>
      <c r="T49" s="4"/>
      <c r="U49" s="4"/>
      <c r="V49" s="4"/>
      <c r="W49" s="4"/>
      <c r="X49" s="4"/>
      <c r="Y49" s="4"/>
      <c r="Z49" s="4"/>
      <c r="AA49" s="4"/>
      <c r="AB49" s="4"/>
    </row>
    <row r="50" spans="1:28" ht="14.4" x14ac:dyDescent="0.3">
      <c r="A50" s="7"/>
      <c r="B50" s="9"/>
      <c r="C50" s="9" t="s">
        <v>100</v>
      </c>
      <c r="D50" s="9" t="s">
        <v>37</v>
      </c>
      <c r="E50" s="9" t="s">
        <v>43</v>
      </c>
      <c r="F50" s="9" t="s">
        <v>39</v>
      </c>
      <c r="G50" s="9" t="s">
        <v>40</v>
      </c>
      <c r="H50" s="9">
        <v>4110</v>
      </c>
      <c r="I50" s="9">
        <v>10.56</v>
      </c>
      <c r="J50" s="9"/>
      <c r="K50" s="9">
        <v>10.55</v>
      </c>
      <c r="L50" s="9"/>
      <c r="M50" s="9"/>
      <c r="N50" s="9"/>
      <c r="O50" s="7"/>
      <c r="P50" s="4"/>
      <c r="Q50" s="4"/>
      <c r="R50" s="4"/>
      <c r="S50" s="4"/>
      <c r="T50" s="4"/>
      <c r="U50" s="4"/>
      <c r="V50" s="4"/>
      <c r="W50" s="4"/>
      <c r="X50" s="4"/>
      <c r="Y50" s="4"/>
      <c r="Z50" s="4"/>
      <c r="AA50" s="4"/>
      <c r="AB50" s="4"/>
    </row>
    <row r="51" spans="1:28" ht="14.4" x14ac:dyDescent="0.3">
      <c r="A51" s="7"/>
      <c r="B51" s="9"/>
      <c r="C51" s="9">
        <v>13</v>
      </c>
      <c r="D51" s="9" t="s">
        <v>37</v>
      </c>
      <c r="E51" s="9" t="s">
        <v>43</v>
      </c>
      <c r="F51" s="9" t="s">
        <v>39</v>
      </c>
      <c r="G51" s="9" t="s">
        <v>40</v>
      </c>
      <c r="H51" s="9">
        <v>304</v>
      </c>
      <c r="I51" s="9">
        <v>2.72</v>
      </c>
      <c r="J51" s="9"/>
      <c r="K51" s="9">
        <v>2.9</v>
      </c>
      <c r="L51" s="9"/>
      <c r="M51" s="9"/>
      <c r="N51" s="9"/>
      <c r="O51" s="7"/>
      <c r="P51" s="4"/>
      <c r="Q51" s="4"/>
      <c r="R51" s="4"/>
      <c r="S51" s="4"/>
      <c r="T51" s="4"/>
      <c r="U51" s="4"/>
      <c r="V51" s="4"/>
      <c r="W51" s="4"/>
      <c r="X51" s="4"/>
      <c r="Y51" s="4"/>
      <c r="Z51" s="4"/>
      <c r="AA51" s="4"/>
      <c r="AB51" s="4"/>
    </row>
    <row r="52" spans="1:28" ht="14.4" x14ac:dyDescent="0.3">
      <c r="A52" s="7"/>
      <c r="B52" s="9"/>
      <c r="C52" s="9" t="s">
        <v>101</v>
      </c>
      <c r="D52" s="9" t="s">
        <v>37</v>
      </c>
      <c r="E52" s="9" t="s">
        <v>43</v>
      </c>
      <c r="F52" s="9" t="s">
        <v>39</v>
      </c>
      <c r="G52" s="9" t="s">
        <v>53</v>
      </c>
      <c r="H52" s="9">
        <v>386</v>
      </c>
      <c r="I52" s="9">
        <v>13.01</v>
      </c>
      <c r="J52" s="9"/>
      <c r="K52" s="9">
        <v>15.78</v>
      </c>
      <c r="L52" s="9"/>
      <c r="M52" s="9"/>
      <c r="N52" s="9"/>
      <c r="O52" s="7"/>
      <c r="P52" s="4"/>
      <c r="Q52" s="4"/>
      <c r="R52" s="4"/>
      <c r="S52" s="4"/>
      <c r="T52" s="4"/>
      <c r="U52" s="4"/>
      <c r="V52" s="4"/>
      <c r="W52" s="4"/>
      <c r="X52" s="4"/>
      <c r="Y52" s="4"/>
      <c r="Z52" s="4"/>
      <c r="AA52" s="4"/>
      <c r="AB52" s="4"/>
    </row>
    <row r="53" spans="1:28" ht="14.4" x14ac:dyDescent="0.3">
      <c r="A53" s="7"/>
      <c r="B53" s="9"/>
      <c r="C53" s="9" t="s">
        <v>102</v>
      </c>
      <c r="D53" s="9" t="s">
        <v>37</v>
      </c>
      <c r="E53" s="9" t="s">
        <v>43</v>
      </c>
      <c r="F53" s="9" t="s">
        <v>39</v>
      </c>
      <c r="G53" s="9" t="s">
        <v>53</v>
      </c>
      <c r="H53" s="9">
        <v>581</v>
      </c>
      <c r="I53" s="9">
        <v>5.0999999999999996</v>
      </c>
      <c r="J53" s="9"/>
      <c r="K53" s="9">
        <v>5.99</v>
      </c>
      <c r="L53" s="9"/>
      <c r="M53" s="9"/>
      <c r="N53" s="9"/>
      <c r="O53" s="7"/>
      <c r="P53" s="4"/>
      <c r="Q53" s="4"/>
      <c r="R53" s="4"/>
      <c r="S53" s="4"/>
      <c r="T53" s="4"/>
      <c r="U53" s="4"/>
      <c r="V53" s="4"/>
      <c r="W53" s="4"/>
      <c r="X53" s="4"/>
      <c r="Y53" s="4"/>
      <c r="Z53" s="4"/>
      <c r="AA53" s="4"/>
      <c r="AB53" s="4"/>
    </row>
    <row r="54" spans="1:28" ht="14.4" x14ac:dyDescent="0.3">
      <c r="A54" s="7"/>
      <c r="B54" s="9"/>
      <c r="C54" s="9" t="s">
        <v>103</v>
      </c>
      <c r="D54" s="9" t="s">
        <v>37</v>
      </c>
      <c r="E54" s="9" t="s">
        <v>43</v>
      </c>
      <c r="F54" s="9" t="s">
        <v>39</v>
      </c>
      <c r="G54" s="9" t="s">
        <v>53</v>
      </c>
      <c r="H54" s="9">
        <v>169</v>
      </c>
      <c r="I54" s="9">
        <v>0.82</v>
      </c>
      <c r="J54" s="9"/>
      <c r="K54" s="9">
        <v>1.47</v>
      </c>
      <c r="L54" s="9"/>
      <c r="M54" s="9"/>
      <c r="N54" s="9"/>
      <c r="O54" s="7"/>
      <c r="P54" s="4"/>
      <c r="Q54" s="4"/>
      <c r="R54" s="4"/>
      <c r="S54" s="4"/>
      <c r="T54" s="4"/>
      <c r="U54" s="4"/>
      <c r="V54" s="4"/>
      <c r="W54" s="4"/>
      <c r="X54" s="4"/>
      <c r="Y54" s="4"/>
      <c r="Z54" s="4"/>
      <c r="AA54" s="4"/>
      <c r="AB54" s="4"/>
    </row>
    <row r="55" spans="1:28" ht="14.4" x14ac:dyDescent="0.3">
      <c r="A55" s="7"/>
      <c r="B55" s="9"/>
      <c r="C55" s="9" t="s">
        <v>104</v>
      </c>
      <c r="D55" s="9" t="s">
        <v>37</v>
      </c>
      <c r="E55" s="9" t="s">
        <v>43</v>
      </c>
      <c r="F55" s="9" t="s">
        <v>39</v>
      </c>
      <c r="G55" s="9" t="s">
        <v>53</v>
      </c>
      <c r="H55" s="9">
        <v>1335</v>
      </c>
      <c r="I55" s="9">
        <v>0.71</v>
      </c>
      <c r="J55" s="9"/>
      <c r="K55" s="9">
        <v>1.28</v>
      </c>
      <c r="L55" s="9"/>
      <c r="M55" s="9"/>
      <c r="N55" s="9"/>
      <c r="O55" s="7"/>
      <c r="P55" s="4"/>
      <c r="Q55" s="4"/>
      <c r="R55" s="4"/>
      <c r="S55" s="4"/>
      <c r="T55" s="4"/>
      <c r="U55" s="4"/>
      <c r="V55" s="4"/>
      <c r="W55" s="4"/>
      <c r="X55" s="4"/>
      <c r="Y55" s="4"/>
      <c r="Z55" s="4"/>
      <c r="AA55" s="4"/>
      <c r="AB55" s="4"/>
    </row>
    <row r="56" spans="1:28" ht="14.4" x14ac:dyDescent="0.3">
      <c r="A56" s="7"/>
      <c r="B56" s="9" t="s">
        <v>105</v>
      </c>
      <c r="C56" s="9">
        <v>1</v>
      </c>
      <c r="D56" s="9" t="s">
        <v>37</v>
      </c>
      <c r="E56" s="9" t="s">
        <v>38</v>
      </c>
      <c r="F56" s="9" t="s">
        <v>39</v>
      </c>
      <c r="G56" s="9" t="s">
        <v>40</v>
      </c>
      <c r="H56" s="9">
        <v>116</v>
      </c>
      <c r="I56" s="9">
        <v>24.68</v>
      </c>
      <c r="J56" s="9"/>
      <c r="K56" s="9">
        <v>33.42</v>
      </c>
      <c r="L56" s="9"/>
      <c r="M56" s="9">
        <v>0.19</v>
      </c>
      <c r="N56" s="9">
        <v>0.28999999999999998</v>
      </c>
      <c r="O56" s="7"/>
      <c r="P56" s="4"/>
      <c r="Q56" s="4"/>
      <c r="R56" s="4"/>
      <c r="S56" s="4"/>
      <c r="T56" s="4"/>
      <c r="U56" s="4"/>
      <c r="V56" s="4"/>
      <c r="W56" s="4"/>
      <c r="X56" s="4"/>
      <c r="Y56" s="4"/>
      <c r="Z56" s="4"/>
      <c r="AA56" s="4"/>
      <c r="AB56" s="4"/>
    </row>
    <row r="57" spans="1:28" ht="14.4" x14ac:dyDescent="0.3">
      <c r="A57" s="7"/>
      <c r="B57" s="7"/>
      <c r="C57" s="9">
        <v>2</v>
      </c>
      <c r="D57" s="9" t="s">
        <v>37</v>
      </c>
      <c r="E57" s="9" t="s">
        <v>38</v>
      </c>
      <c r="F57" s="9" t="s">
        <v>39</v>
      </c>
      <c r="G57" s="9" t="s">
        <v>40</v>
      </c>
      <c r="H57" s="9">
        <v>82</v>
      </c>
      <c r="I57" s="9">
        <v>32.619999999999997</v>
      </c>
      <c r="J57" s="9"/>
      <c r="K57" s="9">
        <v>44.37</v>
      </c>
      <c r="L57" s="9"/>
      <c r="M57" s="9">
        <v>0.23</v>
      </c>
      <c r="N57" s="9">
        <v>0.31</v>
      </c>
      <c r="O57" s="7"/>
      <c r="P57" s="4"/>
      <c r="Q57" s="4"/>
      <c r="R57" s="4"/>
      <c r="S57" s="4"/>
      <c r="T57" s="4"/>
      <c r="U57" s="4"/>
      <c r="V57" s="4"/>
      <c r="W57" s="4"/>
      <c r="X57" s="4"/>
      <c r="Y57" s="4"/>
      <c r="Z57" s="4"/>
      <c r="AA57" s="4"/>
      <c r="AB57" s="4"/>
    </row>
    <row r="58" spans="1:28" ht="14.4" x14ac:dyDescent="0.3">
      <c r="A58" s="7"/>
      <c r="B58" s="7"/>
      <c r="C58" s="9">
        <v>3</v>
      </c>
      <c r="D58" s="9" t="s">
        <v>37</v>
      </c>
      <c r="E58" s="9" t="s">
        <v>38</v>
      </c>
      <c r="F58" s="9" t="s">
        <v>39</v>
      </c>
      <c r="G58" s="9" t="s">
        <v>40</v>
      </c>
      <c r="H58" s="9">
        <v>102</v>
      </c>
      <c r="I58" s="9">
        <v>21.04</v>
      </c>
      <c r="J58" s="9"/>
      <c r="K58" s="9">
        <v>26.01</v>
      </c>
      <c r="L58" s="9"/>
      <c r="M58" s="9">
        <v>0.16</v>
      </c>
      <c r="N58" s="9">
        <v>0.25</v>
      </c>
      <c r="O58" s="9"/>
      <c r="P58" s="4"/>
      <c r="Q58" s="4"/>
      <c r="R58" s="4"/>
      <c r="S58" s="4"/>
      <c r="T58" s="4"/>
      <c r="U58" s="4"/>
      <c r="V58" s="4"/>
      <c r="W58" s="4"/>
      <c r="X58" s="4"/>
      <c r="Y58" s="4"/>
      <c r="Z58" s="4"/>
      <c r="AA58" s="4"/>
      <c r="AB58" s="4"/>
    </row>
    <row r="59" spans="1:28" ht="14.4" x14ac:dyDescent="0.3">
      <c r="A59" s="7"/>
      <c r="B59" s="9" t="s">
        <v>106</v>
      </c>
      <c r="C59" s="9" t="s">
        <v>107</v>
      </c>
      <c r="D59" s="9" t="s">
        <v>37</v>
      </c>
      <c r="E59" s="9" t="s">
        <v>38</v>
      </c>
      <c r="F59" s="9" t="s">
        <v>39</v>
      </c>
      <c r="G59" s="9" t="s">
        <v>40</v>
      </c>
      <c r="H59" s="9">
        <v>141</v>
      </c>
      <c r="I59" s="9">
        <v>26.47</v>
      </c>
      <c r="J59" s="9"/>
      <c r="K59" s="9">
        <v>30.14</v>
      </c>
      <c r="L59" s="9"/>
      <c r="M59" s="9">
        <v>0.2</v>
      </c>
      <c r="N59" s="9">
        <v>0.19</v>
      </c>
      <c r="O59" s="7"/>
      <c r="P59" s="4"/>
      <c r="Q59" s="4"/>
      <c r="R59" s="4"/>
      <c r="S59" s="4"/>
      <c r="T59" s="4"/>
      <c r="U59" s="4"/>
      <c r="V59" s="4"/>
      <c r="W59" s="4"/>
      <c r="X59" s="4"/>
      <c r="Y59" s="4"/>
      <c r="Z59" s="4"/>
      <c r="AA59" s="4"/>
      <c r="AB59" s="4"/>
    </row>
    <row r="60" spans="1:28" ht="14.4" x14ac:dyDescent="0.3">
      <c r="A60" s="7"/>
      <c r="B60" s="7"/>
      <c r="C60" s="9">
        <v>1</v>
      </c>
      <c r="D60" s="9" t="s">
        <v>37</v>
      </c>
      <c r="E60" s="9" t="s">
        <v>38</v>
      </c>
      <c r="F60" s="9" t="s">
        <v>39</v>
      </c>
      <c r="G60" s="9" t="s">
        <v>40</v>
      </c>
      <c r="H60" s="9">
        <v>150</v>
      </c>
      <c r="I60" s="9">
        <v>28.91</v>
      </c>
      <c r="J60" s="9"/>
      <c r="K60" s="9">
        <v>41.84</v>
      </c>
      <c r="L60" s="9"/>
      <c r="M60" s="9">
        <v>0.25</v>
      </c>
      <c r="N60" s="9">
        <v>0.31</v>
      </c>
      <c r="O60" s="7"/>
      <c r="P60" s="4"/>
      <c r="Q60" s="4"/>
      <c r="R60" s="4"/>
      <c r="S60" s="4"/>
      <c r="T60" s="4"/>
      <c r="U60" s="4"/>
      <c r="V60" s="4"/>
      <c r="W60" s="4"/>
      <c r="X60" s="4"/>
      <c r="Y60" s="4"/>
      <c r="Z60" s="4"/>
      <c r="AA60" s="4"/>
      <c r="AB60" s="4"/>
    </row>
    <row r="61" spans="1:28" ht="14.4" x14ac:dyDescent="0.3">
      <c r="A61" s="7"/>
      <c r="B61" s="7"/>
      <c r="C61" s="9">
        <v>2</v>
      </c>
      <c r="D61" s="9" t="s">
        <v>37</v>
      </c>
      <c r="E61" s="9" t="s">
        <v>38</v>
      </c>
      <c r="F61" s="9" t="s">
        <v>39</v>
      </c>
      <c r="G61" s="9" t="s">
        <v>40</v>
      </c>
      <c r="H61" s="9">
        <v>158</v>
      </c>
      <c r="I61" s="9">
        <v>32.43</v>
      </c>
      <c r="J61" s="9"/>
      <c r="K61" s="9">
        <v>45.13</v>
      </c>
      <c r="L61" s="9"/>
      <c r="M61" s="9">
        <v>0.25</v>
      </c>
      <c r="N61" s="9">
        <v>0.24</v>
      </c>
      <c r="O61" s="9"/>
      <c r="P61" s="4"/>
      <c r="Q61" s="4"/>
      <c r="R61" s="4"/>
      <c r="S61" s="4"/>
      <c r="T61" s="4"/>
      <c r="U61" s="4"/>
      <c r="V61" s="4"/>
      <c r="W61" s="4"/>
      <c r="X61" s="4"/>
      <c r="Y61" s="4"/>
      <c r="Z61" s="4"/>
      <c r="AA61" s="4"/>
      <c r="AB61" s="4"/>
    </row>
    <row r="62" spans="1:28" ht="14.4" x14ac:dyDescent="0.3">
      <c r="A62" s="7"/>
      <c r="B62" s="7"/>
      <c r="C62" s="9">
        <v>3</v>
      </c>
      <c r="D62" s="9" t="s">
        <v>37</v>
      </c>
      <c r="E62" s="9" t="s">
        <v>38</v>
      </c>
      <c r="F62" s="9" t="s">
        <v>39</v>
      </c>
      <c r="G62" s="9" t="s">
        <v>40</v>
      </c>
      <c r="H62" s="9">
        <v>72</v>
      </c>
      <c r="I62" s="9">
        <v>27.02</v>
      </c>
      <c r="J62" s="9"/>
      <c r="K62" s="9">
        <v>48.07</v>
      </c>
      <c r="L62" s="9"/>
      <c r="M62" s="9">
        <v>0.41</v>
      </c>
      <c r="N62" s="9">
        <v>0.42</v>
      </c>
      <c r="O62" s="9"/>
      <c r="P62" s="4"/>
      <c r="Q62" s="4"/>
      <c r="R62" s="4"/>
      <c r="S62" s="4"/>
      <c r="T62" s="4"/>
      <c r="U62" s="4"/>
      <c r="V62" s="4"/>
      <c r="W62" s="4"/>
      <c r="X62" s="4"/>
      <c r="Y62" s="4"/>
      <c r="Z62" s="4"/>
      <c r="AA62" s="4"/>
      <c r="AB62" s="4"/>
    </row>
    <row r="63" spans="1:28" ht="14.4" x14ac:dyDescent="0.3">
      <c r="A63" s="4"/>
      <c r="B63" s="10" t="s">
        <v>108</v>
      </c>
      <c r="C63" s="10">
        <v>1</v>
      </c>
      <c r="D63" s="10" t="s">
        <v>37</v>
      </c>
      <c r="E63" s="10" t="s">
        <v>83</v>
      </c>
      <c r="F63" s="10" t="s">
        <v>44</v>
      </c>
      <c r="G63" s="10" t="s">
        <v>40</v>
      </c>
      <c r="H63" s="10">
        <v>316</v>
      </c>
      <c r="I63" s="10">
        <v>5.79</v>
      </c>
      <c r="J63" s="10"/>
      <c r="K63" s="10">
        <v>6.07</v>
      </c>
      <c r="L63" s="10"/>
      <c r="M63" s="10">
        <v>0.02</v>
      </c>
      <c r="N63" s="10">
        <v>0.02</v>
      </c>
      <c r="O63" s="4"/>
      <c r="P63" s="4"/>
      <c r="Q63" s="4"/>
      <c r="R63" s="4"/>
      <c r="S63" s="4"/>
      <c r="T63" s="4"/>
      <c r="U63" s="4"/>
      <c r="V63" s="4"/>
      <c r="W63" s="4"/>
      <c r="X63" s="4"/>
      <c r="Y63" s="4"/>
      <c r="Z63" s="4"/>
      <c r="AA63" s="4"/>
      <c r="AB63" s="4"/>
    </row>
    <row r="64" spans="1:28" ht="14.4"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ht="14.4"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14.4"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ht="14.4"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ht="14.4"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ht="14.4"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ht="14.4"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ht="14.4" x14ac:dyDescent="0.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ht="14.4" x14ac:dyDescent="0.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ht="14.4"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ht="14.4" x14ac:dyDescent="0.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14.4" x14ac:dyDescent="0.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ht="14.4" x14ac:dyDescent="0.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ht="14.4" x14ac:dyDescent="0.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ht="14.4" x14ac:dyDescent="0.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ht="14.4" x14ac:dyDescent="0.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ht="14.4" x14ac:dyDescent="0.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ht="14.4"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ht="14.4" x14ac:dyDescent="0.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ht="14.4" x14ac:dyDescent="0.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ht="14.4" x14ac:dyDescent="0.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ht="14.4" x14ac:dyDescent="0.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ht="14.4" x14ac:dyDescent="0.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ht="14.4" x14ac:dyDescent="0.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ht="14.4" x14ac:dyDescent="0.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ht="14.4" x14ac:dyDescent="0.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ht="14.4" x14ac:dyDescent="0.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ht="14.4" x14ac:dyDescent="0.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ht="14.4" x14ac:dyDescent="0.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ht="14.4"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14.4" x14ac:dyDescent="0.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14.4" x14ac:dyDescent="0.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ht="14.4" x14ac:dyDescent="0.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14.4" x14ac:dyDescent="0.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14.4" x14ac:dyDescent="0.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ht="14.4" x14ac:dyDescent="0.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ht="14.4"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4.4"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4.4"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4.4"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4.4"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4.4"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4.4"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4.4"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4.4"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4.4"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4.4"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4.4"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4.4"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4.4"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4.4"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4.4"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4.4"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4.4"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4.4"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4.4"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4.4"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4.4"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4.4"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4.4"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4.4"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4.4"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4.4"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4.4"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4.4"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4.4"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4.4"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4.4"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4.4"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4.4"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4.4"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4.4"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4.4"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4.4"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4.4"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4.4"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4.4"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4.4"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4.4"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4.4"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4.4"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4.4"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4.4"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4.4"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4.4"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4.4"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4.4"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4.4"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4.4"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4.4"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4.4"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4.4"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4.4"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4.4"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4.4"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4.4"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4.4"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4.4"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4.4"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4.4"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4.4"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4.4"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4.4"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4.4"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4.4"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4.4"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4.4"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4.4"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4.4"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4.4"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4.4"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4.4"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4.4"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4.4"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4.4"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4.4"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4.4"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4.4"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4.4"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4.4"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4.4"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4.4"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4.4"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4.4"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4.4"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4.4"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4.4"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4.4"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4.4"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4.4"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4.4"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4.4"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4.4"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4.4"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4.4"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4.4"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4.4"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4.4"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4.4"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4.4"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4.4"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4.4"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4.4"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4.4"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4.4"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4.4"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4.4"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4.4"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4.4"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4.4"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4.4"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4.4"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4.4"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4.4"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4.4"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4.4"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4.4"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4.4"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4.4"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4.4"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4.4"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4.4"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4.4"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4.4"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4.4"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4.4"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4.4"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4.4"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4.4"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4.4"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4.4"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4.4"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4.4"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4.4"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4.4"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4.4"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4.4"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4.4"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4.4"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4.4"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4.4"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4.4"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4.4"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4.4"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4.4"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4.4"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4.4"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4.4"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4.4"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4.4"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4.4"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4.4"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4.4"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4.4"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4.4"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4.4"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4.4"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4.4"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4.4"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4.4"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4.4"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4.4"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4.4"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4.4"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4.4"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4.4"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4.4"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4.4"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4.4"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4.4"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4.4"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4.4"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4.4"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4.4"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4.4"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4.4"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4.4"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4.4"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4.4"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4.4"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4.4"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4.4"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4.4"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4.4"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4.4"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4.4"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4.4"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4.4"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4.4"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4.4"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4.4"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4.4"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4.4"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4.4"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4.4"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4.4"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4.4"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4.4"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4.4"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4.4"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4.4"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4.4"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4.4"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4.4"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4.4"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4.4"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4.4"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4.4"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4.4"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4.4"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4.4"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4.4"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4.4"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4.4"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4.4"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4.4"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4.4"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4.4"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4.4"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4.4"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4.4"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4.4"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4.4"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4.4"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4.4"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4.4"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4.4"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4.4"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4.4"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4.4"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4.4"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4.4"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4.4"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4.4"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4.4"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4.4"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4.4"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4.4"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4.4"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4.4"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4.4"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4.4"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4.4"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4.4"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4.4"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4.4"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4.4"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4.4"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4.4"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4.4"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4.4"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4.4"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4.4"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4.4"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4.4"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4.4"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4.4"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4.4"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4.4"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4.4"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4.4"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4.4"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4.4"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4.4"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4.4"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4.4"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4.4"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4.4"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4.4"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4.4"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4.4"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4.4"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4.4"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4.4"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4.4"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4.4"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4.4"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4.4"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4.4"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4.4"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4.4"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4.4"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4.4"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4.4"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4.4"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4.4"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4.4"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4.4"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4.4"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4.4"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4.4"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4.4"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4.4"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4.4"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4.4"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4.4"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4.4"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4.4"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4.4"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4.4"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4.4"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4.4"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4.4"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4.4"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4.4"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4.4"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4.4"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4.4"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4.4"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4.4"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4.4"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4.4"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4.4"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4.4"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4.4"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4.4"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4.4"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4.4"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4.4"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4.4"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4.4"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4.4"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4.4"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4.4"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4.4"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4.4"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4.4"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4.4"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4.4"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4.4"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4.4"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4.4"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4.4"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4.4"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4.4"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4.4"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4.4"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4.4"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4.4"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4.4"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4.4"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4.4"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4.4"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4.4"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4.4"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4.4"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4.4"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4.4"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4.4"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4.4"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4.4"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4.4"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4.4"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4.4"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4.4"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4.4"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4.4"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4.4"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4.4"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4.4"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4.4"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4.4"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4.4"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4.4"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4.4"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4.4"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4.4"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4.4"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4.4"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4.4"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4.4"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4.4"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4.4"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4.4"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4.4"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4.4"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4.4"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4.4"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4.4"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4.4"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4.4"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4.4"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4.4"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4.4"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4.4"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4.4"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4.4"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4.4"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4.4"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4.4"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4.4"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4.4"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4.4"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4.4"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4.4"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4.4"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4.4"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4.4"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4.4"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4.4"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4.4"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4.4"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4.4"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4.4"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4.4"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4.4"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4.4"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4.4"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4.4"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4.4"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4.4"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4.4"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4.4"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4.4"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4.4"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4.4"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4.4"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4.4"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4.4"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4.4"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4.4"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4.4"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4.4"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4.4"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4.4"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4.4"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4.4"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4.4"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4.4"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4.4"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4.4"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4.4"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4.4"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4.4"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4.4"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4.4"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4.4"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4.4"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4.4"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4.4"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4.4"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4.4"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4.4"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4.4"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4.4"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4.4"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4.4"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4.4"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4.4"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4.4"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4.4"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4.4"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4.4"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4.4"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4.4"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4.4"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4.4"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4.4"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4.4"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4.4"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4.4"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4.4"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4.4"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4.4"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4.4"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4.4"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4.4"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4.4"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4.4"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4.4"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4.4"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4.4"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4.4"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4.4"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4.4"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4.4"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4.4"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4.4"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4.4"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4.4"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4.4"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4.4"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4.4"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4.4"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4.4"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4.4"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4.4"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4.4"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4.4"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4.4"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4.4"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4.4"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4.4"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4.4"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4.4"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4.4"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4.4"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4.4"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4.4"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4.4"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4.4"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4.4"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4.4"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4.4"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4.4"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4.4"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4.4"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4.4"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4.4"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4.4"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4.4"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4.4"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4.4"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4.4"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4.4"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4.4"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4.4"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4.4"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4.4"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4.4"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4.4"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4.4"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4.4"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4.4"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4.4"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4.4"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4.4"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4.4"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4.4"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4.4"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4.4"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4.4"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4.4"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4.4"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4.4"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4.4"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4.4"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4.4"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4.4"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4.4"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4.4"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4.4"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4.4"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4.4"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4.4"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4.4"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4.4"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4.4"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4.4"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4.4"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4.4"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4.4"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4.4"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4.4"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4.4"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4.4"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4.4"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4.4"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4.4"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4.4"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4.4"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4.4"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4.4"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4.4"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4.4"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4.4"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4.4"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4.4"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4.4"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4.4"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4.4"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4.4"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4.4"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4.4"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4.4"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4.4"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4.4"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4.4"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4.4"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4.4"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4.4"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4.4"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4.4"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4.4"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4.4"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4.4"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4.4"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4.4"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4.4"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4.4"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4.4"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4.4"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4.4"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4.4"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4.4"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4.4"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4.4"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4.4"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4.4"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4.4"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4.4"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4.4"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4.4"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4.4"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4.4"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4.4"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4.4"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4.4"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4.4"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4.4"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4.4"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4.4"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4.4"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4.4"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4.4"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4.4"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4.4"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4.4"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4.4"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4.4"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4.4"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4.4"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4.4"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4.4"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4.4"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4.4"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4.4"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4.4"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4.4"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4.4"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4.4"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4.4"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4.4"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4.4"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4.4"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4.4"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4.4"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4.4"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4.4"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4.4"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4.4"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4.4"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4.4"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4.4"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4.4"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4.4"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4.4"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4.4"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4.4"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4.4"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4.4"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4.4"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4.4"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4.4"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4.4"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4.4"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4.4"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4.4"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4.4"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4.4"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4.4"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4.4"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4.4"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4.4"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4.4"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4.4"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4.4"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4.4"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4.4"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4.4"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4.4"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4.4"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4.4"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4.4"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4.4"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4.4"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4.4"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4.4"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4.4"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4.4"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4.4"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4.4"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4.4"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4.4"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4.4"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4.4"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4.4"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4.4"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4.4"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4.4"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4.4"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4.4"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4.4"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4.4"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4.4"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4.4"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4.4"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4.4"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4.4"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4.4"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4.4"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4.4"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4.4"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4.4"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4.4"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4.4"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4.4"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4.4"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4.4"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4.4"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4.4"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4.4"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4.4"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4.4"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4.4"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4.4"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4.4"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4.4"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4.4"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4.4"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4.4"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4.4"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4.4"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4.4"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4.4"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4.4"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4.4"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4.4"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4.4"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4.4"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4.4"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4.4"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4.4"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4.4"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4.4"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4.4"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4.4"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4.4"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4.4"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4.4"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4.4"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4.4"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4.4"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4.4"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4.4"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4.4"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4.4"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4.4"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4.4"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4.4"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4.4"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4.4"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4.4"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4.4"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4.4"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4.4"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4.4"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4.4"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4.4"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4.4"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4.4"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4.4"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4.4"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4.4"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4.4"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4.4"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4.4"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4.4"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4.4"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4.4"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4.4"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4.4"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4.4"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4.4"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4.4"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4.4"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4.4"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4.4"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4.4"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4.4"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4.4"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4.4"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4.4"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4.4"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4.4"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4.4"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4.4"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4.4"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4.4"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4.4"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4.4"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4.4"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4.4"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4.4"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4.4"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4.4"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4.4"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4.4"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4.4"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4.4"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4.4"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4.4"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4.4"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4.4"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4.4"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4.4"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4.4"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4.4"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4.4"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4.4"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4.4"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4.4"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4.4"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4.4"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4.4"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4.4"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4.4"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4.4"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4.4"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4.4"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4.4"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4.4"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4.4"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4.4"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4.4"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4.4"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4.4"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4.4"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4.4"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4.4"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4.4"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4.4"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4.4"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4.4"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4.4"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4.4"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4.4"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4.4"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4.4"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4.4"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4.4"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4.4"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4.4"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4.4"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4.4"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4.4"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4.4"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4.4"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4.4"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4.4"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4.4"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4.4"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4.4"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4.4"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4.4"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4.4"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4.4"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4.4"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4.4"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4.4"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4.4"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4.4"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4.4"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4.4"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4.4"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4.4"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4.4"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4.4"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4.4"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4.4"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4.4"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4.4"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4.4"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4.4"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4.4"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4.4"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4.4"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4.4"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4.4"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4.4"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4.4"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4.4"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4.4"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4.4"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4.4"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4.4"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4.4"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4.4"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4.4"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4.4"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4.4"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4.4"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4.4"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4.4"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4.4"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4.4"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4.4"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spans="1:28" ht="14.4" x14ac:dyDescent="0.3">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spans="1:28" ht="14.4" x14ac:dyDescent="0.3">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spans="1:28" ht="14.4" x14ac:dyDescent="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spans="1:28" ht="14.4" x14ac:dyDescent="0.3">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spans="1:28" ht="14.4" x14ac:dyDescent="0.3">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spans="1:28" ht="14.4" x14ac:dyDescent="0.3">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spans="1:28" ht="14.4" x14ac:dyDescent="0.3">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spans="1:28" ht="14.4" x14ac:dyDescent="0.3">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spans="1:28" ht="14.4" x14ac:dyDescent="0.3">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spans="1:28" ht="14.4" x14ac:dyDescent="0.3">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spans="1:28" ht="14.4" x14ac:dyDescent="0.3">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spans="1:28" ht="14.4" x14ac:dyDescent="0.3">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spans="1:28" ht="14.4" x14ac:dyDescent="0.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row>
    <row r="1014" spans="1:28" ht="14.4" x14ac:dyDescent="0.3">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row>
    <row r="1015" spans="1:28" ht="14.4" x14ac:dyDescent="0.3">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row>
    <row r="1016" spans="1:28" ht="14.4" x14ac:dyDescent="0.3">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row>
    <row r="1017" spans="1:28" ht="14.4" x14ac:dyDescent="0.3">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row>
    <row r="1018" spans="1:28" ht="14.4" x14ac:dyDescent="0.3">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row>
    <row r="1019" spans="1:28" ht="14.4" x14ac:dyDescent="0.3">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row>
    <row r="1020" spans="1:28" ht="14.4" x14ac:dyDescent="0.3">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row>
    <row r="1021" spans="1:28" ht="14.4" x14ac:dyDescent="0.3">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row>
    <row r="1022" spans="1:28" ht="14.4" x14ac:dyDescent="0.3">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row>
    <row r="1023" spans="1:28" ht="14.4" x14ac:dyDescent="0.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row>
    <row r="1024" spans="1:28" ht="14.4" x14ac:dyDescent="0.3">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row>
    <row r="1025" spans="1:28" ht="14.4" x14ac:dyDescent="0.3">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row>
    <row r="1026" spans="1:28" ht="14.4" x14ac:dyDescent="0.3">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row>
    <row r="1027" spans="1:28" ht="14.4" x14ac:dyDescent="0.3">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row>
    <row r="1028" spans="1:28" ht="14.4" x14ac:dyDescent="0.3">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row>
    <row r="1029" spans="1:28" ht="14.4" x14ac:dyDescent="0.3">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row>
    <row r="1030" spans="1:28" ht="14.4" x14ac:dyDescent="0.3">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row>
    <row r="1031" spans="1:28" ht="14.4" x14ac:dyDescent="0.3">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row>
    <row r="1032" spans="1:28" ht="14.4" x14ac:dyDescent="0.3">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0"/>
  <sheetViews>
    <sheetView workbookViewId="0">
      <selection activeCell="B23" sqref="B23"/>
    </sheetView>
  </sheetViews>
  <sheetFormatPr defaultColWidth="14.44140625" defaultRowHeight="15.75" customHeight="1" x14ac:dyDescent="0.25"/>
  <cols>
    <col min="2" max="2" width="27.5546875" customWidth="1"/>
  </cols>
  <sheetData>
    <row r="1" spans="1:29" ht="15.75" customHeight="1" x14ac:dyDescent="0.3">
      <c r="A1" s="1" t="s">
        <v>0</v>
      </c>
      <c r="B1" s="1" t="s">
        <v>2</v>
      </c>
      <c r="C1" s="1" t="s">
        <v>3</v>
      </c>
      <c r="D1" s="1" t="s">
        <v>4</v>
      </c>
      <c r="E1" s="1" t="s">
        <v>5</v>
      </c>
      <c r="F1" s="1" t="s">
        <v>6</v>
      </c>
      <c r="G1" s="1" t="s">
        <v>7</v>
      </c>
      <c r="H1" s="1" t="s">
        <v>8</v>
      </c>
      <c r="I1" s="1" t="s">
        <v>9</v>
      </c>
      <c r="J1" s="1" t="s">
        <v>10</v>
      </c>
      <c r="K1" s="3" t="s">
        <v>11</v>
      </c>
      <c r="L1" s="1" t="s">
        <v>14</v>
      </c>
      <c r="M1" s="1" t="s">
        <v>16</v>
      </c>
      <c r="N1" s="3" t="s">
        <v>18</v>
      </c>
      <c r="O1" s="1" t="s">
        <v>20</v>
      </c>
      <c r="P1" s="1" t="s">
        <v>22</v>
      </c>
      <c r="Q1" s="1" t="s">
        <v>24</v>
      </c>
      <c r="R1" s="5" t="s">
        <v>26</v>
      </c>
      <c r="S1" s="6" t="s">
        <v>27</v>
      </c>
      <c r="T1" s="6" t="s">
        <v>28</v>
      </c>
      <c r="U1" s="1" t="s">
        <v>29</v>
      </c>
      <c r="V1" s="8" t="s">
        <v>30</v>
      </c>
      <c r="W1" s="5" t="s">
        <v>32</v>
      </c>
      <c r="X1" s="5" t="s">
        <v>33</v>
      </c>
      <c r="Y1" s="5" t="s">
        <v>34</v>
      </c>
      <c r="Z1" s="5" t="s">
        <v>35</v>
      </c>
      <c r="AA1" s="1" t="s">
        <v>36</v>
      </c>
      <c r="AB1" s="11"/>
      <c r="AC1" s="11"/>
    </row>
    <row r="2" spans="1:29" ht="15.75" customHeight="1" x14ac:dyDescent="0.3">
      <c r="A2" s="10">
        <f>1</f>
        <v>1</v>
      </c>
      <c r="B2" s="10" t="s">
        <v>47</v>
      </c>
      <c r="C2" s="10">
        <v>1</v>
      </c>
      <c r="D2" s="10" t="s">
        <v>37</v>
      </c>
      <c r="E2" s="10" t="s">
        <v>43</v>
      </c>
      <c r="F2" s="10" t="s">
        <v>39</v>
      </c>
      <c r="G2" s="10" t="s">
        <v>40</v>
      </c>
      <c r="H2" s="10">
        <v>32</v>
      </c>
      <c r="I2" s="10">
        <v>18</v>
      </c>
      <c r="J2" s="10">
        <v>73.13</v>
      </c>
      <c r="K2" s="13">
        <f>2.26*SQRT(I2)</f>
        <v>9.5883679528895822</v>
      </c>
      <c r="L2" s="10">
        <v>6</v>
      </c>
      <c r="M2" s="10">
        <v>77</v>
      </c>
      <c r="N2" s="13">
        <f>0.58*SQRT(L2)</f>
        <v>1.420704050814243</v>
      </c>
      <c r="O2" s="12">
        <f t="shared" ref="O2:O9" si="0">SQRT( ((I2-1)*K2^2+(L2-1)*N2^2)/ (H2-2) )</f>
        <v>7.2411269841095853</v>
      </c>
      <c r="P2" s="14">
        <f t="shared" ref="P2:P15" si="1">M2/J2</f>
        <v>1.0529194584985642</v>
      </c>
      <c r="Q2" s="10"/>
      <c r="R2" s="14"/>
      <c r="S2" s="18">
        <v>1.175</v>
      </c>
      <c r="T2" s="15">
        <f t="shared" ref="T2:T4" si="2">2*(1-NORMSDIST(S2))</f>
        <v>0.23999471579802489</v>
      </c>
      <c r="U2" s="4"/>
      <c r="V2" s="16"/>
      <c r="W2" s="14">
        <f t="shared" ref="W2:W15" si="3">Z2/SQRT(Z2^2+4)</f>
        <v>0.20337175418459622</v>
      </c>
      <c r="X2" s="14">
        <f t="shared" ref="X2:X15" si="4">0.5*LN( (1+W2)/(1-W2))</f>
        <v>0.20624728137491688</v>
      </c>
      <c r="Y2" s="14">
        <f t="shared" ref="Y2:Y15" si="5">1/SQRT(H2-3)</f>
        <v>0.18569533817705186</v>
      </c>
      <c r="Z2" s="14">
        <f t="shared" ref="Z2:Z4" si="6">2*S2/SQRT(H2)</f>
        <v>0.41542523394709668</v>
      </c>
      <c r="AA2" s="14">
        <f t="shared" ref="AA2:AA15" si="7">SQRT( (I2+L2) / (I2*L2) + Z2^2/ ( 2*(I2+L2)))</f>
        <v>0.47520269341238891</v>
      </c>
      <c r="AB2" s="4"/>
      <c r="AC2" s="4"/>
    </row>
    <row r="3" spans="1:29" ht="15.75" customHeight="1" x14ac:dyDescent="0.3">
      <c r="A3" s="10">
        <f t="shared" ref="A3:A7" si="8">1+A2</f>
        <v>2</v>
      </c>
      <c r="B3" s="10" t="s">
        <v>47</v>
      </c>
      <c r="C3" s="10">
        <v>2</v>
      </c>
      <c r="D3" s="10" t="s">
        <v>37</v>
      </c>
      <c r="E3" s="10" t="s">
        <v>43</v>
      </c>
      <c r="F3" s="10" t="s">
        <v>39</v>
      </c>
      <c r="G3" s="10" t="s">
        <v>40</v>
      </c>
      <c r="H3" s="10">
        <v>33</v>
      </c>
      <c r="I3" s="10">
        <v>13</v>
      </c>
      <c r="J3" s="10">
        <v>104.53</v>
      </c>
      <c r="K3" s="13">
        <v>1.5</v>
      </c>
      <c r="L3" s="10">
        <v>20</v>
      </c>
      <c r="M3" s="10">
        <v>108.25</v>
      </c>
      <c r="N3" s="13">
        <v>7.08</v>
      </c>
      <c r="O3" s="12">
        <f t="shared" si="0"/>
        <v>5.6208184457425769</v>
      </c>
      <c r="P3" s="14">
        <f t="shared" si="1"/>
        <v>1.0355878695111451</v>
      </c>
      <c r="Q3" s="10"/>
      <c r="R3" s="14"/>
      <c r="S3" s="18">
        <v>2.363</v>
      </c>
      <c r="T3" s="15">
        <f t="shared" si="2"/>
        <v>1.8127669601479823E-2</v>
      </c>
      <c r="U3" s="4"/>
      <c r="V3" s="16"/>
      <c r="W3" s="14">
        <f t="shared" si="3"/>
        <v>0.38041829715130981</v>
      </c>
      <c r="X3" s="14">
        <f t="shared" si="4"/>
        <v>0.40054863428948267</v>
      </c>
      <c r="Y3" s="14">
        <f t="shared" si="5"/>
        <v>0.18257418583505536</v>
      </c>
      <c r="Z3" s="14">
        <f t="shared" si="6"/>
        <v>0.82269100204662804</v>
      </c>
      <c r="AA3" s="14">
        <f t="shared" si="7"/>
        <v>0.37037539436916511</v>
      </c>
      <c r="AB3" s="4"/>
      <c r="AC3" s="4"/>
    </row>
    <row r="4" spans="1:29" ht="15.75" customHeight="1" x14ac:dyDescent="0.3">
      <c r="A4" s="10">
        <f t="shared" si="8"/>
        <v>3</v>
      </c>
      <c r="B4" s="10" t="s">
        <v>47</v>
      </c>
      <c r="C4" s="10">
        <v>3</v>
      </c>
      <c r="D4" s="10" t="s">
        <v>37</v>
      </c>
      <c r="E4" s="10" t="s">
        <v>43</v>
      </c>
      <c r="F4" s="10" t="s">
        <v>39</v>
      </c>
      <c r="G4" s="10" t="s">
        <v>40</v>
      </c>
      <c r="H4" s="10">
        <v>23</v>
      </c>
      <c r="I4" s="10">
        <v>12</v>
      </c>
      <c r="J4" s="10">
        <v>100.33</v>
      </c>
      <c r="K4" s="13">
        <v>0.77</v>
      </c>
      <c r="L4" s="10">
        <v>11</v>
      </c>
      <c r="M4" s="10">
        <v>109.78</v>
      </c>
      <c r="N4" s="13">
        <v>6.42</v>
      </c>
      <c r="O4" s="12">
        <f t="shared" si="0"/>
        <v>4.4651342431693823</v>
      </c>
      <c r="P4" s="14">
        <f t="shared" si="1"/>
        <v>1.0941891757201236</v>
      </c>
      <c r="Q4" s="10"/>
      <c r="R4" s="14"/>
      <c r="S4" s="18">
        <v>4.1360000000000001</v>
      </c>
      <c r="T4" s="15">
        <f t="shared" si="2"/>
        <v>3.5341218927786855E-5</v>
      </c>
      <c r="U4" s="4"/>
      <c r="V4" s="16"/>
      <c r="W4" s="14">
        <f t="shared" si="3"/>
        <v>0.65309020434219001</v>
      </c>
      <c r="X4" s="14">
        <f t="shared" si="4"/>
        <v>0.78066843756799809</v>
      </c>
      <c r="Y4" s="14">
        <f t="shared" si="5"/>
        <v>0.22360679774997896</v>
      </c>
      <c r="Z4" s="14">
        <f t="shared" si="6"/>
        <v>1.7248312330801225</v>
      </c>
      <c r="AA4" s="14">
        <f t="shared" si="7"/>
        <v>0.48879164000892372</v>
      </c>
      <c r="AB4" s="4"/>
      <c r="AC4" s="4"/>
    </row>
    <row r="5" spans="1:29" ht="15.75" customHeight="1" x14ac:dyDescent="0.3">
      <c r="A5" s="10">
        <f t="shared" si="8"/>
        <v>4</v>
      </c>
      <c r="B5" s="10" t="s">
        <v>66</v>
      </c>
      <c r="C5" s="10">
        <v>1</v>
      </c>
      <c r="D5" s="10" t="s">
        <v>37</v>
      </c>
      <c r="E5" s="10" t="s">
        <v>38</v>
      </c>
      <c r="F5" s="10" t="s">
        <v>39</v>
      </c>
      <c r="G5" s="10" t="s">
        <v>40</v>
      </c>
      <c r="H5" s="10">
        <v>60</v>
      </c>
      <c r="I5" s="10">
        <f t="shared" ref="I5:I7" si="9">H5/2</f>
        <v>30</v>
      </c>
      <c r="J5" s="10">
        <v>7.29</v>
      </c>
      <c r="K5" s="13">
        <v>2.96</v>
      </c>
      <c r="L5" s="10">
        <f t="shared" ref="L5:L7" si="10">H5/2</f>
        <v>30</v>
      </c>
      <c r="M5" s="10">
        <v>9</v>
      </c>
      <c r="N5" s="13">
        <v>3.51</v>
      </c>
      <c r="O5" s="12">
        <f t="shared" si="0"/>
        <v>3.2466675222449246</v>
      </c>
      <c r="P5" s="14">
        <f t="shared" si="1"/>
        <v>1.2345679012345678</v>
      </c>
      <c r="Q5" s="10">
        <v>2.0299999999999998</v>
      </c>
      <c r="R5" s="14">
        <f>TDIST(Q5,H5-2,1)</f>
        <v>2.3475894676632445E-2</v>
      </c>
      <c r="S5" s="15"/>
      <c r="T5" s="15"/>
      <c r="U5" s="4"/>
      <c r="V5" s="16"/>
      <c r="W5" s="14">
        <f t="shared" si="3"/>
        <v>0.25351066423215057</v>
      </c>
      <c r="X5" s="14">
        <f t="shared" si="4"/>
        <v>0.25916104694601344</v>
      </c>
      <c r="Y5" s="14">
        <f t="shared" si="5"/>
        <v>0.13245323570650439</v>
      </c>
      <c r="Z5" s="14">
        <f>2*Q5/SQRT(H5)</f>
        <v>0.52414374618673698</v>
      </c>
      <c r="AA5" s="14">
        <f t="shared" si="7"/>
        <v>0.26259485058842175</v>
      </c>
      <c r="AB5" s="4"/>
      <c r="AC5" s="4"/>
    </row>
    <row r="6" spans="1:29" ht="15.75" customHeight="1" x14ac:dyDescent="0.3">
      <c r="A6" s="10">
        <f t="shared" si="8"/>
        <v>5</v>
      </c>
      <c r="B6" s="10" t="s">
        <v>74</v>
      </c>
      <c r="C6" s="10">
        <v>3</v>
      </c>
      <c r="D6" s="10" t="s">
        <v>37</v>
      </c>
      <c r="E6" s="10" t="s">
        <v>43</v>
      </c>
      <c r="F6" s="10" t="s">
        <v>39</v>
      </c>
      <c r="G6" s="10" t="s">
        <v>53</v>
      </c>
      <c r="H6" s="10">
        <v>161</v>
      </c>
      <c r="I6" s="4">
        <f t="shared" si="9"/>
        <v>80.5</v>
      </c>
      <c r="J6" s="10">
        <v>0.26</v>
      </c>
      <c r="K6" s="13">
        <v>0.28000000000000003</v>
      </c>
      <c r="L6" s="4">
        <f t="shared" si="10"/>
        <v>80.5</v>
      </c>
      <c r="M6" s="10">
        <v>0.4</v>
      </c>
      <c r="N6" s="13">
        <v>0.44</v>
      </c>
      <c r="O6" s="12">
        <f t="shared" si="0"/>
        <v>0.36878177829171549</v>
      </c>
      <c r="P6" s="14">
        <f t="shared" si="1"/>
        <v>1.5384615384615385</v>
      </c>
      <c r="Q6" s="4"/>
      <c r="R6" s="14"/>
      <c r="S6" s="15"/>
      <c r="T6" s="15"/>
      <c r="U6" s="10">
        <v>5.79</v>
      </c>
      <c r="V6" s="19">
        <f t="shared" ref="V6:V7" si="11">FDIST(U6,1,H6-2)</f>
        <v>1.7264665541059668E-2</v>
      </c>
      <c r="W6" s="14">
        <f t="shared" si="3"/>
        <v>0.18744499769757086</v>
      </c>
      <c r="X6" s="14">
        <f t="shared" si="4"/>
        <v>0.18968780502680235</v>
      </c>
      <c r="Y6" s="14">
        <f t="shared" si="5"/>
        <v>7.9555728417572996E-2</v>
      </c>
      <c r="Z6" s="14">
        <f>2*SQRT(U6/ (H6-2) )</f>
        <v>0.38165478820328008</v>
      </c>
      <c r="AA6" s="14">
        <f t="shared" si="7"/>
        <v>0.1590505640268603</v>
      </c>
      <c r="AB6" s="4"/>
      <c r="AC6" s="4"/>
    </row>
    <row r="7" spans="1:29" ht="15.75" customHeight="1" x14ac:dyDescent="0.3">
      <c r="A7" s="10">
        <f t="shared" si="8"/>
        <v>6</v>
      </c>
      <c r="B7" s="10" t="s">
        <v>74</v>
      </c>
      <c r="C7" s="10">
        <v>4</v>
      </c>
      <c r="D7" s="10" t="s">
        <v>37</v>
      </c>
      <c r="E7" s="10" t="s">
        <v>43</v>
      </c>
      <c r="F7" s="10" t="s">
        <v>39</v>
      </c>
      <c r="G7" s="10" t="s">
        <v>53</v>
      </c>
      <c r="H7" s="10">
        <v>122</v>
      </c>
      <c r="I7" s="4">
        <f t="shared" si="9"/>
        <v>61</v>
      </c>
      <c r="J7" s="10">
        <v>7.05</v>
      </c>
      <c r="K7" s="13">
        <v>8.9</v>
      </c>
      <c r="L7" s="4">
        <f t="shared" si="10"/>
        <v>61</v>
      </c>
      <c r="M7" s="10">
        <v>3.62</v>
      </c>
      <c r="N7" s="13">
        <v>8.65</v>
      </c>
      <c r="O7" s="12">
        <f t="shared" si="0"/>
        <v>8.775890268229201</v>
      </c>
      <c r="P7" s="14">
        <f t="shared" si="1"/>
        <v>0.51347517730496461</v>
      </c>
      <c r="Q7" s="4"/>
      <c r="R7" s="14"/>
      <c r="S7" s="15"/>
      <c r="T7" s="15"/>
      <c r="U7" s="10">
        <v>4.8499999999999996</v>
      </c>
      <c r="V7" s="19">
        <f t="shared" si="11"/>
        <v>2.9557441237635786E-2</v>
      </c>
      <c r="W7" s="14">
        <f t="shared" si="3"/>
        <v>-0.19709544880368737</v>
      </c>
      <c r="X7" s="14">
        <f t="shared" si="4"/>
        <v>-0.19970880038842678</v>
      </c>
      <c r="Y7" s="14">
        <f t="shared" si="5"/>
        <v>9.1669849702821132E-2</v>
      </c>
      <c r="Z7" s="14">
        <f>-2*SQRT(U7/ (H7-2) )</f>
        <v>-0.40207793606049391</v>
      </c>
      <c r="AA7" s="14">
        <f t="shared" si="7"/>
        <v>0.18289191767793503</v>
      </c>
      <c r="AB7" s="4"/>
      <c r="AC7" s="4"/>
    </row>
    <row r="8" spans="1:29" ht="15.75" customHeight="1" x14ac:dyDescent="0.3">
      <c r="A8" s="10">
        <f t="shared" ref="A8:A9" si="12">A7+1</f>
        <v>7</v>
      </c>
      <c r="B8" s="10" t="s">
        <v>85</v>
      </c>
      <c r="C8" s="10">
        <v>1</v>
      </c>
      <c r="D8" s="10" t="s">
        <v>37</v>
      </c>
      <c r="E8" s="10" t="s">
        <v>43</v>
      </c>
      <c r="F8" s="10" t="s">
        <v>39</v>
      </c>
      <c r="G8" s="10" t="s">
        <v>40</v>
      </c>
      <c r="H8" s="10">
        <v>78</v>
      </c>
      <c r="I8" s="10">
        <v>38</v>
      </c>
      <c r="J8" s="10">
        <v>70.7</v>
      </c>
      <c r="K8" s="13">
        <v>27</v>
      </c>
      <c r="L8" s="10">
        <v>40</v>
      </c>
      <c r="M8" s="10">
        <v>80.599999999999994</v>
      </c>
      <c r="N8" s="13">
        <v>30.3</v>
      </c>
      <c r="O8" s="12">
        <f t="shared" si="0"/>
        <v>28.740790286903898</v>
      </c>
      <c r="P8" s="14">
        <f t="shared" si="1"/>
        <v>1.1400282885431399</v>
      </c>
      <c r="Q8" s="4"/>
      <c r="R8" s="14"/>
      <c r="S8" s="15">
        <f t="shared" ref="S8:S9" si="13">_xlfn.NORM.S.INV(1-0.06)</f>
        <v>1.5547735945968528</v>
      </c>
      <c r="T8" s="18">
        <v>0.06</v>
      </c>
      <c r="U8" s="4"/>
      <c r="V8" s="16"/>
      <c r="W8" s="14">
        <f t="shared" si="3"/>
        <v>0.1733773480903141</v>
      </c>
      <c r="X8" s="14">
        <f t="shared" si="4"/>
        <v>0.17514659319081993</v>
      </c>
      <c r="Y8" s="14">
        <f t="shared" si="5"/>
        <v>0.11547005383792514</v>
      </c>
      <c r="Z8" s="14">
        <f t="shared" ref="Z8:Z9" si="14">2*S8/SQRT(H8)</f>
        <v>0.35208688689129131</v>
      </c>
      <c r="AA8" s="14">
        <f t="shared" si="7"/>
        <v>0.22827710800095372</v>
      </c>
      <c r="AB8" s="4"/>
      <c r="AC8" s="4"/>
    </row>
    <row r="9" spans="1:29" ht="15.75" customHeight="1" x14ac:dyDescent="0.3">
      <c r="A9" s="10">
        <f t="shared" si="12"/>
        <v>8</v>
      </c>
      <c r="B9" s="10" t="s">
        <v>85</v>
      </c>
      <c r="C9" s="10">
        <v>2</v>
      </c>
      <c r="D9" s="10" t="s">
        <v>37</v>
      </c>
      <c r="E9" s="10" t="s">
        <v>43</v>
      </c>
      <c r="F9" s="10" t="s">
        <v>39</v>
      </c>
      <c r="G9" s="10" t="s">
        <v>40</v>
      </c>
      <c r="H9" s="10">
        <v>91</v>
      </c>
      <c r="I9" s="10">
        <v>39</v>
      </c>
      <c r="J9" s="10">
        <v>179.7</v>
      </c>
      <c r="K9" s="13">
        <v>85.6</v>
      </c>
      <c r="L9" s="10">
        <v>42</v>
      </c>
      <c r="M9" s="10">
        <v>206.2</v>
      </c>
      <c r="N9" s="13">
        <v>73</v>
      </c>
      <c r="O9" s="12">
        <f t="shared" si="0"/>
        <v>74.722609126065322</v>
      </c>
      <c r="P9" s="14">
        <f t="shared" si="1"/>
        <v>1.147468002225932</v>
      </c>
      <c r="Q9" s="4"/>
      <c r="R9" s="14"/>
      <c r="S9" s="15">
        <f t="shared" si="13"/>
        <v>1.5547735945968528</v>
      </c>
      <c r="T9" s="18">
        <v>7.0000000000000007E-2</v>
      </c>
      <c r="U9" s="4"/>
      <c r="V9" s="16"/>
      <c r="W9" s="14">
        <f t="shared" si="3"/>
        <v>0.16086199559636985</v>
      </c>
      <c r="X9" s="14">
        <f t="shared" si="4"/>
        <v>0.16227146403778947</v>
      </c>
      <c r="Y9" s="14">
        <f t="shared" si="5"/>
        <v>0.10660035817780521</v>
      </c>
      <c r="Z9" s="14">
        <f t="shared" si="14"/>
        <v>0.32596911675030238</v>
      </c>
      <c r="AA9" s="14">
        <f t="shared" si="7"/>
        <v>0.22384470029966491</v>
      </c>
      <c r="AB9" s="4"/>
      <c r="AC9" s="4"/>
    </row>
    <row r="10" spans="1:29" ht="15.75" customHeight="1" x14ac:dyDescent="0.3">
      <c r="A10" s="10">
        <f t="shared" ref="A10:A15" si="15">1+A9</f>
        <v>9</v>
      </c>
      <c r="B10" s="10" t="s">
        <v>87</v>
      </c>
      <c r="C10" s="10">
        <v>1</v>
      </c>
      <c r="D10" s="10" t="s">
        <v>37</v>
      </c>
      <c r="E10" s="10" t="s">
        <v>43</v>
      </c>
      <c r="F10" s="10" t="s">
        <v>39</v>
      </c>
      <c r="G10" s="10" t="s">
        <v>53</v>
      </c>
      <c r="H10" s="10">
        <v>318</v>
      </c>
      <c r="I10" s="4">
        <f t="shared" ref="I10:I14" si="16">H10/2</f>
        <v>159</v>
      </c>
      <c r="J10" s="10">
        <v>3055.92</v>
      </c>
      <c r="K10" s="4"/>
      <c r="L10" s="4">
        <f t="shared" ref="L10:L14" si="17">H10/2</f>
        <v>159</v>
      </c>
      <c r="M10" s="10">
        <v>8278.84</v>
      </c>
      <c r="N10" s="4"/>
      <c r="O10" s="4"/>
      <c r="P10" s="14">
        <f t="shared" si="1"/>
        <v>2.7091154218696825</v>
      </c>
      <c r="Q10" s="4"/>
      <c r="R10" s="4"/>
      <c r="S10" s="4"/>
      <c r="T10" s="4"/>
      <c r="U10" s="10">
        <v>81.724999999999994</v>
      </c>
      <c r="V10" s="19">
        <f t="shared" ref="V10:V14" si="18">FDIST(U10,1,H10-2)</f>
        <v>1.6095305025387978E-17</v>
      </c>
      <c r="W10" s="14">
        <f t="shared" si="3"/>
        <v>0.45330031345470989</v>
      </c>
      <c r="X10" s="14">
        <f t="shared" si="4"/>
        <v>0.48884634738695326</v>
      </c>
      <c r="Y10" s="14">
        <f t="shared" si="5"/>
        <v>5.6343616981901101E-2</v>
      </c>
      <c r="Z10" s="14">
        <f>2*SQRT(U10/ (H10-2) )</f>
        <v>1.0171006198435217</v>
      </c>
      <c r="AA10" s="14">
        <f t="shared" si="7"/>
        <v>0.11918548035649433</v>
      </c>
      <c r="AB10" s="4"/>
      <c r="AC10" s="4"/>
    </row>
    <row r="11" spans="1:29" ht="15.75" customHeight="1" x14ac:dyDescent="0.3">
      <c r="A11" s="10">
        <f t="shared" si="15"/>
        <v>10</v>
      </c>
      <c r="B11" s="10" t="s">
        <v>91</v>
      </c>
      <c r="C11" s="10" t="s">
        <v>52</v>
      </c>
      <c r="D11" s="10" t="s">
        <v>37</v>
      </c>
      <c r="E11" s="10" t="s">
        <v>43</v>
      </c>
      <c r="F11" s="10" t="s">
        <v>39</v>
      </c>
      <c r="G11" s="10" t="s">
        <v>40</v>
      </c>
      <c r="H11" s="10">
        <v>30</v>
      </c>
      <c r="I11" s="10">
        <f t="shared" si="16"/>
        <v>15</v>
      </c>
      <c r="J11" s="10">
        <v>2.42</v>
      </c>
      <c r="K11" s="13">
        <v>1.79</v>
      </c>
      <c r="L11" s="10">
        <f t="shared" si="17"/>
        <v>15</v>
      </c>
      <c r="M11" s="10">
        <v>5.08</v>
      </c>
      <c r="N11" s="13">
        <v>2.39</v>
      </c>
      <c r="O11" s="12">
        <f t="shared" ref="O11:O14" si="19">SQRT( ((I11-1)*K11^2+(L11-1)*N11^2)/ (H11-2) )</f>
        <v>2.1114213222377005</v>
      </c>
      <c r="P11" s="14">
        <f t="shared" si="1"/>
        <v>2.0991735537190084</v>
      </c>
      <c r="Q11" s="4"/>
      <c r="R11" s="14"/>
      <c r="S11" s="15"/>
      <c r="T11" s="15"/>
      <c r="U11" s="10">
        <v>13.539</v>
      </c>
      <c r="V11" s="19">
        <f t="shared" si="18"/>
        <v>9.852762086846609E-4</v>
      </c>
      <c r="W11" s="14">
        <f t="shared" si="3"/>
        <v>0.53298159002080747</v>
      </c>
      <c r="X11" s="14">
        <f t="shared" si="4"/>
        <v>0.59430059549599612</v>
      </c>
      <c r="Y11" s="14">
        <f t="shared" si="5"/>
        <v>0.19245008972987526</v>
      </c>
      <c r="Z11" s="14">
        <f t="shared" ref="Z11:Z14" si="20">(M11-J11)/O11</f>
        <v>1.2598148801400337</v>
      </c>
      <c r="AA11" s="14">
        <f t="shared" si="7"/>
        <v>0.39973185871327643</v>
      </c>
      <c r="AB11" s="4"/>
      <c r="AC11" s="4"/>
    </row>
    <row r="12" spans="1:29" ht="15.75" customHeight="1" x14ac:dyDescent="0.3">
      <c r="A12" s="10">
        <f t="shared" si="15"/>
        <v>11</v>
      </c>
      <c r="B12" s="10" t="s">
        <v>91</v>
      </c>
      <c r="C12" s="10" t="s">
        <v>55</v>
      </c>
      <c r="D12" s="10" t="s">
        <v>37</v>
      </c>
      <c r="E12" s="10" t="s">
        <v>43</v>
      </c>
      <c r="F12" s="10" t="s">
        <v>39</v>
      </c>
      <c r="G12" s="10" t="s">
        <v>40</v>
      </c>
      <c r="H12" s="10">
        <v>30</v>
      </c>
      <c r="I12" s="10">
        <f t="shared" si="16"/>
        <v>15</v>
      </c>
      <c r="J12" s="10">
        <v>3.09</v>
      </c>
      <c r="K12" s="13">
        <v>2.2200000000000002</v>
      </c>
      <c r="L12" s="10">
        <f t="shared" si="17"/>
        <v>15</v>
      </c>
      <c r="M12" s="10">
        <v>3.44</v>
      </c>
      <c r="N12" s="13">
        <v>2.6</v>
      </c>
      <c r="O12" s="12">
        <f t="shared" si="19"/>
        <v>2.4174780247191494</v>
      </c>
      <c r="P12" s="14">
        <f t="shared" si="1"/>
        <v>1.1132686084142396</v>
      </c>
      <c r="Q12" s="4"/>
      <c r="R12" s="14"/>
      <c r="S12" s="15"/>
      <c r="T12" s="15"/>
      <c r="U12" s="10">
        <v>0.249</v>
      </c>
      <c r="V12" s="19">
        <f t="shared" si="18"/>
        <v>0.62167808276049763</v>
      </c>
      <c r="W12" s="14">
        <f t="shared" si="3"/>
        <v>7.2200562573651123E-2</v>
      </c>
      <c r="X12" s="14">
        <f t="shared" si="4"/>
        <v>7.2326415059544999E-2</v>
      </c>
      <c r="Y12" s="14">
        <f t="shared" si="5"/>
        <v>0.19245008972987526</v>
      </c>
      <c r="Z12" s="14">
        <f t="shared" si="20"/>
        <v>0.1447789789281172</v>
      </c>
      <c r="AA12" s="14">
        <f t="shared" si="7"/>
        <v>0.36562642484598645</v>
      </c>
      <c r="AB12" s="4"/>
      <c r="AC12" s="4"/>
    </row>
    <row r="13" spans="1:29" ht="15.75" customHeight="1" x14ac:dyDescent="0.3">
      <c r="A13" s="10">
        <f t="shared" si="15"/>
        <v>12</v>
      </c>
      <c r="B13" s="10" t="s">
        <v>91</v>
      </c>
      <c r="C13" s="10">
        <v>2</v>
      </c>
      <c r="D13" s="10" t="s">
        <v>37</v>
      </c>
      <c r="E13" s="10" t="s">
        <v>43</v>
      </c>
      <c r="F13" s="10" t="s">
        <v>39</v>
      </c>
      <c r="G13" s="10" t="s">
        <v>40</v>
      </c>
      <c r="H13" s="10">
        <v>79</v>
      </c>
      <c r="I13" s="10">
        <f t="shared" si="16"/>
        <v>39.5</v>
      </c>
      <c r="J13" s="10">
        <v>5.24</v>
      </c>
      <c r="K13" s="13">
        <v>3.26</v>
      </c>
      <c r="L13" s="10">
        <f t="shared" si="17"/>
        <v>39.5</v>
      </c>
      <c r="M13" s="10">
        <v>8.48</v>
      </c>
      <c r="N13" s="13">
        <v>3.56</v>
      </c>
      <c r="O13" s="12">
        <f t="shared" si="19"/>
        <v>3.4132975258538476</v>
      </c>
      <c r="P13" s="14">
        <f t="shared" si="1"/>
        <v>1.6183206106870229</v>
      </c>
      <c r="Q13" s="4"/>
      <c r="R13" s="14"/>
      <c r="S13" s="15"/>
      <c r="T13" s="15"/>
      <c r="U13" s="10">
        <v>10.585000000000001</v>
      </c>
      <c r="V13" s="19">
        <f t="shared" si="18"/>
        <v>1.6942304142698132E-3</v>
      </c>
      <c r="W13" s="14">
        <f t="shared" si="3"/>
        <v>0.42877253225143747</v>
      </c>
      <c r="X13" s="14">
        <f t="shared" si="4"/>
        <v>0.45839174396252519</v>
      </c>
      <c r="Y13" s="14">
        <f t="shared" si="5"/>
        <v>0.11470786693528087</v>
      </c>
      <c r="Z13" s="14">
        <f t="shared" si="20"/>
        <v>0.94922870785766134</v>
      </c>
      <c r="AA13" s="14">
        <f t="shared" si="7"/>
        <v>0.23735135441346411</v>
      </c>
      <c r="AB13" s="4"/>
      <c r="AC13" s="4"/>
    </row>
    <row r="14" spans="1:29" ht="15.75" customHeight="1" x14ac:dyDescent="0.3">
      <c r="A14" s="10">
        <f t="shared" si="15"/>
        <v>13</v>
      </c>
      <c r="B14" s="10" t="s">
        <v>91</v>
      </c>
      <c r="C14" s="10">
        <v>3</v>
      </c>
      <c r="D14" s="10" t="s">
        <v>37</v>
      </c>
      <c r="E14" s="10" t="s">
        <v>43</v>
      </c>
      <c r="F14" s="10" t="s">
        <v>39</v>
      </c>
      <c r="G14" s="10" t="s">
        <v>40</v>
      </c>
      <c r="H14" s="10">
        <v>190</v>
      </c>
      <c r="I14" s="10">
        <f t="shared" si="16"/>
        <v>95</v>
      </c>
      <c r="J14" s="10">
        <v>2.1</v>
      </c>
      <c r="K14" s="12">
        <f>0.25*SQRT(I14)</f>
        <v>2.4366985862022408</v>
      </c>
      <c r="L14" s="10">
        <f t="shared" si="17"/>
        <v>95</v>
      </c>
      <c r="M14" s="10">
        <v>2.74</v>
      </c>
      <c r="N14" s="12">
        <f>0.25*SQRT(L14)</f>
        <v>2.4366985862022408</v>
      </c>
      <c r="O14" s="12">
        <f t="shared" si="19"/>
        <v>2.4366985862022408</v>
      </c>
      <c r="P14" s="14">
        <f t="shared" si="1"/>
        <v>1.3047619047619048</v>
      </c>
      <c r="Q14" s="4"/>
      <c r="R14" s="14"/>
      <c r="S14" s="15"/>
      <c r="T14" s="15"/>
      <c r="U14" s="10">
        <v>13.401999999999999</v>
      </c>
      <c r="V14" s="19">
        <f t="shared" si="18"/>
        <v>3.265396118510589E-4</v>
      </c>
      <c r="W14" s="14">
        <f t="shared" si="3"/>
        <v>0.1302072312822781</v>
      </c>
      <c r="X14" s="14">
        <f t="shared" si="4"/>
        <v>0.13095064950431287</v>
      </c>
      <c r="Y14" s="14">
        <f t="shared" si="5"/>
        <v>7.3127242412713067E-2</v>
      </c>
      <c r="Z14" s="14">
        <f t="shared" si="20"/>
        <v>0.2626504581337995</v>
      </c>
      <c r="AA14" s="14">
        <f t="shared" si="7"/>
        <v>0.14571949679144638</v>
      </c>
      <c r="AB14" s="4"/>
      <c r="AC14" s="4"/>
    </row>
    <row r="15" spans="1:29" ht="15.75" customHeight="1" x14ac:dyDescent="0.3">
      <c r="A15" s="10">
        <f t="shared" si="15"/>
        <v>14</v>
      </c>
      <c r="B15" s="10" t="s">
        <v>98</v>
      </c>
      <c r="C15" s="10">
        <v>1</v>
      </c>
      <c r="D15" s="10" t="s">
        <v>37</v>
      </c>
      <c r="E15" s="10" t="s">
        <v>43</v>
      </c>
      <c r="F15" s="10" t="s">
        <v>44</v>
      </c>
      <c r="G15" s="10" t="s">
        <v>40</v>
      </c>
      <c r="H15" s="4">
        <f>SUM(I15,L15)</f>
        <v>188</v>
      </c>
      <c r="I15" s="10">
        <v>108</v>
      </c>
      <c r="J15" s="10">
        <v>4.45</v>
      </c>
      <c r="K15" s="4"/>
      <c r="L15" s="10">
        <v>80</v>
      </c>
      <c r="M15" s="10">
        <v>8.01</v>
      </c>
      <c r="N15" s="4"/>
      <c r="O15" s="4"/>
      <c r="P15" s="14">
        <f t="shared" si="1"/>
        <v>1.7999999999999998</v>
      </c>
      <c r="Q15" s="14">
        <f>_xlfn.T.INV(1-R15,H15-2)</f>
        <v>1.2861196384077687</v>
      </c>
      <c r="R15" s="10">
        <v>0.1</v>
      </c>
      <c r="S15" s="4"/>
      <c r="T15" s="4"/>
      <c r="U15" s="4"/>
      <c r="V15" s="4"/>
      <c r="W15" s="14">
        <f t="shared" si="3"/>
        <v>9.3389972507396654E-2</v>
      </c>
      <c r="X15" s="14">
        <f t="shared" si="4"/>
        <v>9.3662908248782678E-2</v>
      </c>
      <c r="Y15" s="14">
        <f t="shared" si="5"/>
        <v>7.3521462209380772E-2</v>
      </c>
      <c r="Z15" s="14">
        <f>2*Q15/SQRT(H15)</f>
        <v>0.1875998301216244</v>
      </c>
      <c r="AA15" s="14">
        <f t="shared" si="7"/>
        <v>0.14782712712920562</v>
      </c>
      <c r="AB15" s="4"/>
      <c r="AC15" s="4"/>
    </row>
    <row r="16" spans="1:29" ht="15.75" customHeight="1"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row>
    <row r="17" spans="1:29" ht="15.75" customHeight="1"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row>
    <row r="18" spans="1:29" ht="15.75" customHeight="1"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row>
    <row r="19" spans="1:29" ht="15.75" customHeight="1"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spans="1:29" ht="15.75" customHeight="1"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row>
    <row r="21" spans="1:29" ht="15.75" customHeight="1"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spans="1:29" ht="15.75" customHeight="1"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spans="1:29" ht="15.75" customHeight="1"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spans="1:29" ht="15.75" customHeight="1"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row>
    <row r="25" spans="1:29" ht="15.75" customHeight="1"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row>
    <row r="26" spans="1:29" ht="15.75" customHeight="1"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row>
    <row r="27" spans="1:29" ht="15.75" customHeight="1"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row>
    <row r="28" spans="1:29" ht="14.4"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spans="1:29" ht="14.4"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row>
    <row r="30" spans="1:29" ht="14.4"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spans="1:29" ht="14.4"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spans="1:29" ht="14.4"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spans="1:29" ht="14.4"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spans="1:29" ht="14.4"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spans="1:29" ht="14.4"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1:29" ht="14.4"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1:29" ht="14.4"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row>
    <row r="38" spans="1:29" ht="14.4"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spans="1:29" ht="14.4"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spans="1:29" ht="14.4" x14ac:dyDescent="0.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spans="1:29" ht="14.4"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spans="1:29" ht="14.4" x14ac:dyDescent="0.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row>
    <row r="43" spans="1:29" ht="14.4" x14ac:dyDescent="0.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spans="1:29" ht="14.4" x14ac:dyDescent="0.3">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spans="1:29" ht="14.4" x14ac:dyDescent="0.3">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spans="1:29" ht="14.4" x14ac:dyDescent="0.3">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spans="1:29" ht="14.4" x14ac:dyDescent="0.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1:29" ht="14.4"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spans="1:29" ht="14.4"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1:29" ht="14.4" x14ac:dyDescent="0.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1:29" ht="14.4"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1:29" ht="14.4"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1:29" ht="14.4"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1:29" ht="14.4"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1:29" ht="14.4"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1:29" ht="14.4"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1:29" ht="14.4"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1:29" ht="14.4"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1:29" ht="14.4"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1:29" ht="14.4"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1:29" ht="14.4"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1:29" ht="14.4"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1:29" ht="14.4"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1:29" ht="14.4"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1:29" ht="14.4"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1:29" ht="14.4"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1:29" ht="14.4"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1:29" ht="14.4"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1:29" ht="14.4"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1:29" ht="14.4"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1:29" ht="14.4" x14ac:dyDescent="0.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1:29" ht="14.4" x14ac:dyDescent="0.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1:29" ht="14.4"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1:29" ht="14.4" x14ac:dyDescent="0.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1:29" ht="14.4" x14ac:dyDescent="0.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1:29" ht="14.4" x14ac:dyDescent="0.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1:29" ht="14.4" x14ac:dyDescent="0.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1:29" ht="14.4" x14ac:dyDescent="0.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1:29" ht="14.4" x14ac:dyDescent="0.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1:29" ht="14.4" x14ac:dyDescent="0.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1:29" ht="14.4"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1:29" ht="14.4" x14ac:dyDescent="0.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1:29" ht="14.4" x14ac:dyDescent="0.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1:29" ht="14.4" x14ac:dyDescent="0.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1:29" ht="14.4" x14ac:dyDescent="0.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1:29" ht="14.4" x14ac:dyDescent="0.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1:29" ht="14.4" x14ac:dyDescent="0.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1:29" ht="14.4" x14ac:dyDescent="0.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1:29" ht="14.4" x14ac:dyDescent="0.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1:29" ht="14.4" x14ac:dyDescent="0.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1:29" ht="14.4" x14ac:dyDescent="0.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1:29" ht="14.4" x14ac:dyDescent="0.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1:29" ht="14.4"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1:29" ht="14.4" x14ac:dyDescent="0.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1:29" ht="14.4" x14ac:dyDescent="0.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1:29" ht="14.4" x14ac:dyDescent="0.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1:29" ht="14.4" x14ac:dyDescent="0.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1:29" ht="14.4" x14ac:dyDescent="0.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1:29" ht="14.4" x14ac:dyDescent="0.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1:29" ht="14.4"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1:29" ht="14.4"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1:29" ht="14.4"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1:29" ht="14.4"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1:29" ht="14.4"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29" ht="14.4"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1:29" ht="14.4"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1:29" ht="14.4"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1:29" ht="14.4"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1:29" ht="14.4"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1:29" ht="14.4"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1:29" ht="14.4"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1:29" ht="14.4"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1:29" ht="14.4"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1:29" ht="14.4"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1:29" ht="14.4"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1:29" ht="14.4"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1:29" ht="14.4"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1:29" ht="14.4"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1:29" ht="14.4"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1:29" ht="14.4"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1:29" ht="14.4"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1:29" ht="14.4"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1:29" ht="14.4"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1:29" ht="14.4"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1:29" ht="14.4"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1:29" ht="14.4"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1:29" ht="14.4"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1:29" ht="14.4"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1:29" ht="14.4"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1:29" ht="14.4"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1:29" ht="14.4"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1:29" ht="14.4"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1:29" ht="14.4"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1:29" ht="14.4"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1:29" ht="14.4"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1:29" ht="14.4"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1:29" ht="14.4"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1:29" ht="14.4"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1:29" ht="14.4"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spans="1:29" ht="14.4"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spans="1:29" ht="14.4"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spans="1:29" ht="14.4"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spans="1:29" ht="14.4"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spans="1:29" ht="14.4"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1:29" ht="14.4"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spans="1:29" ht="14.4"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spans="1:29" ht="14.4"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1:29" ht="14.4"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1:29" ht="14.4"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1:29" ht="14.4"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1:29" ht="14.4"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spans="1:29" ht="14.4"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spans="1:29" ht="14.4"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spans="1:29" ht="14.4"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spans="1:29" ht="14.4"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spans="1:29" ht="14.4"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spans="1:29" ht="14.4"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1:29" ht="14.4"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spans="1:29" ht="14.4"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spans="1:29" ht="14.4"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1:29" ht="14.4"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1:29" ht="14.4"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ht="14.4"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ht="14.4"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ht="14.4"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14.4"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ht="14.4"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ht="14.4"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spans="1:29" ht="14.4"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1:29" ht="14.4"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1:29" ht="14.4"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spans="1:29" ht="14.4"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spans="1:29" ht="14.4"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1:29" ht="14.4"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1:29" ht="14.4"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spans="1:29" ht="14.4"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1:29" ht="14.4"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1:29" ht="14.4"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spans="1:29" ht="14.4"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1:29" ht="14.4"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1:29" ht="14.4"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spans="1:29" ht="14.4"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spans="1:29" ht="14.4"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spans="1:29" ht="14.4"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spans="1:29" ht="14.4"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spans="1:29" ht="14.4"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spans="1:29" ht="14.4"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spans="1:29" ht="14.4"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spans="1:29" ht="14.4"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spans="1:29" ht="14.4"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spans="1:29" ht="14.4"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spans="1:29" ht="14.4"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spans="1:29" ht="14.4"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spans="1:29" ht="14.4"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spans="1:29" ht="14.4"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spans="1:29" ht="14.4"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spans="1:29" ht="14.4"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spans="1:29" ht="14.4"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spans="1:29" ht="14.4"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spans="1:29" ht="14.4"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spans="1:29" ht="14.4"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spans="1:29" ht="14.4"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spans="1:29" ht="14.4"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spans="1:29" ht="14.4"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spans="1:29" ht="14.4"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spans="1:29" ht="14.4"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spans="1:29" ht="14.4"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spans="1:29" ht="14.4"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spans="1:29" ht="14.4"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spans="1:29" ht="14.4"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spans="1:29" ht="14.4"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spans="1:29" ht="14.4"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spans="1:29" ht="14.4"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spans="1:29" ht="14.4"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spans="1:29" ht="14.4"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spans="1:29" ht="14.4"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spans="1:29" ht="14.4"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spans="1:29" ht="14.4"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spans="1:29" ht="14.4"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spans="1:29" ht="14.4"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spans="1:29" ht="14.4"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spans="1:29" ht="14.4"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spans="1:29" ht="14.4"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spans="1:29" ht="14.4"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spans="1:29" ht="14.4"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spans="1:29" ht="14.4"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spans="1:29" ht="14.4"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spans="1:29" ht="14.4"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spans="1:29" ht="14.4"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spans="1:29" ht="14.4"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spans="1:29" ht="14.4"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spans="1:29" ht="14.4"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spans="1:29" ht="14.4"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spans="1:29" ht="14.4"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spans="1:29" ht="14.4"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4.4"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4.4"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4.4"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4.4"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4.4"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4.4"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4.4"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4.4"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4.4"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4.4"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4.4"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4.4"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4.4"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4.4"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4.4"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4.4"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4.4"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4.4"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4.4"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4.4"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4.4"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4.4"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4.4"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4.4"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4.4"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4.4"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4.4"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4.4"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4.4"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4.4"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4.4"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4.4"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4.4"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4.4"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4.4"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4.4"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4.4"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4.4"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4.4"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4.4"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4.4"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4.4"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4.4"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4.4"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4.4"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4.4"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4.4"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4.4"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4.4"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4.4"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4.4"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4.4"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4.4"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4.4"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4.4"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4.4"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4.4"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4.4"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4.4"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4.4"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4.4"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4.4"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4.4"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4.4"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4.4"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4.4"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4.4"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4.4"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4.4"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4.4"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4.4"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4.4"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4.4"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4.4"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4.4"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4.4"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4.4"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4.4"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4.4"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4.4"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4.4"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4.4"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4.4"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4.4"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4.4"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4.4"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4.4"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4.4"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4.4"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4.4"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4.4"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4.4"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4.4"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4.4"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4.4"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4.4"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4.4"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4.4"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4.4"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4.4"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4.4"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4.4"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4.4"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4.4"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4.4"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4.4"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4.4"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4.4"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4.4"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4.4"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4.4"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4.4"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4.4"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4.4"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4.4"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4.4"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4.4"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4.4"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4.4"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4.4"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4.4"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4.4"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4.4"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4.4"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4.4"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4.4"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4.4"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4.4"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4.4"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4.4"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4.4"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4.4"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4.4"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4.4"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4.4"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4.4"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4.4"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4.4"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4.4"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4.4"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4.4"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4.4"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4.4"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4.4"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4.4"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4.4"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4.4"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4.4"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4.4"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4.4"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4.4"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4.4"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4.4"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4.4"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4.4"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4.4"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4.4"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4.4"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4.4"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4.4"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4.4"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4.4"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4.4"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4.4"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4.4"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4.4"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4.4"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4.4"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4.4"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4.4"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4.4"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4.4"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4.4"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4.4"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4.4"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4.4"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4.4"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4.4"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4.4"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4.4"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4.4"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4.4"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4.4"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4.4"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4.4"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4.4"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4.4"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4.4"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4.4"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4.4"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4.4"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4.4"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4.4"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4.4"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4.4"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4.4"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4.4"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4.4"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4.4"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4.4"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4.4"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4.4"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4.4"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4.4"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4.4"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4.4"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4.4"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4.4"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4.4"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4.4"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4.4"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4.4"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4.4"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4.4"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4.4"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4.4"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4.4"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4.4"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4.4"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4.4"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4.4"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4.4"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4.4"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4.4"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4.4"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4.4"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4.4"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4.4"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4.4"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4.4"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4.4"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4.4"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4.4"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4.4"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4.4"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4.4"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4.4"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4.4"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4.4"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4.4"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4.4"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4.4"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4.4"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4.4"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4.4"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4.4"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4.4"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4.4"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4.4"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4.4"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4.4"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4.4"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4.4"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4.4"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4.4"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4.4"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4.4"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4.4"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4.4"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4.4"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4.4"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4.4"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4.4"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4.4"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4.4"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4.4"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4.4"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4.4"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4.4"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4.4"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4.4"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4.4"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4.4"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4.4"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4.4"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4.4"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4.4"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4.4"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4.4"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4.4"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4.4"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4.4"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4.4"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4.4"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4.4"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4.4"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4.4"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4.4"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4.4"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4.4"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4.4"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4.4"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4.4"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4.4"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4.4"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4.4"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4.4"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4.4"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4.4"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4.4"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4.4"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4.4"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4.4"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4.4"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4.4"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4.4"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4.4"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4.4"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4.4"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4.4"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4.4"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4.4"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4.4"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4.4"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4.4"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4.4"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4.4"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4.4"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4.4"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4.4"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4.4"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4.4"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4.4"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4.4"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4.4"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4.4"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4.4"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4.4"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4.4"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4.4"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4.4"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4.4"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4.4"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4.4"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4.4"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4.4"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4.4"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4.4"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4.4"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4.4"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4.4"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4.4"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4.4"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4.4"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4.4"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4.4"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4.4"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4.4"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4.4"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4.4"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4.4"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4.4"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4.4"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4.4"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4.4"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4.4"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4.4"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4.4"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4.4"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4.4"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4.4"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4.4"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4.4"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4.4"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4.4"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4.4"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4.4"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4.4"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4.4"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4.4"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4.4"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4.4"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4.4"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4.4"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4.4"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4.4"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4.4"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4.4"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4.4"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4.4"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4.4"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4.4"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4.4"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4.4"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4.4"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4.4"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4.4"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4.4"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4.4"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4.4"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4.4"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4.4"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4.4"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4.4"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4.4"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4.4"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4.4"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4.4"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4.4"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4.4"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4.4"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4.4"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4.4"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4.4"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4.4"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4.4"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4.4"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4.4"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4.4"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4.4"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4.4"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4.4"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4.4"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4.4"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4.4"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4.4"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4.4"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4.4"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4.4"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4.4"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4.4"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4.4"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4.4"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4.4"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4.4"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4.4"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4.4"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4.4"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4.4"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4.4"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4.4"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4.4"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4.4"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4.4"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4.4"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4.4"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4.4"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4.4"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4.4"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4.4"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4.4"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4.4"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4.4"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4.4"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4.4"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4.4"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4.4"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4.4"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4.4"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4.4"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4.4"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4.4"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4.4"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4.4"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4.4"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4.4"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4.4"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4.4"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4.4"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4.4"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4.4"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4.4"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4.4"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4.4"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4.4"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4.4"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4.4"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4.4"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4.4"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4.4"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4.4"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4.4"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4.4"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4.4"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4.4"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4.4"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4.4"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4.4"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4.4"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4.4"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4.4"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4.4"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4.4"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4.4"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4.4"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4.4"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4.4"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4.4"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4.4"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4.4"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4.4"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4.4"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4.4"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4.4"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4.4"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4.4"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4.4"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4.4"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4.4"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4.4"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4.4"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4.4"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4.4"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4.4"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4.4"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4.4"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4.4"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4.4"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4.4"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4.4"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4.4"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4.4"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4.4"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4.4"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4.4"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4.4"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4.4"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4.4"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4.4"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4.4"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4.4"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4.4"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4.4"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4.4"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4.4"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4.4"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4.4"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4.4"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4.4"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4.4"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4.4"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4.4"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4.4"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4.4"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4.4"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4.4"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4.4"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4.4"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4.4"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4.4"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4.4"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4.4"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4.4"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4.4"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4.4"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4.4"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4.4"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4.4"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4.4"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4.4"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4.4"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4.4"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4.4"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4.4"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4.4"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4.4"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4.4"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4.4"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4.4"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4.4"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4.4"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4.4"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4.4"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4.4"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4.4"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4.4"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4.4"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4.4"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4.4"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4.4"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4.4"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4.4"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4.4"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4.4"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4.4"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4.4"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4.4"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4.4"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4.4"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4.4"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4.4"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4.4"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4.4"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4.4"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4.4"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4.4"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4.4"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4.4"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4.4"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4.4"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4.4"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4.4"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4.4"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4.4"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4.4"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4.4"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4.4"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4.4"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4.4"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4.4"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4.4"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4.4"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4.4"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4.4"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4.4"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4.4"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4.4"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4.4"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4.4"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4.4"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4.4"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4.4"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4.4"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4.4"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4.4"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4.4"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4.4"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4.4"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4.4"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4.4"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4.4"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4.4"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4.4"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4.4"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4.4"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4.4"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4.4"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4.4"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4.4"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4.4"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4.4"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4.4"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4.4"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4.4"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4.4"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4.4"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4.4"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4.4"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4.4"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4.4"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4.4"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4.4"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4.4"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4.4"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4.4"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4.4"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4.4"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4.4"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4.4"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4.4"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4.4"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4.4"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4.4"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4.4"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4.4"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4.4"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4.4"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4.4"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4.4"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4.4"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4.4"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4.4"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4.4"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4.4"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4.4"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4.4"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4.4"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4.4"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4.4"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4.4"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4.4"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4.4"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4.4"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4.4"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4.4"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4.4"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4.4"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4.4"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4.4"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4.4"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4.4"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4.4"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4.4"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4.4"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4.4"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4.4"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4.4"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4.4"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4.4"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4.4"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4.4"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4.4"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4.4"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4.4"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4.4"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4.4"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4.4"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4.4"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4.4"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4.4"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4.4"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4.4"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4.4"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4.4"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4.4"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4.4"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4.4"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4.4"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4.4"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4.4"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4.4"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4.4"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4.4"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4.4"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4.4"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4.4"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4.4"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4.4"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4.4"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4.4"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4.4"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4.4"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4.4"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4.4"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4.4"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4.4"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4.4"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4.4"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4.4"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4.4"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4.4"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4.4"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4.4"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4.4"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4.4"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4.4"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4.4"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4.4"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4.4"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4.4"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4.4"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4.4"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4.4"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4.4"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4.4"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4.4"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4.4"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4.4"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4.4"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4.4"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4.4"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4.4"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4.4"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4.4"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4.4"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4.4"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4.4"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4.4"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4.4"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4.4"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4.4"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spans="1:29" ht="14.4"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spans="1:29" ht="14.4"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spans="1:29" ht="14.4"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spans="1:29" ht="14.4"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Resubmit</vt:lpstr>
      <vt:lpstr>Submission</vt:lpstr>
      <vt:lpstr>Unsure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Ioannidis, Konstantinos</dc:creator>
  <cp:lastModifiedBy>Ioannidis, Konstantinos</cp:lastModifiedBy>
  <dcterms:created xsi:type="dcterms:W3CDTF">2020-04-28T10:10:34Z</dcterms:created>
  <dcterms:modified xsi:type="dcterms:W3CDTF">2020-07-09T18:43:47Z</dcterms:modified>
</cp:coreProperties>
</file>