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active_repos/tristan_d2o/data/"/>
    </mc:Choice>
  </mc:AlternateContent>
  <xr:revisionPtr revIDLastSave="0" documentId="13_ncr:1_{1F28F3B9-6A05-BF4B-A4EA-E1ABDA480502}" xr6:coauthVersionLast="47" xr6:coauthVersionMax="47" xr10:uidLastSave="{00000000-0000-0000-0000-000000000000}"/>
  <bookViews>
    <workbookView xWindow="0" yWindow="500" windowWidth="28800" windowHeight="17500" xr2:uid="{30C1A410-91F4-E647-A14E-4A80B6817052}"/>
  </bookViews>
  <sheets>
    <sheet name="Sheet1" sheetId="1" r:id="rId1"/>
    <sheet name="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D16" i="1"/>
  <c r="E16" i="1"/>
  <c r="F13" i="1"/>
  <c r="F12" i="1"/>
  <c r="E6" i="1"/>
  <c r="D6" i="1"/>
  <c r="E27" i="1"/>
  <c r="D27" i="1"/>
  <c r="E24" i="1"/>
  <c r="D24" i="1"/>
  <c r="F24" i="1" s="1"/>
  <c r="E7" i="1"/>
  <c r="D7" i="1"/>
  <c r="E2" i="1"/>
  <c r="D2" i="1"/>
  <c r="F2" i="1" s="1"/>
  <c r="F6" i="1" l="1"/>
  <c r="F7" i="1"/>
  <c r="F27" i="1"/>
  <c r="D22" i="1"/>
  <c r="E22" i="1"/>
  <c r="F22" i="1"/>
  <c r="F19" i="1"/>
  <c r="E19" i="1"/>
  <c r="D19" i="1"/>
  <c r="F11" i="1"/>
  <c r="F4" i="1"/>
  <c r="F25" i="1"/>
  <c r="E8" i="1"/>
  <c r="D8" i="1"/>
  <c r="F9" i="1"/>
  <c r="E17" i="1"/>
  <c r="D17" i="1"/>
  <c r="E14" i="1"/>
  <c r="D14" i="1"/>
  <c r="E5" i="1"/>
  <c r="D5" i="1"/>
  <c r="E10" i="1"/>
  <c r="D10" i="1"/>
  <c r="E20" i="1"/>
  <c r="D20" i="1"/>
  <c r="E23" i="1"/>
  <c r="D23" i="1"/>
  <c r="E18" i="1"/>
  <c r="D18" i="1"/>
  <c r="E21" i="1"/>
  <c r="D21" i="1"/>
  <c r="E26" i="1"/>
  <c r="D26" i="1"/>
  <c r="F26" i="1" s="1"/>
  <c r="F8" i="1" l="1"/>
  <c r="F18" i="1"/>
  <c r="F20" i="1"/>
  <c r="F5" i="1"/>
  <c r="F17" i="1"/>
  <c r="F23" i="1"/>
  <c r="F14" i="1"/>
  <c r="F10" i="1"/>
  <c r="F21" i="1"/>
</calcChain>
</file>

<file path=xl/sharedStrings.xml><?xml version="1.0" encoding="utf-8"?>
<sst xmlns="http://schemas.openxmlformats.org/spreadsheetml/2006/main" count="245" uniqueCount="131">
  <si>
    <t>author</t>
  </si>
  <si>
    <t>n</t>
  </si>
  <si>
    <t>Spohn et al.</t>
  </si>
  <si>
    <t>method</t>
  </si>
  <si>
    <t>year</t>
  </si>
  <si>
    <t>https://www.sciencedirect.com/science/article/pii/S0038071716000316</t>
  </si>
  <si>
    <t>soil_type</t>
  </si>
  <si>
    <t>values_str</t>
  </si>
  <si>
    <t>agricultural</t>
  </si>
  <si>
    <t>197 - 322 days</t>
  </si>
  <si>
    <t>33 - 140 days</t>
  </si>
  <si>
    <t>forest</t>
  </si>
  <si>
    <t>grassland</t>
  </si>
  <si>
    <t>18O-DNA-SIP</t>
  </si>
  <si>
    <t>Koch et al.</t>
  </si>
  <si>
    <t>https://esajournals.onlinelibrary.wiley.com/doi/full/10.1002/ecs2.2090</t>
  </si>
  <si>
    <t>comment</t>
  </si>
  <si>
    <t>CO2</t>
  </si>
  <si>
    <t>Cheng</t>
  </si>
  <si>
    <t>https://www.sciencedirect.com/science/article/pii/S0038071708001429</t>
  </si>
  <si>
    <t>18 - 110 days</t>
  </si>
  <si>
    <t>82 - 95 days</t>
  </si>
  <si>
    <t>37 - 42 days</t>
  </si>
  <si>
    <t>14C labeling</t>
  </si>
  <si>
    <t>Kouno et al.</t>
  </si>
  <si>
    <t>https://www.sciencedirect.com/science/article/pii/S0038071701002188</t>
  </si>
  <si>
    <t>2.3 - 33 days</t>
  </si>
  <si>
    <t>TdR incorporation</t>
  </si>
  <si>
    <t>Leu incorporation</t>
  </si>
  <si>
    <t>Bååth</t>
  </si>
  <si>
    <t>https://link.springer.com/article/10.1007%2Fs002489900118</t>
  </si>
  <si>
    <t>multiple</t>
  </si>
  <si>
    <t>paper reported a range of turnover times</t>
  </si>
  <si>
    <t>paper reported a range of turnover times across crop soil conditions (unplanted, wheat, soybean)</t>
  </si>
  <si>
    <t>paper reported a net turnover time for biomass C</t>
  </si>
  <si>
    <t>paper reported a net turnover time for biomass P</t>
  </si>
  <si>
    <t xml:space="preserve">paper reported range and mean turnover times </t>
  </si>
  <si>
    <t>paper reported mean turnover time near moss with confidence interval at 10˚C (4˚C data omitted, bird nest data omitted)</t>
  </si>
  <si>
    <t>87 ± 84 days</t>
  </si>
  <si>
    <t>57 ± 49 days</t>
  </si>
  <si>
    <t>Antarctic</t>
  </si>
  <si>
    <t>Tibbles and Harris</t>
  </si>
  <si>
    <t>https://journals.asm.org/doi/abs/10.1128/aem.62.2.694-701.1996</t>
  </si>
  <si>
    <t>paper reported a mean turnover time</t>
  </si>
  <si>
    <t>https://link.springer.com/article/10.1007/BF00337747</t>
  </si>
  <si>
    <t>1994a</t>
  </si>
  <si>
    <t>1994b</t>
  </si>
  <si>
    <t>https://link.springer.com/content/pdf/10.1007/BF00182410.pdf</t>
  </si>
  <si>
    <t>Bloem et al.</t>
  </si>
  <si>
    <t>https://www.sciencedirect.com/science/article/pii/003807179290044X</t>
  </si>
  <si>
    <t>Carbon utilization efficiency (CUE)</t>
  </si>
  <si>
    <t>paper reports turnover rate range but emphasizes caution due to model being adapted from aquatic microbiology, needing further validation</t>
  </si>
  <si>
    <t>"About 1 and 2 day -1"</t>
  </si>
  <si>
    <t>https://www.sciencedirect.com/science/article/pii/0038071792900667</t>
  </si>
  <si>
    <t>conifer forest</t>
  </si>
  <si>
    <t>paper reports turnover time</t>
  </si>
  <si>
    <t>"3.5 days for bacteria from sandy loam and 4.8 days for bacteria from organic soil"</t>
  </si>
  <si>
    <t>paper reports annual turnover rate</t>
  </si>
  <si>
    <t>https://link.springer.com/article/10.1007/BF00260580</t>
  </si>
  <si>
    <t>Nitrogen budgeting</t>
  </si>
  <si>
    <t>Hunt et al.</t>
  </si>
  <si>
    <t>u_d_max</t>
  </si>
  <si>
    <t>u_d_min</t>
  </si>
  <si>
    <t>u_d_mn</t>
  </si>
  <si>
    <t>method_type</t>
  </si>
  <si>
    <t>Nutrient Budgeting</t>
  </si>
  <si>
    <t>URL</t>
  </si>
  <si>
    <t>DOI</t>
  </si>
  <si>
    <t>https://doi.org/10.1016/j.soilbio.2016.01.016</t>
  </si>
  <si>
    <t>https://doi.org/10.1002/ecs2.2090</t>
  </si>
  <si>
    <t>https://doi.org/10.1016/j.soilbio.2008.04.018</t>
  </si>
  <si>
    <t>https://doi.org/10.1016/S0038-0717(01)00218-8</t>
  </si>
  <si>
    <t>https://doi.org/10.1007/s002489900118</t>
  </si>
  <si>
    <t>https://doi.org/10.1128/aem.62.2.694-701.1996</t>
  </si>
  <si>
    <t>https://doi.org/10.1007/BF00337747</t>
  </si>
  <si>
    <t>https://doi.org/10.1007/BF00182410</t>
  </si>
  <si>
    <t>https://doi.org/10.1016/0038-0717(92)90044-X</t>
  </si>
  <si>
    <t>https://doi.org/10.1016/0038-0717(92)90066-7</t>
  </si>
  <si>
    <t>https://doi.org/10.1007/BF00260580</t>
  </si>
  <si>
    <t>Microscopy</t>
  </si>
  <si>
    <t>paper reported range and mean turnover times</t>
  </si>
  <si>
    <t>"Calculated bacterial turnover times at 20°C varied between 2.3 and 33 days (mean 9.3 days) using TdR incorporation data"</t>
  </si>
  <si>
    <t>"Calculated bacterial turnover times at 20˚C varied between …  2.1 and 13.1 days (mean 5.9 days) using Leu incorporation data"</t>
  </si>
  <si>
    <t>paper reports a range of turnover times for cells of different sizes. Here, the average turnover time for all cell sizes is taken, along with the average error. Specific TdR was calculated.</t>
  </si>
  <si>
    <t>paper reports a range of turnover times for cells of different sizes. Here, the average turnover time for all cell sizes is taken, along with the average error. Specific Leu was calculated.</t>
  </si>
  <si>
    <t>Turnover time (days), Table 3: Average of 2.4, 3.2, 4.9, 6.1, 13.6 = 6.04</t>
  </si>
  <si>
    <t>Turnover time (days), Table 2: Average of 3.8, 2.5, 4.5, 9.6, 32.4 = 4.2 ± 0.5</t>
  </si>
  <si>
    <t>"46.5% of leucine incorporated into total macromolecules found in protein, and the mean conversion factor given above, a turnover time of 4.3 days at 22˚C calculated"</t>
  </si>
  <si>
    <t>"3.5 days for bacteria from sandy loam"</t>
  </si>
  <si>
    <t xml:space="preserve"> "4.8 days for bacteria from organic soil".</t>
  </si>
  <si>
    <t>Li et al.</t>
  </si>
  <si>
    <t>conifer</t>
  </si>
  <si>
    <t>0.0012 ± 0.00005 h^-1</t>
  </si>
  <si>
    <t>0.00057 ± 0.00007 h^-1</t>
  </si>
  <si>
    <t>https://www.nature.com/articles/s41396-019-0422-z#Tab1</t>
  </si>
  <si>
    <t>https://doi.org/10.1038/s41396-019-0422-z</t>
  </si>
  <si>
    <t>Table 1: Growth rate median for grassland (unamended)</t>
  </si>
  <si>
    <t>Table 1: Growth rate median for mixed conifer forest (unamended)</t>
  </si>
  <si>
    <t>"These losses yield an overall
turnover rate of 1.8 year -i for microbes"</t>
  </si>
  <si>
    <t>"This is
equivalent to a turnover time of between 48 and 95 h
in the soil and 57 to 113 h in the humus."</t>
  </si>
  <si>
    <t>https://www.sciencedirect.com/science/article/pii/0038071790901602</t>
  </si>
  <si>
    <t>https://doi.org/10.1016/0038-0717(90)90160-2</t>
  </si>
  <si>
    <t>Harris and Paul</t>
  </si>
  <si>
    <t>https://www.sciencedirect.com/science/article/pii/0929139394900051#!</t>
  </si>
  <si>
    <t>https://doi.org/10.1016/0929-1393(94)90005-1</t>
  </si>
  <si>
    <t>" Based on thymidine incorporation the doubling time of the bacterial biomass at 25 °C was 160 days in soil from the corn soybean rotation and 107 days in the reversion
treatment."</t>
  </si>
  <si>
    <t>paper reports turnover time in hours</t>
  </si>
  <si>
    <t>paper reports doubling times based on TdR</t>
  </si>
  <si>
    <t>Paper reports turnover times for three soils using TdR</t>
  </si>
  <si>
    <t>Paper reports turnover times for three soils using Leu</t>
  </si>
  <si>
    <t>Uhlı́řová and Šantrůčková</t>
  </si>
  <si>
    <t>https://www.sciencedirect.com/science/article/pii/S0038071702002547#!</t>
  </si>
  <si>
    <t>https://doi.org/10.1016/S0038-0717(02)00254-7</t>
  </si>
  <si>
    <t>Figure 5: Turnover times of 1.09 and 1.25 years</t>
  </si>
  <si>
    <t>13C labeling</t>
  </si>
  <si>
    <t>Perelo and Munch</t>
  </si>
  <si>
    <t>https://www.sciencedirect.com/science/article/pii/S0038071705001550#fig5</t>
  </si>
  <si>
    <t>https://doi.org/10.1016/j.soilbio.2005.02.039</t>
  </si>
  <si>
    <t>Paper reports turnover times estimated from 13CO2 efflux</t>
  </si>
  <si>
    <t>paper reported a mean turnover rate of a soil microbial assemblage along with values from a 90% CI</t>
  </si>
  <si>
    <t>"Whole-assemblage turnover estimated via qSIP using the isotope substitution and growth model presented here had an average value of 0.287 d_x0001_1 (90% CI: 0.212–0.377 d_x0001_1)."</t>
  </si>
  <si>
    <t>Table 3: Values from Leu in slurries averaged: 2.8, 4.8, 8.3</t>
  </si>
  <si>
    <t>Table 3: Values from TdR in slurries averaged: 2.8 , 4.8, 8.3</t>
  </si>
  <si>
    <t>TdR/Leu</t>
  </si>
  <si>
    <t>DNA-SIP</t>
  </si>
  <si>
    <t>P labeling</t>
  </si>
  <si>
    <t>Turnover times reported</t>
  </si>
  <si>
    <t xml:space="preserve">Table 2: Average turnover time of bacteria: 11.0 ± 1.0 d </t>
  </si>
  <si>
    <t>Blazewicz</t>
  </si>
  <si>
    <t>https://esajournals.onlinelibrary.wiley.com/doi/full/10.1890/13-1031.1</t>
  </si>
  <si>
    <t>https://doi.org/10.1890/13-1031.1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</si>
</sst>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0" fontId="0" fillId="0" borderId="0" xfId="0" applyAlignment="1">
      <alignment wrapText="1"/>
    </xf>
    <xf numFmtId="0" fontId="1" fillId="0" borderId="0" xfId="1"/>
    <xf numFmtId="0" fontId="0" fillId="0" borderId="0" xfId="0" quotePrefix="1" applyAlignment="1">
      <alignment wrapText="1"/>
    </xf>
    <xf numFmtId="164" fontId="0" fillId="0" borderId="0" xfId="0" applyNumberForma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S0038-0717(01)00218-8" TargetMode="External"/><Relationship Id="rId13" Type="http://schemas.openxmlformats.org/officeDocument/2006/relationships/hyperlink" Target="https://doi.org/10.1128/aem.62.2.694-701.1996" TargetMode="External"/><Relationship Id="rId18" Type="http://schemas.openxmlformats.org/officeDocument/2006/relationships/hyperlink" Target="https://doi.org/10.1007/BF00182410" TargetMode="External"/><Relationship Id="rId26" Type="http://schemas.openxmlformats.org/officeDocument/2006/relationships/hyperlink" Target="https://doi.org/10.1016/j.soilbio.2005.02.039" TargetMode="External"/><Relationship Id="rId3" Type="http://schemas.openxmlformats.org/officeDocument/2006/relationships/hyperlink" Target="https://www.sciencedirect.com/science/article/pii/S0038071716000316" TargetMode="External"/><Relationship Id="rId21" Type="http://schemas.openxmlformats.org/officeDocument/2006/relationships/hyperlink" Target="https://doi.org/10.1007/BF00182410" TargetMode="External"/><Relationship Id="rId7" Type="http://schemas.openxmlformats.org/officeDocument/2006/relationships/hyperlink" Target="https://doi.org/10.1016/j.soilbio.2016.01.016" TargetMode="External"/><Relationship Id="rId12" Type="http://schemas.openxmlformats.org/officeDocument/2006/relationships/hyperlink" Target="https://doi.org/10.1128/aem.62.2.694-701.1996" TargetMode="External"/><Relationship Id="rId17" Type="http://schemas.openxmlformats.org/officeDocument/2006/relationships/hyperlink" Target="https://doi.org/10.1007/BF00260580" TargetMode="External"/><Relationship Id="rId25" Type="http://schemas.openxmlformats.org/officeDocument/2006/relationships/hyperlink" Target="https://doi.org/10.1016/S0038-0717(02)00254-7" TargetMode="External"/><Relationship Id="rId2" Type="http://schemas.openxmlformats.org/officeDocument/2006/relationships/hyperlink" Target="https://www.sciencedirect.com/science/article/pii/0038071792900667" TargetMode="External"/><Relationship Id="rId16" Type="http://schemas.openxmlformats.org/officeDocument/2006/relationships/hyperlink" Target="https://doi.org/10.1016/0038-0717(92)90066-7" TargetMode="External"/><Relationship Id="rId20" Type="http://schemas.openxmlformats.org/officeDocument/2006/relationships/hyperlink" Target="https://www.sciencedirect.com/science/article/pii/0038071792900667" TargetMode="External"/><Relationship Id="rId1" Type="http://schemas.openxmlformats.org/officeDocument/2006/relationships/hyperlink" Target="https://journals.asm.org/doi/abs/10.1128/aem.62.2.694-701.1996" TargetMode="External"/><Relationship Id="rId6" Type="http://schemas.openxmlformats.org/officeDocument/2006/relationships/hyperlink" Target="https://doi.org/10.1016/j.soilbio.2008.04.018" TargetMode="External"/><Relationship Id="rId11" Type="http://schemas.openxmlformats.org/officeDocument/2006/relationships/hyperlink" Target="https://doi.org/10.1007/s002489900118" TargetMode="External"/><Relationship Id="rId24" Type="http://schemas.openxmlformats.org/officeDocument/2006/relationships/hyperlink" Target="https://doi.org/10.1016/S0038-0717(02)00254-7" TargetMode="External"/><Relationship Id="rId5" Type="http://schemas.openxmlformats.org/officeDocument/2006/relationships/hyperlink" Target="https://doi.org/10.1002/ecs2.2090" TargetMode="External"/><Relationship Id="rId15" Type="http://schemas.openxmlformats.org/officeDocument/2006/relationships/hyperlink" Target="https://doi.org/10.1016/0038-0717(92)90066-7" TargetMode="External"/><Relationship Id="rId23" Type="http://schemas.openxmlformats.org/officeDocument/2006/relationships/hyperlink" Target="https://doi.org/10.1016/0929-1393(94)90005-1" TargetMode="External"/><Relationship Id="rId10" Type="http://schemas.openxmlformats.org/officeDocument/2006/relationships/hyperlink" Target="https://doi.org/10.1007/s002489900118" TargetMode="External"/><Relationship Id="rId19" Type="http://schemas.openxmlformats.org/officeDocument/2006/relationships/hyperlink" Target="https://doi.org/10.1016/0038-0717(92)90066-7" TargetMode="External"/><Relationship Id="rId4" Type="http://schemas.openxmlformats.org/officeDocument/2006/relationships/hyperlink" Target="https://doi.org/10.1016/j.soilbio.2016.01.016" TargetMode="External"/><Relationship Id="rId9" Type="http://schemas.openxmlformats.org/officeDocument/2006/relationships/hyperlink" Target="https://doi.org/10.1016/S0038-0717(01)00218-8" TargetMode="External"/><Relationship Id="rId14" Type="http://schemas.openxmlformats.org/officeDocument/2006/relationships/hyperlink" Target="https://doi.org/10.1007/BF00337747" TargetMode="External"/><Relationship Id="rId22" Type="http://schemas.openxmlformats.org/officeDocument/2006/relationships/hyperlink" Target="https://doi.org/10.1016/0038-0717(92)90066-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0038-0717(92)90044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C3ED-CFCD-1144-99D6-4757BE5B4ABB}">
  <dimension ref="A1:M27"/>
  <sheetViews>
    <sheetView tabSelected="1" topLeftCell="G1" zoomScale="90" zoomScaleNormal="90" workbookViewId="0">
      <pane ySplit="1" topLeftCell="A18" activePane="bottomLeft" state="frozen"/>
      <selection pane="bottomLeft" activeCell="T9" sqref="T9"/>
    </sheetView>
  </sheetViews>
  <sheetFormatPr baseColWidth="10" defaultRowHeight="16" x14ac:dyDescent="0.2"/>
  <cols>
    <col min="2" max="2" width="26.6640625" style="3" customWidth="1"/>
    <col min="3" max="3" width="29.33203125" style="3" customWidth="1"/>
    <col min="4" max="5" width="13.83203125" style="1" customWidth="1"/>
    <col min="6" max="6" width="20.1640625" style="1" customWidth="1"/>
    <col min="7" max="7" width="20.1640625" customWidth="1"/>
    <col min="8" max="8" width="29.5" bestFit="1" customWidth="1"/>
    <col min="9" max="9" width="17" bestFit="1" customWidth="1"/>
    <col min="10" max="10" width="12.1640625" style="3" customWidth="1"/>
    <col min="12" max="12" width="10.83203125" customWidth="1"/>
  </cols>
  <sheetData>
    <row r="1" spans="1:13" s="7" customFormat="1" ht="17" x14ac:dyDescent="0.2">
      <c r="A1" s="7" t="s">
        <v>1</v>
      </c>
      <c r="B1" s="8" t="s">
        <v>16</v>
      </c>
      <c r="C1" s="8" t="s">
        <v>7</v>
      </c>
      <c r="D1" s="9" t="s">
        <v>61</v>
      </c>
      <c r="E1" s="9" t="s">
        <v>62</v>
      </c>
      <c r="F1" s="9" t="s">
        <v>63</v>
      </c>
      <c r="G1" s="7" t="s">
        <v>6</v>
      </c>
      <c r="H1" s="7" t="s">
        <v>3</v>
      </c>
      <c r="I1" s="9" t="s">
        <v>64</v>
      </c>
      <c r="J1" s="8" t="s">
        <v>0</v>
      </c>
      <c r="K1" s="7" t="s">
        <v>4</v>
      </c>
      <c r="L1" s="7" t="s">
        <v>66</v>
      </c>
      <c r="M1" s="7" t="s">
        <v>67</v>
      </c>
    </row>
    <row r="2" spans="1:13" ht="85" x14ac:dyDescent="0.2">
      <c r="A2">
        <v>4</v>
      </c>
      <c r="B2" s="3" t="s">
        <v>106</v>
      </c>
      <c r="C2" s="3" t="s">
        <v>99</v>
      </c>
      <c r="D2" s="1">
        <f>1/(48/24)</f>
        <v>0.5</v>
      </c>
      <c r="E2" s="1">
        <f>1/(113/24)</f>
        <v>0.21238938053097348</v>
      </c>
      <c r="F2" s="1">
        <f>AVERAGE(D2,E2)</f>
        <v>0.35619469026548672</v>
      </c>
      <c r="G2" t="s">
        <v>31</v>
      </c>
      <c r="H2" t="s">
        <v>27</v>
      </c>
      <c r="I2" t="s">
        <v>123</v>
      </c>
      <c r="J2" s="3" t="s">
        <v>29</v>
      </c>
      <c r="K2">
        <v>1990</v>
      </c>
      <c r="L2" t="s">
        <v>100</v>
      </c>
      <c r="M2" t="s">
        <v>101</v>
      </c>
    </row>
    <row r="3" spans="1:13" ht="102" x14ac:dyDescent="0.2">
      <c r="A3">
        <v>5</v>
      </c>
      <c r="B3" s="3" t="s">
        <v>119</v>
      </c>
      <c r="C3" s="3" t="s">
        <v>120</v>
      </c>
      <c r="D3" s="1">
        <v>0.377</v>
      </c>
      <c r="E3" s="1">
        <v>0.21199999999999999</v>
      </c>
      <c r="F3" s="1">
        <v>0.28699999999999998</v>
      </c>
      <c r="G3" t="s">
        <v>12</v>
      </c>
      <c r="H3" t="s">
        <v>13</v>
      </c>
      <c r="I3" t="s">
        <v>124</v>
      </c>
      <c r="J3" s="3" t="s">
        <v>14</v>
      </c>
      <c r="K3">
        <v>2018</v>
      </c>
      <c r="L3" t="s">
        <v>15</v>
      </c>
      <c r="M3" s="4" t="s">
        <v>69</v>
      </c>
    </row>
    <row r="4" spans="1:13" ht="34" x14ac:dyDescent="0.2">
      <c r="A4">
        <v>6</v>
      </c>
      <c r="B4" s="3" t="s">
        <v>55</v>
      </c>
      <c r="C4" s="3" t="s">
        <v>88</v>
      </c>
      <c r="F4" s="1">
        <f>1/3.5</f>
        <v>0.2857142857142857</v>
      </c>
      <c r="G4" t="s">
        <v>54</v>
      </c>
      <c r="H4" t="s">
        <v>27</v>
      </c>
      <c r="I4" t="s">
        <v>123</v>
      </c>
      <c r="J4" s="3" t="s">
        <v>29</v>
      </c>
      <c r="K4">
        <v>1992</v>
      </c>
      <c r="L4" t="s">
        <v>53</v>
      </c>
      <c r="M4" s="4" t="s">
        <v>77</v>
      </c>
    </row>
    <row r="5" spans="1:13" ht="85" x14ac:dyDescent="0.2">
      <c r="A5">
        <v>7</v>
      </c>
      <c r="B5" s="3" t="s">
        <v>36</v>
      </c>
      <c r="C5" s="3" t="s">
        <v>82</v>
      </c>
      <c r="D5" s="1">
        <f>1/2.1</f>
        <v>0.47619047619047616</v>
      </c>
      <c r="E5" s="1">
        <f>1/13.1</f>
        <v>7.6335877862595422E-2</v>
      </c>
      <c r="F5" s="1">
        <f>AVERAGE(D5:E5)</f>
        <v>0.2762631770265358</v>
      </c>
      <c r="G5" t="s">
        <v>31</v>
      </c>
      <c r="H5" t="s">
        <v>28</v>
      </c>
      <c r="I5" t="s">
        <v>123</v>
      </c>
      <c r="J5" s="3" t="s">
        <v>29</v>
      </c>
      <c r="K5">
        <v>1998</v>
      </c>
      <c r="L5" t="s">
        <v>30</v>
      </c>
      <c r="M5" s="4" t="s">
        <v>72</v>
      </c>
    </row>
    <row r="6" spans="1:13" ht="51" x14ac:dyDescent="0.2">
      <c r="A6">
        <v>8</v>
      </c>
      <c r="B6" s="3" t="s">
        <v>55</v>
      </c>
      <c r="C6" s="3" t="s">
        <v>56</v>
      </c>
      <c r="D6" s="1">
        <f>1/3.5</f>
        <v>0.2857142857142857</v>
      </c>
      <c r="E6" s="1">
        <f>1/4.8</f>
        <v>0.20833333333333334</v>
      </c>
      <c r="F6" s="1">
        <f>AVERAGE(D6,E6)</f>
        <v>0.24702380952380953</v>
      </c>
      <c r="G6" t="s">
        <v>8</v>
      </c>
      <c r="H6" t="s">
        <v>27</v>
      </c>
      <c r="I6" t="s">
        <v>123</v>
      </c>
      <c r="J6" s="3" t="s">
        <v>29</v>
      </c>
      <c r="K6">
        <v>1992</v>
      </c>
      <c r="L6" s="4" t="s">
        <v>53</v>
      </c>
      <c r="M6" s="4" t="s">
        <v>77</v>
      </c>
    </row>
    <row r="7" spans="1:13" ht="119" x14ac:dyDescent="0.2">
      <c r="A7">
        <v>9</v>
      </c>
      <c r="B7" s="3" t="s">
        <v>84</v>
      </c>
      <c r="C7" s="3" t="s">
        <v>85</v>
      </c>
      <c r="D7" s="1">
        <f>1/2.4</f>
        <v>0.41666666666666669</v>
      </c>
      <c r="E7" s="1">
        <f>1/13.6</f>
        <v>7.3529411764705885E-2</v>
      </c>
      <c r="F7" s="1">
        <f>AVERAGE(D7,E7)</f>
        <v>0.24509803921568629</v>
      </c>
      <c r="G7" t="s">
        <v>8</v>
      </c>
      <c r="H7" t="s">
        <v>27</v>
      </c>
      <c r="I7" t="s">
        <v>123</v>
      </c>
      <c r="J7" s="3" t="s">
        <v>29</v>
      </c>
      <c r="K7" t="s">
        <v>46</v>
      </c>
      <c r="L7" t="s">
        <v>47</v>
      </c>
      <c r="M7" s="4" t="s">
        <v>75</v>
      </c>
    </row>
    <row r="8" spans="1:13" ht="119" x14ac:dyDescent="0.2">
      <c r="A8">
        <v>10</v>
      </c>
      <c r="B8" s="3" t="s">
        <v>83</v>
      </c>
      <c r="C8" s="3" t="s">
        <v>86</v>
      </c>
      <c r="D8" s="1">
        <f>1/3.7</f>
        <v>0.27027027027027023</v>
      </c>
      <c r="E8" s="1">
        <f>1/4.7</f>
        <v>0.21276595744680851</v>
      </c>
      <c r="F8" s="1">
        <f>AVERAGE(D8:E8)</f>
        <v>0.24151811385853938</v>
      </c>
      <c r="G8" t="s">
        <v>8</v>
      </c>
      <c r="H8" t="s">
        <v>27</v>
      </c>
      <c r="I8" t="s">
        <v>123</v>
      </c>
      <c r="J8" s="3" t="s">
        <v>29</v>
      </c>
      <c r="K8" t="s">
        <v>46</v>
      </c>
      <c r="L8" t="s">
        <v>47</v>
      </c>
      <c r="M8" s="4" t="s">
        <v>75</v>
      </c>
    </row>
    <row r="9" spans="1:13" ht="102" x14ac:dyDescent="0.2">
      <c r="A9">
        <v>11</v>
      </c>
      <c r="B9" s="3" t="s">
        <v>43</v>
      </c>
      <c r="C9" s="3" t="s">
        <v>87</v>
      </c>
      <c r="F9" s="1">
        <f>1/4.3</f>
        <v>0.23255813953488372</v>
      </c>
      <c r="G9" s="1" t="s">
        <v>8</v>
      </c>
      <c r="H9" s="1" t="s">
        <v>28</v>
      </c>
      <c r="I9" t="s">
        <v>123</v>
      </c>
      <c r="J9" s="3" t="s">
        <v>29</v>
      </c>
      <c r="K9" t="s">
        <v>45</v>
      </c>
      <c r="L9" t="s">
        <v>44</v>
      </c>
      <c r="M9" s="4" t="s">
        <v>74</v>
      </c>
    </row>
    <row r="10" spans="1:13" ht="34" x14ac:dyDescent="0.2">
      <c r="A10">
        <v>12</v>
      </c>
      <c r="B10" s="3" t="s">
        <v>36</v>
      </c>
      <c r="C10" s="3" t="s">
        <v>26</v>
      </c>
      <c r="D10" s="1">
        <f>1/2.3</f>
        <v>0.43478260869565222</v>
      </c>
      <c r="E10" s="1">
        <f>1/33</f>
        <v>3.0303030303030304E-2</v>
      </c>
      <c r="F10" s="1">
        <f>AVERAGE(D10:E10)</f>
        <v>0.23254281949934125</v>
      </c>
      <c r="G10" t="s">
        <v>31</v>
      </c>
      <c r="H10" t="s">
        <v>27</v>
      </c>
      <c r="I10" t="s">
        <v>123</v>
      </c>
      <c r="J10" s="3" t="s">
        <v>29</v>
      </c>
      <c r="K10">
        <v>1998</v>
      </c>
      <c r="L10" t="s">
        <v>30</v>
      </c>
      <c r="M10" s="4" t="s">
        <v>72</v>
      </c>
    </row>
    <row r="11" spans="1:13" ht="34" x14ac:dyDescent="0.2">
      <c r="A11">
        <v>13</v>
      </c>
      <c r="B11" s="3" t="s">
        <v>55</v>
      </c>
      <c r="C11" s="3" t="s">
        <v>89</v>
      </c>
      <c r="F11" s="1">
        <f>1/4.8</f>
        <v>0.20833333333333334</v>
      </c>
      <c r="G11" t="s">
        <v>54</v>
      </c>
      <c r="H11" t="s">
        <v>27</v>
      </c>
      <c r="I11" t="s">
        <v>123</v>
      </c>
      <c r="J11" s="3" t="s">
        <v>29</v>
      </c>
      <c r="K11">
        <v>1992</v>
      </c>
      <c r="L11" t="s">
        <v>53</v>
      </c>
      <c r="M11" s="4" t="s">
        <v>77</v>
      </c>
    </row>
    <row r="12" spans="1:13" ht="34" x14ac:dyDescent="0.2">
      <c r="A12">
        <v>14</v>
      </c>
      <c r="B12" s="3" t="s">
        <v>109</v>
      </c>
      <c r="C12" s="3" t="s">
        <v>121</v>
      </c>
      <c r="F12" s="1">
        <f>1/AVERAGE(2.8, 4.8, 8.3)</f>
        <v>0.18867924528301888</v>
      </c>
      <c r="G12" t="s">
        <v>31</v>
      </c>
      <c r="H12" s="1" t="s">
        <v>28</v>
      </c>
      <c r="I12" t="s">
        <v>123</v>
      </c>
      <c r="J12" s="3" t="s">
        <v>110</v>
      </c>
      <c r="K12">
        <v>2003</v>
      </c>
      <c r="L12" t="s">
        <v>111</v>
      </c>
      <c r="M12" s="4" t="s">
        <v>112</v>
      </c>
    </row>
    <row r="13" spans="1:13" ht="34" x14ac:dyDescent="0.2">
      <c r="A13">
        <v>15</v>
      </c>
      <c r="B13" s="3" t="s">
        <v>108</v>
      </c>
      <c r="C13" s="3" t="s">
        <v>122</v>
      </c>
      <c r="F13" s="1">
        <f>1/AVERAGE(2.8, 4.8, 8.3)</f>
        <v>0.18867924528301888</v>
      </c>
      <c r="G13" t="s">
        <v>31</v>
      </c>
      <c r="H13" t="s">
        <v>27</v>
      </c>
      <c r="I13" t="s">
        <v>123</v>
      </c>
      <c r="J13" s="3" t="s">
        <v>110</v>
      </c>
      <c r="K13">
        <v>2003</v>
      </c>
      <c r="L13" t="s">
        <v>111</v>
      </c>
      <c r="M13" s="4" t="s">
        <v>112</v>
      </c>
    </row>
    <row r="14" spans="1:13" ht="85" x14ac:dyDescent="0.2">
      <c r="A14">
        <v>16</v>
      </c>
      <c r="B14" s="3" t="s">
        <v>37</v>
      </c>
      <c r="C14" s="3" t="s">
        <v>38</v>
      </c>
      <c r="D14" s="1">
        <f>1/3</f>
        <v>0.33333333333333331</v>
      </c>
      <c r="E14" s="1">
        <f>1/(87+84)</f>
        <v>5.8479532163742687E-3</v>
      </c>
      <c r="F14" s="1">
        <f>AVERAGE(D14:E14)</f>
        <v>0.16959064327485379</v>
      </c>
      <c r="G14" t="s">
        <v>40</v>
      </c>
      <c r="H14" t="s">
        <v>27</v>
      </c>
      <c r="I14" t="s">
        <v>123</v>
      </c>
      <c r="J14" s="3" t="s">
        <v>41</v>
      </c>
      <c r="K14">
        <v>1996</v>
      </c>
      <c r="L14" s="4" t="s">
        <v>42</v>
      </c>
      <c r="M14" s="4" t="s">
        <v>73</v>
      </c>
    </row>
    <row r="15" spans="1:13" ht="68" x14ac:dyDescent="0.2">
      <c r="A15">
        <v>17</v>
      </c>
      <c r="B15" s="3" t="s">
        <v>80</v>
      </c>
      <c r="C15" s="3" t="s">
        <v>81</v>
      </c>
      <c r="D15" s="1">
        <v>3.0303030299999999E-2</v>
      </c>
      <c r="E15" s="1">
        <v>0.43478260870000002</v>
      </c>
      <c r="F15" s="1">
        <v>0.10752688169999999</v>
      </c>
      <c r="G15" t="s">
        <v>31</v>
      </c>
      <c r="H15" t="s">
        <v>27</v>
      </c>
      <c r="I15" t="s">
        <v>123</v>
      </c>
      <c r="J15" s="3" t="s">
        <v>29</v>
      </c>
      <c r="K15">
        <v>1992</v>
      </c>
      <c r="L15" s="4" t="s">
        <v>53</v>
      </c>
      <c r="M15" s="4" t="s">
        <v>77</v>
      </c>
    </row>
    <row r="16" spans="1:13" ht="34" x14ac:dyDescent="0.2">
      <c r="A16">
        <v>18</v>
      </c>
      <c r="B16" s="3" t="s">
        <v>126</v>
      </c>
      <c r="C16" s="3" t="s">
        <v>127</v>
      </c>
      <c r="D16" s="1">
        <f>1/10</f>
        <v>0.1</v>
      </c>
      <c r="E16" s="1">
        <f>1/(12)</f>
        <v>8.3333333333333329E-2</v>
      </c>
      <c r="F16" s="1">
        <v>9.0909090909090912E-2</v>
      </c>
      <c r="G16" t="s">
        <v>12</v>
      </c>
      <c r="H16" t="s">
        <v>13</v>
      </c>
      <c r="I16" t="s">
        <v>124</v>
      </c>
      <c r="J16" s="3" t="s">
        <v>128</v>
      </c>
      <c r="K16">
        <v>2014</v>
      </c>
      <c r="L16" t="s">
        <v>129</v>
      </c>
      <c r="M16" t="s">
        <v>130</v>
      </c>
    </row>
    <row r="17" spans="1:13" ht="85" x14ac:dyDescent="0.2">
      <c r="A17">
        <v>19</v>
      </c>
      <c r="B17" s="3" t="s">
        <v>37</v>
      </c>
      <c r="C17" s="3" t="s">
        <v>39</v>
      </c>
      <c r="D17" s="1">
        <f>1/(57-49)</f>
        <v>0.125</v>
      </c>
      <c r="E17" s="1">
        <f>1/(57+49)</f>
        <v>9.433962264150943E-3</v>
      </c>
      <c r="F17" s="1">
        <f>AVERAGE(D17:E17)</f>
        <v>6.7216981132075471E-2</v>
      </c>
      <c r="G17" t="s">
        <v>40</v>
      </c>
      <c r="H17" t="s">
        <v>28</v>
      </c>
      <c r="I17" t="s">
        <v>123</v>
      </c>
      <c r="J17" s="3" t="s">
        <v>41</v>
      </c>
      <c r="K17">
        <v>1996</v>
      </c>
      <c r="L17" t="s">
        <v>42</v>
      </c>
      <c r="M17" s="4" t="s">
        <v>73</v>
      </c>
    </row>
    <row r="18" spans="1:13" ht="68" x14ac:dyDescent="0.2">
      <c r="A18">
        <v>20</v>
      </c>
      <c r="B18" s="3" t="s">
        <v>33</v>
      </c>
      <c r="C18" s="3" t="s">
        <v>20</v>
      </c>
      <c r="D18" s="1">
        <f>1/18</f>
        <v>5.5555555555555552E-2</v>
      </c>
      <c r="E18" s="1">
        <f>1/110</f>
        <v>9.0909090909090905E-3</v>
      </c>
      <c r="F18" s="1">
        <f>AVERAGE(D18:E18)</f>
        <v>3.2323232323232323E-2</v>
      </c>
      <c r="G18" t="s">
        <v>8</v>
      </c>
      <c r="H18" t="s">
        <v>17</v>
      </c>
      <c r="I18" t="s">
        <v>65</v>
      </c>
      <c r="J18" s="3" t="s">
        <v>18</v>
      </c>
      <c r="K18">
        <v>2009</v>
      </c>
      <c r="L18" t="s">
        <v>19</v>
      </c>
      <c r="M18" s="4" t="s">
        <v>70</v>
      </c>
    </row>
    <row r="19" spans="1:13" ht="51" x14ac:dyDescent="0.2">
      <c r="A19">
        <v>21</v>
      </c>
      <c r="B19" s="3" t="s">
        <v>97</v>
      </c>
      <c r="C19" s="3" t="s">
        <v>92</v>
      </c>
      <c r="D19" s="1">
        <f>(0.0012+0.00005)*24</f>
        <v>2.9999999999999995E-2</v>
      </c>
      <c r="E19" s="1">
        <f>(0.0012-0.00005)*24</f>
        <v>2.76E-2</v>
      </c>
      <c r="F19" s="1">
        <f>0.0012*24</f>
        <v>2.8799999999999999E-2</v>
      </c>
      <c r="G19" t="s">
        <v>91</v>
      </c>
      <c r="H19" t="s">
        <v>13</v>
      </c>
      <c r="I19" t="s">
        <v>124</v>
      </c>
      <c r="J19" s="3" t="s">
        <v>90</v>
      </c>
      <c r="K19">
        <v>2019</v>
      </c>
      <c r="L19" t="s">
        <v>94</v>
      </c>
      <c r="M19" s="4" t="s">
        <v>95</v>
      </c>
    </row>
    <row r="20" spans="1:13" ht="34" x14ac:dyDescent="0.2">
      <c r="A20">
        <v>22</v>
      </c>
      <c r="B20" s="3" t="s">
        <v>35</v>
      </c>
      <c r="C20" s="3" t="s">
        <v>22</v>
      </c>
      <c r="D20" s="1">
        <f>1/37</f>
        <v>2.7027027027027029E-2</v>
      </c>
      <c r="E20" s="1">
        <f>1/42</f>
        <v>2.3809523809523808E-2</v>
      </c>
      <c r="F20" s="1">
        <f>AVERAGE(D20:E20)</f>
        <v>2.5418275418275418E-2</v>
      </c>
      <c r="G20" t="s">
        <v>8</v>
      </c>
      <c r="H20" t="s">
        <v>125</v>
      </c>
      <c r="I20" t="s">
        <v>65</v>
      </c>
      <c r="J20" s="3" t="s">
        <v>24</v>
      </c>
      <c r="K20">
        <v>2002</v>
      </c>
      <c r="L20" t="s">
        <v>25</v>
      </c>
      <c r="M20" s="4" t="s">
        <v>71</v>
      </c>
    </row>
    <row r="21" spans="1:13" ht="34" x14ac:dyDescent="0.2">
      <c r="A21">
        <v>23</v>
      </c>
      <c r="B21" s="3" t="s">
        <v>32</v>
      </c>
      <c r="C21" s="3" t="s">
        <v>10</v>
      </c>
      <c r="D21" s="1">
        <f>1/33</f>
        <v>3.0303030303030304E-2</v>
      </c>
      <c r="E21" s="1">
        <f>1/140</f>
        <v>7.1428571428571426E-3</v>
      </c>
      <c r="F21" s="1">
        <f>AVERAGE(D21:E21)</f>
        <v>1.8722943722943725E-2</v>
      </c>
      <c r="G21" t="s">
        <v>11</v>
      </c>
      <c r="H21" t="s">
        <v>50</v>
      </c>
      <c r="I21" t="s">
        <v>65</v>
      </c>
      <c r="J21" s="3" t="s">
        <v>2</v>
      </c>
      <c r="K21">
        <v>2016</v>
      </c>
      <c r="L21" t="s">
        <v>5</v>
      </c>
      <c r="M21" s="4" t="s">
        <v>68</v>
      </c>
    </row>
    <row r="22" spans="1:13" ht="34" x14ac:dyDescent="0.2">
      <c r="A22">
        <v>24</v>
      </c>
      <c r="B22" s="3" t="s">
        <v>96</v>
      </c>
      <c r="C22" s="3" t="s">
        <v>93</v>
      </c>
      <c r="D22" s="1">
        <f>0.00057+0.00007</f>
        <v>6.3999999999999994E-4</v>
      </c>
      <c r="E22" s="1">
        <f xml:space="preserve"> 0.00057-0.00007</f>
        <v>5.0000000000000001E-4</v>
      </c>
      <c r="F22" s="1">
        <f>0.00057*24</f>
        <v>1.3679999999999999E-2</v>
      </c>
      <c r="G22" t="s">
        <v>12</v>
      </c>
      <c r="H22" t="s">
        <v>13</v>
      </c>
      <c r="I22" t="s">
        <v>124</v>
      </c>
      <c r="J22" s="3" t="s">
        <v>90</v>
      </c>
      <c r="K22">
        <v>2019</v>
      </c>
      <c r="L22" t="s">
        <v>94</v>
      </c>
      <c r="M22" s="4" t="s">
        <v>95</v>
      </c>
    </row>
    <row r="23" spans="1:13" ht="34" x14ac:dyDescent="0.2">
      <c r="A23">
        <v>25</v>
      </c>
      <c r="B23" s="3" t="s">
        <v>34</v>
      </c>
      <c r="C23" s="3" t="s">
        <v>21</v>
      </c>
      <c r="D23" s="1">
        <f>1/82</f>
        <v>1.2195121951219513E-2</v>
      </c>
      <c r="E23" s="1">
        <f>1/95</f>
        <v>1.0526315789473684E-2</v>
      </c>
      <c r="F23" s="1">
        <f>AVERAGE(D23:E23)</f>
        <v>1.1360718870346599E-2</v>
      </c>
      <c r="G23" t="s">
        <v>8</v>
      </c>
      <c r="H23" t="s">
        <v>23</v>
      </c>
      <c r="I23" t="s">
        <v>65</v>
      </c>
      <c r="J23" s="3" t="s">
        <v>24</v>
      </c>
      <c r="K23">
        <v>2002</v>
      </c>
      <c r="L23" t="s">
        <v>25</v>
      </c>
      <c r="M23" s="4" t="s">
        <v>71</v>
      </c>
    </row>
    <row r="24" spans="1:13" ht="119" x14ac:dyDescent="0.2">
      <c r="A24">
        <v>26</v>
      </c>
      <c r="B24" s="3" t="s">
        <v>107</v>
      </c>
      <c r="C24" s="3" t="s">
        <v>105</v>
      </c>
      <c r="D24" s="1">
        <f>LN(2)/160</f>
        <v>4.3321698784996579E-3</v>
      </c>
      <c r="E24" s="1">
        <f>LN(2)/107</f>
        <v>6.4780110332705171E-3</v>
      </c>
      <c r="F24" s="1">
        <f>AVERAGE(D24,E24)</f>
        <v>5.4050904558850879E-3</v>
      </c>
      <c r="G24" t="s">
        <v>31</v>
      </c>
      <c r="H24" t="s">
        <v>27</v>
      </c>
      <c r="I24" t="s">
        <v>123</v>
      </c>
      <c r="J24" s="3" t="s">
        <v>102</v>
      </c>
      <c r="K24">
        <v>1994</v>
      </c>
      <c r="L24" t="s">
        <v>103</v>
      </c>
      <c r="M24" s="4" t="s">
        <v>104</v>
      </c>
    </row>
    <row r="25" spans="1:13" ht="51" x14ac:dyDescent="0.2">
      <c r="A25">
        <v>27</v>
      </c>
      <c r="B25" s="3" t="s">
        <v>57</v>
      </c>
      <c r="C25" s="3" t="s">
        <v>98</v>
      </c>
      <c r="F25" s="1">
        <f>1.8/365</f>
        <v>4.9315068493150684E-3</v>
      </c>
      <c r="G25" s="1" t="s">
        <v>12</v>
      </c>
      <c r="H25" s="1" t="s">
        <v>59</v>
      </c>
      <c r="I25" t="s">
        <v>65</v>
      </c>
      <c r="J25" s="6" t="s">
        <v>60</v>
      </c>
      <c r="K25">
        <v>1987</v>
      </c>
      <c r="L25" t="s">
        <v>58</v>
      </c>
      <c r="M25" s="4" t="s">
        <v>78</v>
      </c>
    </row>
    <row r="26" spans="1:13" ht="34" x14ac:dyDescent="0.2">
      <c r="A26">
        <v>28</v>
      </c>
      <c r="B26" s="3" t="s">
        <v>32</v>
      </c>
      <c r="C26" s="5" t="s">
        <v>9</v>
      </c>
      <c r="D26" s="2">
        <f>1/197</f>
        <v>5.076142131979695E-3</v>
      </c>
      <c r="E26" s="2">
        <f>1/322</f>
        <v>3.105590062111801E-3</v>
      </c>
      <c r="F26" s="1">
        <f>AVERAGE(D26:E26)</f>
        <v>4.0908660970457485E-3</v>
      </c>
      <c r="G26" t="s">
        <v>8</v>
      </c>
      <c r="H26" t="s">
        <v>50</v>
      </c>
      <c r="I26" t="s">
        <v>65</v>
      </c>
      <c r="J26" s="3" t="s">
        <v>2</v>
      </c>
      <c r="K26">
        <v>2016</v>
      </c>
      <c r="L26" s="4" t="s">
        <v>5</v>
      </c>
      <c r="M26" s="4" t="s">
        <v>68</v>
      </c>
    </row>
    <row r="27" spans="1:13" ht="34" x14ac:dyDescent="0.2">
      <c r="A27">
        <v>29</v>
      </c>
      <c r="B27" s="3" t="s">
        <v>118</v>
      </c>
      <c r="C27" s="3" t="s">
        <v>113</v>
      </c>
      <c r="D27" s="1">
        <f>1/(1.09*365)</f>
        <v>2.5135101168782203E-3</v>
      </c>
      <c r="E27" s="1">
        <f>1/(1.25*365)</f>
        <v>2.1917808219178081E-3</v>
      </c>
      <c r="F27" s="1">
        <f>AVERAGE(D27,E27)</f>
        <v>2.3526454693980139E-3</v>
      </c>
      <c r="G27" t="s">
        <v>31</v>
      </c>
      <c r="H27" s="1" t="s">
        <v>114</v>
      </c>
      <c r="I27" t="s">
        <v>65</v>
      </c>
      <c r="J27" s="3" t="s">
        <v>115</v>
      </c>
      <c r="K27">
        <v>2005</v>
      </c>
      <c r="L27" t="s">
        <v>116</v>
      </c>
      <c r="M27" s="4" t="s">
        <v>117</v>
      </c>
    </row>
  </sheetData>
  <sortState xmlns:xlrd2="http://schemas.microsoft.com/office/spreadsheetml/2017/richdata2" ref="A2:M27">
    <sortCondition descending="1" ref="F2:F27"/>
  </sortState>
  <hyperlinks>
    <hyperlink ref="L14" r:id="rId1" xr:uid="{BA20B0E2-8EBA-354B-A0D6-9663E24C2B15}"/>
    <hyperlink ref="L6" r:id="rId2" xr:uid="{859FA00A-B230-8A49-939F-8B8D7FB22655}"/>
    <hyperlink ref="L26" r:id="rId3" xr:uid="{4D28A72C-D36D-4342-8DA6-05A62316B304}"/>
    <hyperlink ref="M26" r:id="rId4" tooltip="Persistent link using digital object identifier" xr:uid="{0D262090-FC0D-7A4A-AC2D-C7023C36E8BC}"/>
    <hyperlink ref="M3" r:id="rId5" xr:uid="{99A66A11-D5C2-444D-BF93-1E12B3783611}"/>
    <hyperlink ref="M18" r:id="rId6" tooltip="Persistent link using digital object identifier" xr:uid="{E8B0B9B3-5416-084C-91EF-710A5AFCC244}"/>
    <hyperlink ref="M21" r:id="rId7" tooltip="Persistent link using digital object identifier" xr:uid="{726D9A59-0DE8-194D-B7E6-A15423451492}"/>
    <hyperlink ref="M23" r:id="rId8" tooltip="Persistent link using digital object identifier" xr:uid="{54685026-724D-B742-B491-DA22472EBAFA}"/>
    <hyperlink ref="M20" r:id="rId9" tooltip="Persistent link using digital object identifier" xr:uid="{89D963A8-8A18-B848-BCC9-7B785742B3C5}"/>
    <hyperlink ref="M10" r:id="rId10" xr:uid="{EBAED947-E0C0-AF4D-B284-1A1CFE830D38}"/>
    <hyperlink ref="M5" r:id="rId11" xr:uid="{19481812-29B5-D14D-B4BD-B98FC55BA47B}"/>
    <hyperlink ref="M14" r:id="rId12" xr:uid="{EF019B8A-1E01-F14A-A983-1734D823FB31}"/>
    <hyperlink ref="M17" r:id="rId13" xr:uid="{04278076-E7A3-9C4B-9141-47AD1E8854BB}"/>
    <hyperlink ref="M9" r:id="rId14" xr:uid="{7A25EA0B-F42D-8F49-9CB3-882B78FBBDD2}"/>
    <hyperlink ref="M6" r:id="rId15" tooltip="Persistent link using digital object identifier" xr:uid="{955A0F7E-9D08-D445-BFC9-A02538EAF2D1}"/>
    <hyperlink ref="M11" r:id="rId16" tooltip="Persistent link using digital object identifier" xr:uid="{676B61A6-0EF6-6748-87DD-3A3FD34F8023}"/>
    <hyperlink ref="M25" r:id="rId17" xr:uid="{9C89D681-64B8-B045-BCE0-03BA5AB71223}"/>
    <hyperlink ref="M8" r:id="rId18" xr:uid="{4D277919-2512-D142-AB77-7E23E207AC09}"/>
    <hyperlink ref="M15" r:id="rId19" tooltip="Persistent link using digital object identifier" xr:uid="{0CB33933-AFBE-A448-B0AF-E3E33E389DAB}"/>
    <hyperlink ref="L15" r:id="rId20" xr:uid="{6DB17528-3835-6843-8BDC-ADC23E7B051D}"/>
    <hyperlink ref="M7" r:id="rId21" xr:uid="{C24EBD60-12CD-6244-990E-4E2C64794D4A}"/>
    <hyperlink ref="M4" r:id="rId22" tooltip="Persistent link using digital object identifier" xr:uid="{DA47B688-E7B1-2241-8113-13EA5F84AFAE}"/>
    <hyperlink ref="M24" r:id="rId23" tooltip="Persistent link using digital object identifier" xr:uid="{7547985D-03F1-D749-937E-58CA44250A7B}"/>
    <hyperlink ref="M13" r:id="rId24" tooltip="Persistent link using digital object identifier" xr:uid="{AFF2FC8E-B304-4740-923D-ED62728CC5BF}"/>
    <hyperlink ref="M12" r:id="rId25" tooltip="Persistent link using digital object identifier" xr:uid="{BC397E76-C328-6745-A954-4C8B40ED5CC3}"/>
    <hyperlink ref="M27" r:id="rId26" tooltip="Persistent link using digital object identifier" xr:uid="{2883D35C-F028-AF43-8D19-6AF7B867AA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92F4-A258-BE4A-A931-234F8B004B60}">
  <dimension ref="A1:M2"/>
  <sheetViews>
    <sheetView workbookViewId="0">
      <selection activeCell="A2" sqref="A2"/>
    </sheetView>
  </sheetViews>
  <sheetFormatPr baseColWidth="10" defaultRowHeight="16" x14ac:dyDescent="0.2"/>
  <sheetData>
    <row r="1" spans="1:13" s="7" customFormat="1" ht="17" x14ac:dyDescent="0.2">
      <c r="A1" s="7" t="s">
        <v>1</v>
      </c>
      <c r="B1" s="8" t="s">
        <v>16</v>
      </c>
      <c r="C1" s="8" t="s">
        <v>7</v>
      </c>
      <c r="D1" s="9" t="s">
        <v>61</v>
      </c>
      <c r="E1" s="9" t="s">
        <v>62</v>
      </c>
      <c r="F1" s="9" t="s">
        <v>63</v>
      </c>
      <c r="G1" s="7" t="s">
        <v>6</v>
      </c>
      <c r="H1" s="7" t="s">
        <v>3</v>
      </c>
      <c r="I1" s="9" t="s">
        <v>64</v>
      </c>
      <c r="J1" s="8" t="s">
        <v>0</v>
      </c>
      <c r="K1" s="7" t="s">
        <v>4</v>
      </c>
      <c r="L1" s="7" t="s">
        <v>66</v>
      </c>
      <c r="M1" s="7" t="s">
        <v>67</v>
      </c>
    </row>
    <row r="2" spans="1:13" ht="85" x14ac:dyDescent="0.2">
      <c r="B2" s="3" t="s">
        <v>51</v>
      </c>
      <c r="C2" s="3" t="s">
        <v>52</v>
      </c>
      <c r="D2" s="1">
        <v>1</v>
      </c>
      <c r="E2" s="1">
        <v>0.5</v>
      </c>
      <c r="F2" s="1">
        <f>AVERAGE(D2:E2)</f>
        <v>0.75</v>
      </c>
      <c r="G2" t="s">
        <v>8</v>
      </c>
      <c r="H2" t="s">
        <v>79</v>
      </c>
      <c r="I2" t="s">
        <v>79</v>
      </c>
      <c r="J2" s="3" t="s">
        <v>48</v>
      </c>
      <c r="K2">
        <v>1992</v>
      </c>
      <c r="L2" t="s">
        <v>49</v>
      </c>
      <c r="M2" s="4" t="s">
        <v>76</v>
      </c>
    </row>
  </sheetData>
  <hyperlinks>
    <hyperlink ref="M2" r:id="rId1" tooltip="Persistent link using digital object identifier" xr:uid="{89AD8FED-FF71-D148-8812-0E9202125B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C.</dc:creator>
  <cp:lastModifiedBy>Tristan C.</cp:lastModifiedBy>
  <dcterms:created xsi:type="dcterms:W3CDTF">2021-10-21T04:15:19Z</dcterms:created>
  <dcterms:modified xsi:type="dcterms:W3CDTF">2022-12-14T02:38:42Z</dcterms:modified>
</cp:coreProperties>
</file>