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B:\LoadRunner_files_otchets\"/>
    </mc:Choice>
  </mc:AlternateContent>
  <xr:revisionPtr revIDLastSave="0" documentId="13_ncr:1_{10F9AEC4-2FC7-4EB7-BFC7-FA5F76B1FA5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Анализ" sheetId="2" r:id="rId2"/>
    <sheet name="анализ максимума" sheetId="4" r:id="rId3"/>
    <sheet name="анализ подтверждения максимума" sheetId="5" r:id="rId4"/>
    <sheet name="Соответствие" sheetId="3" r:id="rId5"/>
  </sheets>
  <definedNames>
    <definedName name="_xlnm._FilterDatabase" localSheetId="1" hidden="1">Анализ!$L$1:$U$1</definedName>
    <definedName name="_xlnm._FilterDatabase" localSheetId="2" hidden="1">'анализ максимума'!$A$1:$J$39</definedName>
    <definedName name="_xlnm._FilterDatabase" localSheetId="3" hidden="1">'анализ подтверждения максимума'!$A$1:$J$39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1" l="1"/>
  <c r="L38" i="1" l="1"/>
  <c r="M38" i="1" s="1"/>
  <c r="L39" i="1"/>
  <c r="M39" i="1" s="1"/>
  <c r="L40" i="1"/>
  <c r="M40" i="1" s="1"/>
  <c r="L41" i="1"/>
  <c r="M41" i="1" s="1"/>
  <c r="L42" i="1"/>
  <c r="L43" i="1"/>
  <c r="M43" i="1" s="1"/>
  <c r="L44" i="1"/>
  <c r="M44" i="1" s="1"/>
  <c r="L45" i="1"/>
  <c r="M45" i="1" s="1"/>
  <c r="L46" i="1"/>
  <c r="M46" i="1" s="1"/>
  <c r="L47" i="1"/>
  <c r="M47" i="1" s="1"/>
  <c r="L48" i="1"/>
  <c r="L37" i="1"/>
  <c r="M37" i="1" s="1"/>
  <c r="M42" i="1"/>
  <c r="M48" i="1"/>
  <c r="K38" i="1"/>
  <c r="K39" i="1"/>
  <c r="K40" i="1"/>
  <c r="K41" i="1"/>
  <c r="K42" i="1"/>
  <c r="K43" i="1"/>
  <c r="K44" i="1"/>
  <c r="K45" i="1"/>
  <c r="K46" i="1"/>
  <c r="K47" i="1"/>
  <c r="K48" i="1"/>
  <c r="K37" i="1"/>
  <c r="J38" i="1"/>
  <c r="J39" i="1"/>
  <c r="J40" i="1"/>
  <c r="J41" i="1"/>
  <c r="J42" i="1"/>
  <c r="J43" i="1"/>
  <c r="J44" i="1"/>
  <c r="J45" i="1"/>
  <c r="J46" i="1"/>
  <c r="J47" i="1"/>
  <c r="J48" i="1"/>
  <c r="J37" i="1"/>
  <c r="F38" i="1" l="1"/>
  <c r="F39" i="1"/>
  <c r="F40" i="1"/>
  <c r="F41" i="1"/>
  <c r="F42" i="1"/>
  <c r="F43" i="1"/>
  <c r="F44" i="1"/>
  <c r="F45" i="1"/>
  <c r="F46" i="1"/>
  <c r="F47" i="1"/>
  <c r="F48" i="1"/>
  <c r="F37" i="1"/>
  <c r="H38" i="1" l="1"/>
  <c r="H39" i="1"/>
  <c r="H40" i="1"/>
  <c r="H41" i="1"/>
  <c r="H42" i="1"/>
  <c r="H43" i="1"/>
  <c r="H44" i="1"/>
  <c r="H45" i="1"/>
  <c r="H46" i="1"/>
  <c r="H47" i="1"/>
  <c r="H48" i="1"/>
  <c r="H37" i="1"/>
  <c r="D14" i="1"/>
  <c r="E14" i="1"/>
  <c r="F14" i="1" s="1"/>
  <c r="G14" i="1"/>
  <c r="D15" i="1"/>
  <c r="E15" i="1"/>
  <c r="F15" i="1" s="1"/>
  <c r="G15" i="1"/>
  <c r="D16" i="1"/>
  <c r="E16" i="1"/>
  <c r="F16" i="1" s="1"/>
  <c r="G16" i="1"/>
  <c r="D17" i="1"/>
  <c r="E17" i="1"/>
  <c r="F17" i="1" s="1"/>
  <c r="G17" i="1"/>
  <c r="D18" i="1"/>
  <c r="E18" i="1"/>
  <c r="F18" i="1" s="1"/>
  <c r="G18" i="1"/>
  <c r="D19" i="1"/>
  <c r="E19" i="1"/>
  <c r="F19" i="1" s="1"/>
  <c r="G19" i="1"/>
  <c r="D20" i="1"/>
  <c r="E20" i="1"/>
  <c r="F20" i="1" s="1"/>
  <c r="G20" i="1"/>
  <c r="D21" i="1"/>
  <c r="E21" i="1"/>
  <c r="F21" i="1" s="1"/>
  <c r="G21" i="1"/>
  <c r="D22" i="1"/>
  <c r="E22" i="1"/>
  <c r="F22" i="1" s="1"/>
  <c r="G22" i="1"/>
  <c r="D23" i="1"/>
  <c r="E23" i="1"/>
  <c r="F23" i="1" s="1"/>
  <c r="G23" i="1"/>
  <c r="D24" i="1"/>
  <c r="E24" i="1"/>
  <c r="F24" i="1" s="1"/>
  <c r="G24" i="1"/>
  <c r="D25" i="1"/>
  <c r="E25" i="1"/>
  <c r="F25" i="1" s="1"/>
  <c r="G25" i="1"/>
  <c r="D26" i="1"/>
  <c r="E26" i="1"/>
  <c r="F26" i="1" s="1"/>
  <c r="G26" i="1"/>
  <c r="D27" i="1"/>
  <c r="E27" i="1"/>
  <c r="F27" i="1" s="1"/>
  <c r="G27" i="1"/>
  <c r="D28" i="1"/>
  <c r="E28" i="1"/>
  <c r="F28" i="1" s="1"/>
  <c r="G28" i="1"/>
  <c r="D29" i="1"/>
  <c r="E29" i="1"/>
  <c r="F29" i="1" s="1"/>
  <c r="G29" i="1"/>
  <c r="D30" i="1"/>
  <c r="E30" i="1"/>
  <c r="F30" i="1" s="1"/>
  <c r="G30" i="1"/>
  <c r="H21" i="1" l="1"/>
  <c r="H16" i="1"/>
  <c r="H24" i="1"/>
  <c r="H29" i="1"/>
  <c r="H18" i="1"/>
  <c r="H15" i="1"/>
  <c r="H26" i="1"/>
  <c r="H23" i="1"/>
  <c r="H19" i="1"/>
  <c r="H17" i="1"/>
  <c r="H27" i="1"/>
  <c r="H25" i="1"/>
  <c r="H22" i="1"/>
  <c r="H20" i="1"/>
  <c r="H30" i="1"/>
  <c r="H28" i="1"/>
  <c r="H14" i="1"/>
  <c r="D3" i="1" l="1"/>
  <c r="E3" i="1"/>
  <c r="F3" i="1" s="1"/>
  <c r="G3" i="1"/>
  <c r="D4" i="1"/>
  <c r="E4" i="1"/>
  <c r="F4" i="1" s="1"/>
  <c r="G4" i="1"/>
  <c r="D5" i="1"/>
  <c r="E5" i="1"/>
  <c r="F5" i="1" s="1"/>
  <c r="G5" i="1"/>
  <c r="D6" i="1"/>
  <c r="E6" i="1"/>
  <c r="F6" i="1" s="1"/>
  <c r="G6" i="1"/>
  <c r="D7" i="1"/>
  <c r="E7" i="1"/>
  <c r="F7" i="1" s="1"/>
  <c r="G7" i="1"/>
  <c r="D8" i="1"/>
  <c r="E8" i="1"/>
  <c r="F8" i="1" s="1"/>
  <c r="G8" i="1"/>
  <c r="D9" i="1"/>
  <c r="E9" i="1"/>
  <c r="F9" i="1" s="1"/>
  <c r="G9" i="1"/>
  <c r="D10" i="1"/>
  <c r="E10" i="1"/>
  <c r="F10" i="1" s="1"/>
  <c r="G10" i="1"/>
  <c r="D11" i="1"/>
  <c r="E11" i="1"/>
  <c r="F11" i="1" s="1"/>
  <c r="G11" i="1"/>
  <c r="D12" i="1"/>
  <c r="E12" i="1"/>
  <c r="F12" i="1" s="1"/>
  <c r="G12" i="1"/>
  <c r="D13" i="1"/>
  <c r="E13" i="1"/>
  <c r="F13" i="1" s="1"/>
  <c r="G13" i="1"/>
  <c r="S7" i="1"/>
  <c r="U7" i="1" s="1"/>
  <c r="P7" i="1"/>
  <c r="P3" i="1"/>
  <c r="P4" i="1"/>
  <c r="P5" i="1"/>
  <c r="P6" i="1"/>
  <c r="P2" i="1"/>
  <c r="S2" i="1"/>
  <c r="U2" i="1" s="1"/>
  <c r="W2" i="1"/>
  <c r="V2" i="1" s="1"/>
  <c r="B49" i="1"/>
  <c r="C48" i="1"/>
  <c r="C39" i="1"/>
  <c r="C38" i="1"/>
  <c r="C44" i="1"/>
  <c r="C40" i="1"/>
  <c r="C43" i="1"/>
  <c r="C42" i="1"/>
  <c r="C46" i="1"/>
  <c r="C45" i="1"/>
  <c r="C47" i="1"/>
  <c r="C37" i="1"/>
  <c r="C41" i="1"/>
  <c r="G37" i="1" l="1"/>
  <c r="I37" i="1" s="1"/>
  <c r="G40" i="1"/>
  <c r="I40" i="1" s="1"/>
  <c r="G44" i="1"/>
  <c r="I44" i="1" s="1"/>
  <c r="G38" i="1"/>
  <c r="I38" i="1" s="1"/>
  <c r="G43" i="1"/>
  <c r="I43" i="1" s="1"/>
  <c r="G42" i="1"/>
  <c r="I42" i="1" s="1"/>
  <c r="G39" i="1"/>
  <c r="I39" i="1" s="1"/>
  <c r="G47" i="1"/>
  <c r="I47" i="1" s="1"/>
  <c r="G45" i="1"/>
  <c r="I45" i="1" s="1"/>
  <c r="G46" i="1"/>
  <c r="I46" i="1" s="1"/>
  <c r="G48" i="1"/>
  <c r="I48" i="1" s="1"/>
  <c r="G41" i="1"/>
  <c r="I41" i="1" s="1"/>
  <c r="H9" i="1"/>
  <c r="H11" i="1"/>
  <c r="H13" i="1"/>
  <c r="H7" i="1"/>
  <c r="H8" i="1"/>
  <c r="H6" i="1"/>
  <c r="H5" i="1"/>
  <c r="H3" i="1"/>
  <c r="H4" i="1"/>
  <c r="H10" i="1"/>
  <c r="H12" i="1"/>
  <c r="V7" i="1"/>
  <c r="D45" i="1"/>
  <c r="D39" i="1"/>
  <c r="D42" i="1"/>
  <c r="D38" i="1"/>
  <c r="D43" i="1"/>
  <c r="D47" i="1"/>
  <c r="D48" i="1"/>
  <c r="D37" i="1"/>
  <c r="C49" i="1"/>
  <c r="D49" i="1" s="1"/>
  <c r="D46" i="1"/>
  <c r="D40" i="1"/>
  <c r="D44" i="1"/>
  <c r="D41" i="1"/>
  <c r="S6" i="1" l="1"/>
  <c r="U6" i="1" s="1"/>
  <c r="S5" i="1"/>
  <c r="U5" i="1" s="1"/>
  <c r="S4" i="1"/>
  <c r="U4" i="1" s="1"/>
  <c r="V4" i="1"/>
  <c r="G2" i="1"/>
  <c r="E2" i="1"/>
  <c r="F2" i="1" s="1"/>
  <c r="D2" i="1"/>
  <c r="V5" i="1" l="1"/>
  <c r="S3" i="1"/>
  <c r="U3" i="1" s="1"/>
  <c r="V6" i="1"/>
  <c r="H2" i="1"/>
  <c r="V3" i="1"/>
  <c r="V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46577A9B-23D9-442B-BF20-9843EBAAD6B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701E3710-96AE-41AF-9B40-40ED5A70D03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550FC3F3-0922-42DB-8545-9D4BAED3B3AB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3FD6EC11-84FE-42EC-A345-A105CBC907D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CFFA8736-59D0-4425-B642-9D7D04D66CD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<sst xmlns="http://schemas.openxmlformats.org/spreadsheetml/2006/main" count="250" uniqueCount="72">
  <si>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</si>
  <si>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</si>
  <si>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</si>
  <si>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</si>
  <si>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</si>
  <si>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</si>
  <si>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</si>
  <si>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</si>
  <si>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Операция (бизнес процесс)</t>
  </si>
  <si>
    <t>Duration</t>
  </si>
  <si>
    <t>Think_time</t>
  </si>
  <si>
    <t>Duration + 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</si>
  <si>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</si>
  <si>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</si>
  <si>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</si>
  <si>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</si>
  <si>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</si>
  <si>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</si>
  <si>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Названия строк</t>
  </si>
  <si>
    <t>Общий итог</t>
  </si>
  <si>
    <t>Сумма по полю Итого</t>
  </si>
  <si>
    <t>go_to_webtours</t>
  </si>
  <si>
    <t>login</t>
  </si>
  <si>
    <t>go_to_flights</t>
  </si>
  <si>
    <t>find_flight</t>
  </si>
  <si>
    <t>choose_flight</t>
  </si>
  <si>
    <t>payment_info</t>
  </si>
  <si>
    <t>logout</t>
  </si>
  <si>
    <t>goto_Itinerary</t>
  </si>
  <si>
    <t>deleting_bron</t>
  </si>
  <si>
    <t>goto_registrationform</t>
  </si>
  <si>
    <t>enter_userinfo</t>
  </si>
  <si>
    <t>next_page_after_registration</t>
  </si>
  <si>
    <t>Статистика с ПРОДа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</si>
  <si>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</si>
  <si>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</si>
  <si>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</si>
  <si>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</si>
  <si>
    <t>Расчетная интенсивность запросов / 20 мин</t>
  </si>
  <si>
    <t>% Отклонение от Профиля</t>
  </si>
  <si>
    <t>Transaction Name</t>
  </si>
  <si>
    <t>SLA Status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</si>
  <si>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</si>
  <si>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</si>
  <si>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</si>
  <si>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</si>
  <si>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</si>
  <si>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</si>
  <si>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</si>
  <si>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</si>
  <si>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t>No Data</t>
  </si>
  <si>
    <t>UC_01_Bronirovanie</t>
  </si>
  <si>
    <t>UC_02_Delete_bron</t>
  </si>
  <si>
    <t>UC_03_Registration</t>
  </si>
  <si>
    <t>UC_06_View_flights</t>
  </si>
  <si>
    <t>UC_04_Login</t>
  </si>
  <si>
    <t>UC_05_Logout</t>
  </si>
  <si>
    <t>Главная Welcome страница</t>
  </si>
  <si>
    <t>Вход в систему</t>
  </si>
  <si>
    <t>Переход на страницу поиска билетов</t>
  </si>
  <si>
    <t xml:space="preserve">Заполнение полей для поиска билета </t>
  </si>
  <si>
    <t xml:space="preserve">Выбор рейса из найденных </t>
  </si>
  <si>
    <t>Оплата билета</t>
  </si>
  <si>
    <t>Просмотр квитанций</t>
  </si>
  <si>
    <t xml:space="preserve">Отмена бронирования </t>
  </si>
  <si>
    <t>Выход из системы</t>
  </si>
  <si>
    <t>Заполнение полей регистарции</t>
  </si>
  <si>
    <t>Переход на следуюущий эран после регистарции</t>
  </si>
  <si>
    <t>Переход на страницу регистрации</t>
  </si>
  <si>
    <t>Фактическая интенсивность в отладочном тесте</t>
  </si>
  <si>
    <t>Фактическая интенсивность в тесте поиска максимума</t>
  </si>
  <si>
    <t>Фактическая интенсивность в тесте подтверждения максимума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</si>
</sst>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3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8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212529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4">
    <xf numFmtId="0" fontId="0" fillId="0" borderId="0"/>
    <xf numFmtId="9" fontId="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16" applyNumberFormat="0" applyAlignment="0" applyProtection="0"/>
    <xf numFmtId="0" fontId="21" fillId="11" borderId="17" applyNumberFormat="0" applyAlignment="0" applyProtection="0"/>
    <xf numFmtId="0" fontId="22" fillId="11" borderId="16" applyNumberFormat="0" applyAlignment="0" applyProtection="0"/>
    <xf numFmtId="0" fontId="23" fillId="0" borderId="18" applyNumberFormat="0" applyFill="0" applyAlignment="0" applyProtection="0"/>
    <xf numFmtId="0" fontId="24" fillId="12" borderId="1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1" applyNumberFormat="0" applyFill="0" applyAlignment="0" applyProtection="0"/>
    <xf numFmtId="0" fontId="2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13" borderId="20" applyNumberFormat="0" applyFont="0" applyAlignment="0" applyProtection="0"/>
    <xf numFmtId="0" fontId="3" fillId="0" borderId="0"/>
    <xf numFmtId="0" fontId="3" fillId="13" borderId="20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2" fillId="0" borderId="0"/>
    <xf numFmtId="0" fontId="2" fillId="13" borderId="20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0" borderId="0"/>
    <xf numFmtId="0" fontId="1" fillId="13" borderId="20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51">
    <xf numFmtId="0" fontId="0" fillId="0" borderId="0" xfId="0"/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1" fontId="0" fillId="0" borderId="1" xfId="0" applyNumberFormat="1" applyBorder="1"/>
    <xf numFmtId="1" fontId="0" fillId="4" borderId="1" xfId="0" applyNumberFormat="1" applyFill="1" applyBorder="1"/>
    <xf numFmtId="0" fontId="0" fillId="4" borderId="1" xfId="0" applyFill="1" applyBorder="1"/>
    <xf numFmtId="164" fontId="0" fillId="0" borderId="0" xfId="0" applyNumberFormat="1"/>
    <xf numFmtId="1" fontId="5" fillId="0" borderId="0" xfId="0" applyNumberFormat="1" applyFont="1"/>
    <xf numFmtId="9" fontId="0" fillId="0" borderId="0" xfId="0" applyNumberFormat="1"/>
    <xf numFmtId="0" fontId="0" fillId="4" borderId="3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3" borderId="1" xfId="0" applyNumberFormat="1" applyFill="1" applyBorder="1"/>
    <xf numFmtId="0" fontId="9" fillId="6" borderId="6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0" fillId="0" borderId="10" xfId="1" applyFont="1" applyBorder="1"/>
    <xf numFmtId="9" fontId="0" fillId="0" borderId="2" xfId="1" applyFont="1" applyBorder="1"/>
    <xf numFmtId="0" fontId="11" fillId="6" borderId="11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center" vertical="center" wrapText="1"/>
    </xf>
    <xf numFmtId="1" fontId="10" fillId="0" borderId="8" xfId="0" applyNumberFormat="1" applyFont="1" applyBorder="1" applyAlignment="1">
      <alignment horizontal="center" vertical="center" wrapText="1"/>
    </xf>
    <xf numFmtId="9" fontId="0" fillId="0" borderId="1" xfId="1" applyFont="1" applyBorder="1"/>
    <xf numFmtId="1" fontId="0" fillId="0" borderId="9" xfId="0" applyNumberFormat="1" applyBorder="1" applyAlignment="1">
      <alignment horizontal="center"/>
    </xf>
    <xf numFmtId="0" fontId="0" fillId="0" borderId="0" xfId="0" applyBorder="1"/>
    <xf numFmtId="0" fontId="9" fillId="0" borderId="1" xfId="0" applyFont="1" applyBorder="1" applyAlignment="1">
      <alignment vertical="center" wrapText="1"/>
    </xf>
    <xf numFmtId="0" fontId="4" fillId="0" borderId="0" xfId="42"/>
    <xf numFmtId="0" fontId="0" fillId="0" borderId="22" xfId="0" applyBorder="1"/>
    <xf numFmtId="0" fontId="0" fillId="0" borderId="23" xfId="0" applyBorder="1"/>
    <xf numFmtId="0" fontId="0" fillId="38" borderId="1" xfId="0" applyFill="1" applyBorder="1"/>
    <xf numFmtId="0" fontId="10" fillId="6" borderId="6" xfId="0" applyFont="1" applyFill="1" applyBorder="1" applyAlignment="1">
      <alignment horizontal="left" vertical="center" wrapText="1"/>
    </xf>
    <xf numFmtId="0" fontId="10" fillId="39" borderId="6" xfId="0" applyFont="1" applyFill="1" applyBorder="1" applyAlignment="1">
      <alignment horizontal="left" vertical="center" wrapText="1"/>
    </xf>
    <xf numFmtId="0" fontId="10" fillId="39" borderId="7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0" xfId="0" applyAlignment="1">
      <alignment horizontal="left" wrapText="1"/>
    </xf>
    <xf numFmtId="0" fontId="3" fillId="0" borderId="0" xfId="44"/>
    <xf numFmtId="1" fontId="2" fillId="0" borderId="0" xfId="64" applyNumberFormat="1" applyAlignment="1">
      <alignment horizontal="right"/>
    </xf>
    <xf numFmtId="0" fontId="0" fillId="40" borderId="1" xfId="0" applyFill="1" applyBorder="1"/>
    <xf numFmtId="0" fontId="9" fillId="40" borderId="1" xfId="0" applyFont="1" applyFill="1" applyBorder="1" applyAlignment="1">
      <alignment vertical="center" wrapText="1"/>
    </xf>
    <xf numFmtId="1" fontId="0" fillId="40" borderId="1" xfId="0" applyNumberFormat="1" applyFill="1" applyBorder="1"/>
    <xf numFmtId="0" fontId="2" fillId="0" borderId="0" xfId="64"/>
    <xf numFmtId="0" fontId="2" fillId="0" borderId="0" xfId="64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" fontId="2" fillId="0" borderId="0" xfId="64" applyNumberFormat="1"/>
    <xf numFmtId="0" fontId="29" fillId="0" borderId="0" xfId="0" applyFont="1"/>
    <xf numFmtId="173" fontId="0" fillId="0" borderId="1" xfId="0" applyNumberFormat="1" applyBorder="1"/>
  </cellXfs>
  <cellStyles count="104">
    <cellStyle name="20% — акцент1" xfId="19" builtinId="30" customBuiltin="1"/>
    <cellStyle name="20% — акцент1 2" xfId="46" xr:uid="{D4A392DF-B71F-4D38-AE8C-F6C702888547}"/>
    <cellStyle name="20% — акцент1 3" xfId="66" xr:uid="{55836AB5-66EE-4423-9C9F-EBC3C6319DFC}"/>
    <cellStyle name="20% — акцент1 4" xfId="86" xr:uid="{E72BF991-E48F-4567-9B7B-D9AB37FF9659}"/>
    <cellStyle name="20% — акцент2" xfId="23" builtinId="34" customBuiltin="1"/>
    <cellStyle name="20% — акцент2 2" xfId="49" xr:uid="{E66E8A03-DEB5-4B93-98AC-103B8819ACB4}"/>
    <cellStyle name="20% — акцент2 3" xfId="69" xr:uid="{FD7EF0D3-5EC6-4C4F-BB69-320CEBFDEAA0}"/>
    <cellStyle name="20% — акцент2 4" xfId="89" xr:uid="{3A47785A-4FE9-43FC-BA3E-4770652C822E}"/>
    <cellStyle name="20% — акцент3" xfId="27" builtinId="38" customBuiltin="1"/>
    <cellStyle name="20% — акцент3 2" xfId="52" xr:uid="{3C8EF5A2-C0AC-411C-9B2F-CA8B891F1255}"/>
    <cellStyle name="20% — акцент3 3" xfId="72" xr:uid="{84E6BDFB-C8FC-4267-B31C-861C771C93D3}"/>
    <cellStyle name="20% — акцент3 4" xfId="92" xr:uid="{3C460843-C517-447C-BE70-DC2A7C61EE0F}"/>
    <cellStyle name="20% — акцент4" xfId="31" builtinId="42" customBuiltin="1"/>
    <cellStyle name="20% — акцент4 2" xfId="55" xr:uid="{D475128B-2295-4476-B216-0D6AB7E97F6E}"/>
    <cellStyle name="20% — акцент4 3" xfId="75" xr:uid="{E2B42A40-FDEE-4CEF-AD44-31C426F404CF}"/>
    <cellStyle name="20% — акцент4 4" xfId="95" xr:uid="{867F3666-B3A3-43D9-9DC0-5A383C645544}"/>
    <cellStyle name="20% — акцент5" xfId="35" builtinId="46" customBuiltin="1"/>
    <cellStyle name="20% — акцент5 2" xfId="58" xr:uid="{237E5FDE-478C-497A-9CAB-21652338CC5B}"/>
    <cellStyle name="20% — акцент5 3" xfId="78" xr:uid="{B19B99D0-5F32-4F60-BDEB-375012DFE86D}"/>
    <cellStyle name="20% — акцент5 4" xfId="98" xr:uid="{1B802650-D739-4E80-8384-CB59061A8357}"/>
    <cellStyle name="20% — акцент6" xfId="39" builtinId="50" customBuiltin="1"/>
    <cellStyle name="20% — акцент6 2" xfId="61" xr:uid="{83A44A2C-AB31-49E4-ACED-CF692B9F00D5}"/>
    <cellStyle name="20% — акцент6 3" xfId="81" xr:uid="{54721F7D-4C68-4DB6-81C3-02103C7CD6EE}"/>
    <cellStyle name="20% — акцент6 4" xfId="101" xr:uid="{EFF378E3-4F2A-4627-8181-01AA04F276A7}"/>
    <cellStyle name="40% — акцент1" xfId="20" builtinId="31" customBuiltin="1"/>
    <cellStyle name="40% — акцент1 2" xfId="47" xr:uid="{A69C9A07-1435-44A5-8FC6-EECD9C17E898}"/>
    <cellStyle name="40% — акцент1 3" xfId="67" xr:uid="{F7F10A74-5D09-499B-AFED-7902871404AD}"/>
    <cellStyle name="40% — акцент1 4" xfId="87" xr:uid="{CC39214F-B7B2-4FC1-BE44-F72AFCE54CEB}"/>
    <cellStyle name="40% — акцент2" xfId="24" builtinId="35" customBuiltin="1"/>
    <cellStyle name="40% — акцент2 2" xfId="50" xr:uid="{E6329722-9788-46AA-8471-A76D3715F0B7}"/>
    <cellStyle name="40% — акцент2 3" xfId="70" xr:uid="{E744197A-93AF-48EF-9946-27EE562F745F}"/>
    <cellStyle name="40% — акцент2 4" xfId="90" xr:uid="{806737AC-D9CF-434C-A428-14098169008A}"/>
    <cellStyle name="40% — акцент3" xfId="28" builtinId="39" customBuiltin="1"/>
    <cellStyle name="40% — акцент3 2" xfId="53" xr:uid="{BFD72F46-18A6-4136-9593-10251D586577}"/>
    <cellStyle name="40% — акцент3 3" xfId="73" xr:uid="{32E0AE5A-3316-4508-9CBF-DC0DF1190908}"/>
    <cellStyle name="40% — акцент3 4" xfId="93" xr:uid="{0CBBE065-9B5D-4709-AD78-79916C2BE4B5}"/>
    <cellStyle name="40% — акцент4" xfId="32" builtinId="43" customBuiltin="1"/>
    <cellStyle name="40% — акцент4 2" xfId="56" xr:uid="{FE34A9DE-1F49-4074-A2E7-1890C096A5C5}"/>
    <cellStyle name="40% — акцент4 3" xfId="76" xr:uid="{1AD92B9E-8ACC-4170-ADB5-596B7CB81E52}"/>
    <cellStyle name="40% — акцент4 4" xfId="96" xr:uid="{F499838F-9F00-4D0B-938E-8690BD162C3E}"/>
    <cellStyle name="40% — акцент5" xfId="36" builtinId="47" customBuiltin="1"/>
    <cellStyle name="40% — акцент5 2" xfId="59" xr:uid="{AB85F1FD-80AD-4014-B923-CB4C5C525580}"/>
    <cellStyle name="40% — акцент5 3" xfId="79" xr:uid="{0F80FA72-2108-4442-A683-FECF952BB578}"/>
    <cellStyle name="40% — акцент5 4" xfId="99" xr:uid="{3D1744DF-73A6-4F2F-94FB-CDA0618B2B29}"/>
    <cellStyle name="40% — акцент6" xfId="40" builtinId="51" customBuiltin="1"/>
    <cellStyle name="40% — акцент6 2" xfId="62" xr:uid="{D06CEC15-24B9-4835-9273-BCBC5FA55BC5}"/>
    <cellStyle name="40% — акцент6 3" xfId="82" xr:uid="{2D1D76E6-7314-4326-B5DD-0FC208B6B1BC}"/>
    <cellStyle name="40% — акцент6 4" xfId="102" xr:uid="{E23678D4-9E37-4605-9909-D6FF0E95B410}"/>
    <cellStyle name="60% — акцент1" xfId="21" builtinId="32" customBuiltin="1"/>
    <cellStyle name="60% — акцент1 2" xfId="48" xr:uid="{D088B2D6-4888-4EEA-B267-B59C14B2CAB5}"/>
    <cellStyle name="60% — акцент1 3" xfId="68" xr:uid="{8C44FFB3-DF37-400B-87F4-FAB5DB4AD733}"/>
    <cellStyle name="60% — акцент1 4" xfId="88" xr:uid="{3895E8E3-8DED-457B-A244-0F2536C6E204}"/>
    <cellStyle name="60% — акцент2" xfId="25" builtinId="36" customBuiltin="1"/>
    <cellStyle name="60% — акцент2 2" xfId="51" xr:uid="{51C5BB6F-ED52-459F-ABC2-979F00CF85D5}"/>
    <cellStyle name="60% — акцент2 3" xfId="71" xr:uid="{5B7B4D5A-545C-4572-BCD2-59E2120E9E22}"/>
    <cellStyle name="60% — акцент2 4" xfId="91" xr:uid="{B4397B58-8A8C-4E83-9E8E-3BF35AAAB09F}"/>
    <cellStyle name="60% — акцент3" xfId="29" builtinId="40" customBuiltin="1"/>
    <cellStyle name="60% — акцент3 2" xfId="54" xr:uid="{C90F74CA-B7E7-4186-86C3-76F6D5478EB4}"/>
    <cellStyle name="60% — акцент3 3" xfId="74" xr:uid="{E271FF43-9316-4E19-A87B-CB57330BF2A2}"/>
    <cellStyle name="60% — акцент3 4" xfId="94" xr:uid="{58DD7109-4EA1-492A-9F9A-6F02010286B9}"/>
    <cellStyle name="60% — акцент4" xfId="33" builtinId="44" customBuiltin="1"/>
    <cellStyle name="60% — акцент4 2" xfId="57" xr:uid="{410D85AA-8794-4D2A-86E7-C03FD40BF47D}"/>
    <cellStyle name="60% — акцент4 3" xfId="77" xr:uid="{F395AFF1-5030-4B84-84D0-630E7935E3A4}"/>
    <cellStyle name="60% — акцент4 4" xfId="97" xr:uid="{7A08E635-D21C-4A00-BDB3-9BC82EC72765}"/>
    <cellStyle name="60% — акцент5" xfId="37" builtinId="48" customBuiltin="1"/>
    <cellStyle name="60% — акцент5 2" xfId="60" xr:uid="{11E4FA13-2E33-4F30-8CCB-0CEB71DD7BE6}"/>
    <cellStyle name="60% — акцент5 3" xfId="80" xr:uid="{113FE299-CFD8-43AE-8A71-A78604D7EF4C}"/>
    <cellStyle name="60% — акцент5 4" xfId="100" xr:uid="{15BCAB00-37B4-4473-BF12-75FB39BA35A6}"/>
    <cellStyle name="60% — акцент6" xfId="41" builtinId="52" customBuiltin="1"/>
    <cellStyle name="60% — акцент6 2" xfId="63" xr:uid="{252F772A-0092-4848-B269-621F6DCAF814}"/>
    <cellStyle name="60% — акцент6 3" xfId="83" xr:uid="{B10FCF2D-304C-4737-B6E0-E51F29D45C4D}"/>
    <cellStyle name="60% — акцент6 4" xfId="103" xr:uid="{E9D7970A-79A3-4777-8AF3-368F18AD01D8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2" xr:uid="{8DDB92EC-5872-4A16-B913-5C5F3BFF35C1}"/>
    <cellStyle name="Обычный 3" xfId="44" xr:uid="{D360A006-CA51-4D70-94DE-92F96106ADB9}"/>
    <cellStyle name="Обычный 4" xfId="64" xr:uid="{08816D32-395F-4BCD-9D07-6367F5EE8DB4}"/>
    <cellStyle name="Обычный 5" xfId="84" xr:uid="{C5DB2D92-18A8-42DD-9B31-5EF68CA1D6D8}"/>
    <cellStyle name="Плохой" xfId="8" builtinId="27" customBuiltin="1"/>
    <cellStyle name="Пояснение" xfId="16" builtinId="53" customBuiltin="1"/>
    <cellStyle name="Примечание 2" xfId="43" xr:uid="{1122ABE4-C5C3-4DCD-81DC-92FF8E2FE226}"/>
    <cellStyle name="Примечание 3" xfId="45" xr:uid="{F994EFA7-E8A4-45A9-9612-302E635D605A}"/>
    <cellStyle name="Примечание 4" xfId="65" xr:uid="{E5F93FA1-325B-40B5-A6FD-B1D26D0B4C14}"/>
    <cellStyle name="Примечание 5" xfId="85" xr:uid="{9636A433-CBE6-4C3D-83D6-5ED4ED01E948}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i" refreshedDate="44944.903343171296" createdVersion="6" refreshedVersion="6" minRefreshableVersion="3" recordCount="29" xr:uid="{BE5E6841-128E-4897-BE79-22ED37A10036}">
  <cacheSource type="worksheet">
    <worksheetSource ref="A1:H30" sheet="Лист1"/>
  </cacheSource>
  <cacheFields count="8">
    <cacheField name="Script name" numFmtId="0">
      <sharedItems/>
    </cacheField>
    <cacheField name="transaction rq" numFmtId="0">
      <sharedItems count="24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еход на страницу регистрации"/>
        <s v="Заполнение полей регистарции"/>
        <s v="Переход на следуюущий эран после регистарции"/>
        <s v="login" u="1"/>
        <s v="payment_info" u="1"/>
        <s v="go_to_webtours" u="1"/>
        <s v="goto_Itinerary" u="1"/>
        <s v="choose_flight" u="1"/>
        <s v="enter_userinfo" u="1"/>
        <s v="go_to_flights" u="1"/>
        <s v="deleting_bron" u="1"/>
        <s v="next_page_after_registration" u="1"/>
        <s v="goto_registrationform" u="1"/>
        <s v="find_flight" u="1"/>
        <s v="logout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80"/>
    </cacheField>
    <cacheField name="одним пользователем в минуту" numFmtId="2">
      <sharedItems containsSemiMixedTypes="0" containsString="0" containsNumber="1" minValue="0.33333333333333331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61" maxValue="59.016393442622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UC_01_Bronirovanie"/>
    <x v="0"/>
    <n v="1"/>
    <n v="3"/>
    <n v="61"/>
    <n v="0.98360655737704916"/>
    <n v="20"/>
    <n v="59.016393442622942"/>
  </r>
  <r>
    <s v="UC_01_Bronirovanie"/>
    <x v="1"/>
    <n v="1"/>
    <n v="3"/>
    <n v="61"/>
    <n v="0.98360655737704916"/>
    <n v="20"/>
    <n v="59.016393442622942"/>
  </r>
  <r>
    <s v="UC_01_Bronirovanie"/>
    <x v="2"/>
    <n v="1"/>
    <n v="3"/>
    <n v="61"/>
    <n v="0.98360655737704916"/>
    <n v="20"/>
    <n v="59.016393442622942"/>
  </r>
  <r>
    <s v="UC_01_Bronirovanie"/>
    <x v="3"/>
    <n v="1"/>
    <n v="3"/>
    <n v="61"/>
    <n v="0.98360655737704916"/>
    <n v="20"/>
    <n v="59.016393442622942"/>
  </r>
  <r>
    <s v="UC_01_Bronirovanie"/>
    <x v="4"/>
    <n v="1"/>
    <n v="3"/>
    <n v="61"/>
    <n v="0.98360655737704916"/>
    <n v="20"/>
    <n v="59.016393442622942"/>
  </r>
  <r>
    <s v="UC_01_Bronirovanie"/>
    <x v="5"/>
    <n v="1"/>
    <n v="3"/>
    <n v="61"/>
    <n v="0.98360655737704916"/>
    <n v="20"/>
    <n v="59.016393442622942"/>
  </r>
  <r>
    <s v="UC_01_Bronirovanie"/>
    <x v="6"/>
    <n v="1"/>
    <n v="3"/>
    <n v="61"/>
    <n v="0.98360655737704916"/>
    <n v="20"/>
    <n v="59.016393442622942"/>
  </r>
  <r>
    <s v="UC_01_Bronirovanie"/>
    <x v="7"/>
    <n v="1"/>
    <n v="3"/>
    <n v="61"/>
    <n v="0.98360655737704916"/>
    <n v="20"/>
    <n v="59.016393442622942"/>
  </r>
  <r>
    <s v="UC_02_Delete_bron"/>
    <x v="0"/>
    <n v="1"/>
    <n v="2"/>
    <n v="96"/>
    <n v="0.625"/>
    <n v="20"/>
    <n v="25"/>
  </r>
  <r>
    <s v="UC_02_Delete_bron"/>
    <x v="1"/>
    <n v="1"/>
    <n v="2"/>
    <n v="96"/>
    <n v="0.625"/>
    <n v="20"/>
    <n v="25"/>
  </r>
  <r>
    <s v="UC_02_Delete_bron"/>
    <x v="6"/>
    <n v="1"/>
    <n v="2"/>
    <n v="96"/>
    <n v="0.625"/>
    <n v="20"/>
    <n v="25"/>
  </r>
  <r>
    <s v="UC_02_Delete_bron"/>
    <x v="8"/>
    <n v="1"/>
    <n v="2"/>
    <n v="96"/>
    <n v="0.625"/>
    <n v="20"/>
    <n v="25"/>
  </r>
  <r>
    <s v="UC_02_Delete_bron"/>
    <x v="7"/>
    <n v="1"/>
    <n v="2"/>
    <n v="96"/>
    <n v="0.625"/>
    <n v="20"/>
    <n v="25"/>
  </r>
  <r>
    <s v="UC_03_Registration"/>
    <x v="0"/>
    <n v="1"/>
    <n v="1"/>
    <n v="37"/>
    <n v="1.6216216216216217"/>
    <n v="20"/>
    <n v="32.432432432432435"/>
  </r>
  <r>
    <s v="UC_03_Registration"/>
    <x v="9"/>
    <n v="1"/>
    <n v="1"/>
    <n v="37"/>
    <n v="1.6216216216216217"/>
    <n v="20"/>
    <n v="32.432432432432435"/>
  </r>
  <r>
    <s v="UC_03_Registration"/>
    <x v="10"/>
    <n v="1"/>
    <n v="1"/>
    <n v="37"/>
    <n v="1.6216216216216217"/>
    <n v="20"/>
    <n v="32.432432432432435"/>
  </r>
  <r>
    <s v="UC_03_Registration"/>
    <x v="11"/>
    <n v="1"/>
    <n v="1"/>
    <n v="37"/>
    <n v="1.6216216216216217"/>
    <n v="20"/>
    <n v="32.432432432432435"/>
  </r>
  <r>
    <s v="UC_04_Login"/>
    <x v="0"/>
    <n v="1"/>
    <n v="1"/>
    <n v="180"/>
    <n v="0.33333333333333331"/>
    <n v="20"/>
    <n v="6.6666666666666661"/>
  </r>
  <r>
    <s v="UC_04_Login"/>
    <x v="1"/>
    <n v="1"/>
    <n v="1"/>
    <n v="180"/>
    <n v="0.33333333333333331"/>
    <n v="20"/>
    <n v="6.6666666666666661"/>
  </r>
  <r>
    <s v="UC_04_Login"/>
    <x v="6"/>
    <n v="1"/>
    <n v="1"/>
    <n v="180"/>
    <n v="0.33333333333333331"/>
    <n v="20"/>
    <n v="6.6666666666666661"/>
  </r>
  <r>
    <s v="UC_04_Login"/>
    <x v="2"/>
    <n v="1"/>
    <n v="1"/>
    <n v="180"/>
    <n v="0.33333333333333331"/>
    <n v="20"/>
    <n v="6.6666666666666661"/>
  </r>
  <r>
    <s v="UC_05_Logout"/>
    <x v="0"/>
    <n v="1"/>
    <n v="1"/>
    <n v="60"/>
    <n v="1"/>
    <n v="20"/>
    <n v="20"/>
  </r>
  <r>
    <s v="UC_05_Logout"/>
    <x v="1"/>
    <n v="1"/>
    <n v="1"/>
    <n v="60"/>
    <n v="1"/>
    <n v="20"/>
    <n v="20"/>
  </r>
  <r>
    <s v="UC_05_Logout"/>
    <x v="7"/>
    <n v="1"/>
    <n v="1"/>
    <n v="60"/>
    <n v="1"/>
    <n v="20"/>
    <n v="20"/>
  </r>
  <r>
    <s v="UC_06_View_flights"/>
    <x v="0"/>
    <n v="1"/>
    <n v="2"/>
    <n v="70"/>
    <n v="0.8571428571428571"/>
    <n v="20"/>
    <n v="34.285714285714285"/>
  </r>
  <r>
    <s v="UC_06_View_flights"/>
    <x v="1"/>
    <n v="1"/>
    <n v="2"/>
    <n v="70"/>
    <n v="0.8571428571428571"/>
    <n v="20"/>
    <n v="34.285714285714285"/>
  </r>
  <r>
    <s v="UC_06_View_flights"/>
    <x v="2"/>
    <n v="1"/>
    <n v="2"/>
    <n v="70"/>
    <n v="0.8571428571428571"/>
    <n v="20"/>
    <n v="34.285714285714285"/>
  </r>
  <r>
    <s v="UC_06_View_flights"/>
    <x v="3"/>
    <n v="1"/>
    <n v="2"/>
    <n v="70"/>
    <n v="0.8571428571428571"/>
    <n v="20"/>
    <n v="34.285714285714285"/>
  </r>
  <r>
    <s v="UC_06_View_flights"/>
    <x v="4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36DAB-22E4-4591-89A1-6E0A6278DF71}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 sortType="descending">
      <items count="25">
        <item m="1" x="16"/>
        <item m="1" x="19"/>
        <item m="1" x="17"/>
        <item m="1" x="22"/>
        <item m="1" x="18"/>
        <item m="1" x="14"/>
        <item m="1" x="15"/>
        <item m="1" x="21"/>
        <item m="1" x="12"/>
        <item m="1" x="23"/>
        <item m="1" x="13"/>
        <item m="1" x="20"/>
        <item x="0"/>
        <item x="1"/>
        <item x="2"/>
        <item x="3"/>
        <item x="4"/>
        <item x="5"/>
        <item x="6"/>
        <item x="7"/>
        <item x="9"/>
        <item x="10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 v="12"/>
    </i>
    <i>
      <x v="13"/>
    </i>
    <i>
      <x v="19"/>
    </i>
    <i>
      <x v="14"/>
    </i>
    <i>
      <x v="16"/>
    </i>
    <i>
      <x v="15"/>
    </i>
    <i>
      <x v="18"/>
    </i>
    <i>
      <x v="17"/>
    </i>
    <i>
      <x v="20"/>
    </i>
    <i>
      <x v="22"/>
    </i>
    <i>
      <x v="21"/>
    </i>
    <i>
      <x v="23"/>
    </i>
    <i t="grand">
      <x/>
    </i>
  </rowItems>
  <colItems count="1">
    <i/>
  </colItems>
  <dataFields count="1">
    <dataField name="Сумма по полю Итого" fld="7" baseField="0" baseItem="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opLeftCell="E31" zoomScale="85" zoomScaleNormal="85" workbookViewId="0">
      <selection activeCell="O41" sqref="O41"/>
    </sheetView>
  </sheetViews>
  <sheetFormatPr defaultRowHeight="15" x14ac:dyDescent="0.25"/>
  <cols>
    <col min="1" max="1" width="36.5703125" bestFit="1" customWidth="1"/>
    <col min="2" max="2" width="47.42578125" bestFit="1" customWidth="1"/>
    <col min="3" max="3" width="15.42578125" customWidth="1"/>
    <col min="4" max="4" width="10.28515625" customWidth="1"/>
    <col min="5" max="5" width="8.85546875" customWidth="1"/>
    <col min="6" max="6" width="39.5703125" customWidth="1"/>
    <col min="7" max="7" width="20.28515625" customWidth="1"/>
    <col min="8" max="8" width="22.28515625" customWidth="1"/>
    <col min="9" max="9" width="47.42578125" bestFit="1" customWidth="1"/>
    <col min="10" max="10" width="21.5703125" style="3" bestFit="1" customWidth="1"/>
    <col min="11" max="11" width="12.85546875" customWidth="1"/>
    <col min="12" max="12" width="22.85546875" customWidth="1"/>
    <col min="13" max="13" width="36.5703125" bestFit="1" customWidth="1"/>
    <col min="16" max="16" width="20.85546875" bestFit="1" customWidth="1"/>
    <col min="19" max="19" width="51.140625" bestFit="1" customWidth="1"/>
  </cols>
  <sheetData>
    <row r="1" spans="1:24" ht="47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8" t="s">
        <v>5</v>
      </c>
      <c r="G1" s="14" t="s">
        <v>6</v>
      </c>
      <c r="H1" t="s">
        <v>7</v>
      </c>
      <c r="I1" s="12" t="s">
        <v>18</v>
      </c>
      <c r="J1" s="3" t="s">
        <v>20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</v>
      </c>
      <c r="S1" t="s">
        <v>13</v>
      </c>
      <c r="T1" s="4" t="s">
        <v>14</v>
      </c>
      <c r="U1" s="4" t="s">
        <v>15</v>
      </c>
      <c r="V1" t="s">
        <v>16</v>
      </c>
      <c r="X1" t="s">
        <v>17</v>
      </c>
    </row>
    <row r="2" spans="1:24" x14ac:dyDescent="0.25">
      <c r="A2" s="1" t="s">
        <v>51</v>
      </c>
      <c r="B2" s="1" t="s">
        <v>57</v>
      </c>
      <c r="C2" s="1">
        <v>1</v>
      </c>
      <c r="D2" s="31">
        <f t="shared" ref="D2" si="0">VLOOKUP(A2,$M$1:$W$8,6,FALSE)</f>
        <v>3</v>
      </c>
      <c r="E2">
        <f>VLOOKUP(A2,$M$1:$W$8,5,FALSE)</f>
        <v>61</v>
      </c>
      <c r="F2" s="2">
        <f>60/E2*C2</f>
        <v>0.98360655737704916</v>
      </c>
      <c r="G2">
        <f>VLOOKUP(A2,$M$1:$W$8,8,FALSE)</f>
        <v>20</v>
      </c>
      <c r="H2" s="3">
        <f>D2*F2*G2</f>
        <v>59.016393442622942</v>
      </c>
      <c r="I2" s="13" t="s">
        <v>57</v>
      </c>
      <c r="J2" s="3">
        <v>177.40120682743634</v>
      </c>
      <c r="M2" s="1" t="s">
        <v>51</v>
      </c>
      <c r="N2" s="15">
        <v>1.8691</v>
      </c>
      <c r="O2" s="15">
        <v>35</v>
      </c>
      <c r="P2" s="5">
        <f>N2+O2</f>
        <v>36.869100000000003</v>
      </c>
      <c r="Q2" s="6">
        <v>61</v>
      </c>
      <c r="R2" s="7">
        <v>3</v>
      </c>
      <c r="S2" s="8">
        <f>60/(Q2)</f>
        <v>0.98360655737704916</v>
      </c>
      <c r="T2" s="4">
        <v>20</v>
      </c>
      <c r="U2" s="9">
        <f>ROUND(R2*S2*T2,0)</f>
        <v>59</v>
      </c>
      <c r="V2" s="10">
        <f>R2/W$2</f>
        <v>0.3</v>
      </c>
      <c r="W2">
        <f>SUM(R2:R7)</f>
        <v>10</v>
      </c>
    </row>
    <row r="3" spans="1:24" x14ac:dyDescent="0.25">
      <c r="A3" s="1" t="s">
        <v>51</v>
      </c>
      <c r="B3" s="1" t="s">
        <v>58</v>
      </c>
      <c r="C3" s="1">
        <v>1</v>
      </c>
      <c r="D3" s="28">
        <f t="shared" ref="D3:D13" si="1">VLOOKUP(A3,$M$1:$W$8,6,FALSE)</f>
        <v>3</v>
      </c>
      <c r="E3">
        <f t="shared" ref="E3:E13" si="2">VLOOKUP(A3,$M$1:$W$8,5,FALSE)</f>
        <v>61</v>
      </c>
      <c r="F3" s="2">
        <f t="shared" ref="F3:F13" si="3">60/E3*C3</f>
        <v>0.98360655737704916</v>
      </c>
      <c r="G3">
        <f t="shared" ref="G3:G13" si="4">VLOOKUP(A3,$M$1:$W$8,8,FALSE)</f>
        <v>20</v>
      </c>
      <c r="H3" s="3">
        <f t="shared" ref="H3:H13" si="5">D3*F3*G3</f>
        <v>59.016393442622942</v>
      </c>
      <c r="I3" s="13" t="s">
        <v>58</v>
      </c>
      <c r="J3" s="3">
        <v>144.96877439500389</v>
      </c>
      <c r="M3" s="1" t="s">
        <v>52</v>
      </c>
      <c r="N3" s="15">
        <v>1.3846000000000001</v>
      </c>
      <c r="O3" s="15">
        <v>20</v>
      </c>
      <c r="P3" s="5">
        <f t="shared" ref="P3:P7" si="6">N3+O3</f>
        <v>21.384599999999999</v>
      </c>
      <c r="Q3" s="6">
        <v>96</v>
      </c>
      <c r="R3" s="7">
        <v>2</v>
      </c>
      <c r="S3" s="8">
        <f t="shared" ref="S3:S5" si="7">60/(Q3)</f>
        <v>0.625</v>
      </c>
      <c r="T3" s="4">
        <v>20</v>
      </c>
      <c r="U3" s="9">
        <f t="shared" ref="U3:U5" si="8">ROUND(R3*S3*T3,0)</f>
        <v>25</v>
      </c>
      <c r="V3" s="10">
        <f t="shared" ref="V3:V7" si="9">R3/W$2</f>
        <v>0.2</v>
      </c>
    </row>
    <row r="4" spans="1:24" x14ac:dyDescent="0.25">
      <c r="A4" s="1" t="s">
        <v>51</v>
      </c>
      <c r="B4" s="1" t="s">
        <v>59</v>
      </c>
      <c r="C4" s="1">
        <v>1</v>
      </c>
      <c r="D4" s="28">
        <f t="shared" si="1"/>
        <v>3</v>
      </c>
      <c r="E4">
        <f t="shared" si="2"/>
        <v>61</v>
      </c>
      <c r="F4" s="2">
        <f t="shared" si="3"/>
        <v>0.98360655737704916</v>
      </c>
      <c r="G4">
        <f t="shared" si="4"/>
        <v>20</v>
      </c>
      <c r="H4" s="3">
        <f t="shared" si="5"/>
        <v>59.016393442622942</v>
      </c>
      <c r="I4" s="13" t="s">
        <v>65</v>
      </c>
      <c r="J4" s="3">
        <v>104.01639344262294</v>
      </c>
      <c r="M4" s="1" t="s">
        <v>53</v>
      </c>
      <c r="N4" s="15">
        <v>1.1108</v>
      </c>
      <c r="O4" s="15">
        <v>15</v>
      </c>
      <c r="P4" s="5">
        <f t="shared" si="6"/>
        <v>16.110800000000001</v>
      </c>
      <c r="Q4" s="6">
        <v>37</v>
      </c>
      <c r="R4" s="7">
        <v>1</v>
      </c>
      <c r="S4" s="8">
        <f t="shared" si="7"/>
        <v>1.6216216216216217</v>
      </c>
      <c r="T4" s="4">
        <v>20</v>
      </c>
      <c r="U4" s="9">
        <f t="shared" si="8"/>
        <v>32</v>
      </c>
      <c r="V4" s="10">
        <f t="shared" si="9"/>
        <v>0.1</v>
      </c>
    </row>
    <row r="5" spans="1:24" x14ac:dyDescent="0.25">
      <c r="A5" s="1" t="s">
        <v>51</v>
      </c>
      <c r="B5" s="1" t="s">
        <v>60</v>
      </c>
      <c r="C5" s="1">
        <v>1</v>
      </c>
      <c r="D5" s="28">
        <f t="shared" si="1"/>
        <v>3</v>
      </c>
      <c r="E5">
        <f t="shared" si="2"/>
        <v>61</v>
      </c>
      <c r="F5" s="2">
        <f t="shared" si="3"/>
        <v>0.98360655737704916</v>
      </c>
      <c r="G5">
        <f t="shared" si="4"/>
        <v>20</v>
      </c>
      <c r="H5" s="3">
        <f t="shared" si="5"/>
        <v>59.016393442622942</v>
      </c>
      <c r="I5" s="13" t="s">
        <v>59</v>
      </c>
      <c r="J5" s="3">
        <v>99.968774395003891</v>
      </c>
      <c r="M5" s="1" t="s">
        <v>54</v>
      </c>
      <c r="N5" s="15">
        <v>1.3643000000000001</v>
      </c>
      <c r="O5" s="15">
        <v>20</v>
      </c>
      <c r="P5" s="5">
        <f t="shared" si="6"/>
        <v>21.3643</v>
      </c>
      <c r="Q5" s="6">
        <v>70</v>
      </c>
      <c r="R5" s="7">
        <v>2</v>
      </c>
      <c r="S5" s="8">
        <f t="shared" si="7"/>
        <v>0.8571428571428571</v>
      </c>
      <c r="T5" s="4">
        <v>20</v>
      </c>
      <c r="U5" s="9">
        <f t="shared" si="8"/>
        <v>34</v>
      </c>
      <c r="V5" s="10">
        <f t="shared" si="9"/>
        <v>0.2</v>
      </c>
    </row>
    <row r="6" spans="1:24" x14ac:dyDescent="0.25">
      <c r="A6" s="1" t="s">
        <v>51</v>
      </c>
      <c r="B6" s="1" t="s">
        <v>61</v>
      </c>
      <c r="C6" s="1">
        <v>1</v>
      </c>
      <c r="D6" s="28">
        <f t="shared" si="1"/>
        <v>3</v>
      </c>
      <c r="E6">
        <f t="shared" si="2"/>
        <v>61</v>
      </c>
      <c r="F6" s="2">
        <f t="shared" si="3"/>
        <v>0.98360655737704916</v>
      </c>
      <c r="G6">
        <f t="shared" si="4"/>
        <v>20</v>
      </c>
      <c r="H6" s="3">
        <f t="shared" si="5"/>
        <v>59.016393442622942</v>
      </c>
      <c r="I6" s="13" t="s">
        <v>61</v>
      </c>
      <c r="J6" s="3">
        <v>93.302107728337234</v>
      </c>
      <c r="M6" s="1" t="s">
        <v>56</v>
      </c>
      <c r="N6" s="15">
        <v>0.9627</v>
      </c>
      <c r="O6" s="15">
        <v>10</v>
      </c>
      <c r="P6" s="5">
        <f t="shared" si="6"/>
        <v>10.9627</v>
      </c>
      <c r="Q6" s="6">
        <v>60</v>
      </c>
      <c r="R6" s="7">
        <v>1</v>
      </c>
      <c r="S6" s="8">
        <f>60/(Q6)</f>
        <v>1</v>
      </c>
      <c r="T6" s="4">
        <v>20</v>
      </c>
      <c r="U6" s="9">
        <f>ROUND(R6*S6*T6,0)</f>
        <v>20</v>
      </c>
      <c r="V6" s="10">
        <f t="shared" si="9"/>
        <v>0.1</v>
      </c>
    </row>
    <row r="7" spans="1:24" x14ac:dyDescent="0.25">
      <c r="A7" s="1" t="s">
        <v>51</v>
      </c>
      <c r="B7" s="1" t="s">
        <v>62</v>
      </c>
      <c r="C7" s="1">
        <v>1</v>
      </c>
      <c r="D7" s="28">
        <f t="shared" si="1"/>
        <v>3</v>
      </c>
      <c r="E7">
        <f t="shared" si="2"/>
        <v>61</v>
      </c>
      <c r="F7" s="2">
        <f t="shared" si="3"/>
        <v>0.98360655737704916</v>
      </c>
      <c r="G7">
        <f t="shared" si="4"/>
        <v>20</v>
      </c>
      <c r="H7" s="3">
        <f t="shared" si="5"/>
        <v>59.016393442622942</v>
      </c>
      <c r="I7" s="13" t="s">
        <v>60</v>
      </c>
      <c r="J7" s="3">
        <v>93.302107728337234</v>
      </c>
      <c r="M7" s="1" t="s">
        <v>55</v>
      </c>
      <c r="N7" s="15">
        <v>1.4410000000000001</v>
      </c>
      <c r="O7" s="15">
        <v>15</v>
      </c>
      <c r="P7" s="5">
        <f t="shared" si="6"/>
        <v>16.440999999999999</v>
      </c>
      <c r="Q7" s="6">
        <v>180</v>
      </c>
      <c r="R7" s="11">
        <v>1</v>
      </c>
      <c r="S7" s="8">
        <f>60/(Q7)</f>
        <v>0.33333333333333331</v>
      </c>
      <c r="T7" s="4">
        <v>20</v>
      </c>
      <c r="U7" s="9">
        <f>ROUND(R7*S7*T7,0)</f>
        <v>7</v>
      </c>
      <c r="V7" s="10">
        <f t="shared" si="9"/>
        <v>0.1</v>
      </c>
    </row>
    <row r="8" spans="1:24" x14ac:dyDescent="0.25">
      <c r="A8" s="1" t="s">
        <v>51</v>
      </c>
      <c r="B8" s="1" t="s">
        <v>63</v>
      </c>
      <c r="C8" s="1">
        <v>1</v>
      </c>
      <c r="D8" s="28">
        <f t="shared" si="1"/>
        <v>3</v>
      </c>
      <c r="E8">
        <f t="shared" si="2"/>
        <v>61</v>
      </c>
      <c r="F8" s="2">
        <f t="shared" si="3"/>
        <v>0.98360655737704916</v>
      </c>
      <c r="G8">
        <f t="shared" si="4"/>
        <v>20</v>
      </c>
      <c r="H8" s="3">
        <f t="shared" si="5"/>
        <v>59.016393442622942</v>
      </c>
      <c r="I8" s="13" t="s">
        <v>63</v>
      </c>
      <c r="J8" s="3">
        <v>90.683060109289613</v>
      </c>
      <c r="V8" s="10">
        <f>SUM(V2:V7)</f>
        <v>1</v>
      </c>
    </row>
    <row r="9" spans="1:24" x14ac:dyDescent="0.25">
      <c r="A9" s="1" t="s">
        <v>51</v>
      </c>
      <c r="B9" s="1" t="s">
        <v>65</v>
      </c>
      <c r="C9" s="1">
        <v>1</v>
      </c>
      <c r="D9" s="28">
        <f t="shared" si="1"/>
        <v>3</v>
      </c>
      <c r="E9">
        <f t="shared" si="2"/>
        <v>61</v>
      </c>
      <c r="F9" s="2">
        <f t="shared" si="3"/>
        <v>0.98360655737704916</v>
      </c>
      <c r="G9">
        <f t="shared" si="4"/>
        <v>20</v>
      </c>
      <c r="H9" s="3">
        <f t="shared" si="5"/>
        <v>59.016393442622942</v>
      </c>
      <c r="I9" s="13" t="s">
        <v>62</v>
      </c>
      <c r="J9" s="3">
        <v>59.016393442622942</v>
      </c>
    </row>
    <row r="10" spans="1:24" x14ac:dyDescent="0.25">
      <c r="A10" s="33" t="s">
        <v>52</v>
      </c>
      <c r="B10" s="33" t="s">
        <v>57</v>
      </c>
      <c r="C10" s="33">
        <v>1</v>
      </c>
      <c r="D10" s="31">
        <f t="shared" si="1"/>
        <v>2</v>
      </c>
      <c r="E10">
        <f t="shared" si="2"/>
        <v>96</v>
      </c>
      <c r="F10" s="2">
        <f t="shared" si="3"/>
        <v>0.625</v>
      </c>
      <c r="G10">
        <f t="shared" si="4"/>
        <v>20</v>
      </c>
      <c r="H10" s="3">
        <f t="shared" si="5"/>
        <v>25</v>
      </c>
      <c r="I10" s="13" t="s">
        <v>68</v>
      </c>
      <c r="J10" s="3">
        <v>32.432432432432435</v>
      </c>
    </row>
    <row r="11" spans="1:24" x14ac:dyDescent="0.25">
      <c r="A11" s="33" t="s">
        <v>52</v>
      </c>
      <c r="B11" s="33" t="s">
        <v>58</v>
      </c>
      <c r="C11" s="33">
        <v>1</v>
      </c>
      <c r="D11" s="28">
        <f t="shared" si="1"/>
        <v>2</v>
      </c>
      <c r="E11">
        <f t="shared" si="2"/>
        <v>96</v>
      </c>
      <c r="F11" s="2">
        <f t="shared" si="3"/>
        <v>0.625</v>
      </c>
      <c r="G11">
        <f t="shared" si="4"/>
        <v>20</v>
      </c>
      <c r="H11" s="3">
        <f t="shared" si="5"/>
        <v>25</v>
      </c>
      <c r="I11" s="13" t="s">
        <v>67</v>
      </c>
      <c r="J11" s="3">
        <v>32.432432432432435</v>
      </c>
    </row>
    <row r="12" spans="1:24" x14ac:dyDescent="0.25">
      <c r="A12" s="33" t="s">
        <v>52</v>
      </c>
      <c r="B12" s="33" t="s">
        <v>63</v>
      </c>
      <c r="C12" s="33">
        <v>1</v>
      </c>
      <c r="D12" s="28">
        <f t="shared" si="1"/>
        <v>2</v>
      </c>
      <c r="E12">
        <f t="shared" si="2"/>
        <v>96</v>
      </c>
      <c r="F12" s="2">
        <f t="shared" si="3"/>
        <v>0.625</v>
      </c>
      <c r="G12">
        <f t="shared" si="4"/>
        <v>20</v>
      </c>
      <c r="H12" s="3">
        <f t="shared" si="5"/>
        <v>25</v>
      </c>
      <c r="I12" s="13" t="s">
        <v>66</v>
      </c>
      <c r="J12" s="3">
        <v>32.432432432432435</v>
      </c>
    </row>
    <row r="13" spans="1:24" x14ac:dyDescent="0.25">
      <c r="A13" s="33" t="s">
        <v>52</v>
      </c>
      <c r="B13" s="33" t="s">
        <v>64</v>
      </c>
      <c r="C13" s="33">
        <v>1</v>
      </c>
      <c r="D13" s="28">
        <f t="shared" si="1"/>
        <v>2</v>
      </c>
      <c r="E13">
        <f t="shared" si="2"/>
        <v>96</v>
      </c>
      <c r="F13" s="2">
        <f t="shared" si="3"/>
        <v>0.625</v>
      </c>
      <c r="G13">
        <f t="shared" si="4"/>
        <v>20</v>
      </c>
      <c r="H13" s="3">
        <f t="shared" si="5"/>
        <v>25</v>
      </c>
      <c r="I13" s="13" t="s">
        <v>64</v>
      </c>
      <c r="J13" s="3">
        <v>25</v>
      </c>
    </row>
    <row r="14" spans="1:24" x14ac:dyDescent="0.25">
      <c r="A14" s="33" t="s">
        <v>52</v>
      </c>
      <c r="B14" s="33" t="s">
        <v>65</v>
      </c>
      <c r="C14" s="33">
        <v>1</v>
      </c>
      <c r="D14" s="28">
        <f t="shared" ref="D14:D30" si="10">VLOOKUP(A14,$M$1:$W$8,6,FALSE)</f>
        <v>2</v>
      </c>
      <c r="E14">
        <f t="shared" ref="E14:E30" si="11">VLOOKUP(A14,$M$1:$W$8,5,FALSE)</f>
        <v>96</v>
      </c>
      <c r="F14" s="2">
        <f t="shared" ref="F14:F30" si="12">60/E14*C14</f>
        <v>0.625</v>
      </c>
      <c r="G14">
        <f t="shared" ref="G14:G30" si="13">VLOOKUP(A14,$M$1:$W$8,8,FALSE)</f>
        <v>20</v>
      </c>
      <c r="H14" s="3">
        <f t="shared" ref="H14:H30" si="14">D14*F14*G14</f>
        <v>25</v>
      </c>
      <c r="I14" s="13" t="s">
        <v>19</v>
      </c>
      <c r="J14" s="3">
        <v>984.95611536595129</v>
      </c>
    </row>
    <row r="15" spans="1:24" x14ac:dyDescent="0.25">
      <c r="A15" s="1" t="s">
        <v>53</v>
      </c>
      <c r="B15" s="1" t="s">
        <v>57</v>
      </c>
      <c r="C15" s="1">
        <v>1</v>
      </c>
      <c r="D15" s="31">
        <f t="shared" si="10"/>
        <v>1</v>
      </c>
      <c r="E15">
        <f t="shared" si="11"/>
        <v>37</v>
      </c>
      <c r="F15" s="2">
        <f t="shared" si="12"/>
        <v>1.6216216216216217</v>
      </c>
      <c r="G15">
        <f t="shared" si="13"/>
        <v>20</v>
      </c>
      <c r="H15" s="3">
        <f t="shared" si="14"/>
        <v>32.432432432432435</v>
      </c>
      <c r="J15"/>
    </row>
    <row r="16" spans="1:24" x14ac:dyDescent="0.25">
      <c r="A16" s="1" t="s">
        <v>53</v>
      </c>
      <c r="B16" s="1" t="s">
        <v>68</v>
      </c>
      <c r="C16" s="1">
        <v>1</v>
      </c>
      <c r="D16" s="28">
        <f t="shared" si="10"/>
        <v>1</v>
      </c>
      <c r="E16">
        <f t="shared" si="11"/>
        <v>37</v>
      </c>
      <c r="F16" s="2">
        <f t="shared" si="12"/>
        <v>1.6216216216216217</v>
      </c>
      <c r="G16">
        <f t="shared" si="13"/>
        <v>20</v>
      </c>
      <c r="H16" s="3">
        <f t="shared" si="14"/>
        <v>32.432432432432435</v>
      </c>
      <c r="J16"/>
    </row>
    <row r="17" spans="1:10" x14ac:dyDescent="0.25">
      <c r="A17" s="1" t="s">
        <v>53</v>
      </c>
      <c r="B17" s="1" t="s">
        <v>66</v>
      </c>
      <c r="C17" s="1">
        <v>1</v>
      </c>
      <c r="D17" s="28">
        <f t="shared" si="10"/>
        <v>1</v>
      </c>
      <c r="E17">
        <f t="shared" si="11"/>
        <v>37</v>
      </c>
      <c r="F17" s="2">
        <f t="shared" si="12"/>
        <v>1.6216216216216217</v>
      </c>
      <c r="G17">
        <f t="shared" si="13"/>
        <v>20</v>
      </c>
      <c r="H17" s="3">
        <f t="shared" si="14"/>
        <v>32.432432432432435</v>
      </c>
      <c r="J17"/>
    </row>
    <row r="18" spans="1:10" x14ac:dyDescent="0.25">
      <c r="A18" s="1" t="s">
        <v>53</v>
      </c>
      <c r="B18" s="1" t="s">
        <v>67</v>
      </c>
      <c r="C18" s="1">
        <v>1</v>
      </c>
      <c r="D18" s="28">
        <f t="shared" si="10"/>
        <v>1</v>
      </c>
      <c r="E18">
        <f t="shared" si="11"/>
        <v>37</v>
      </c>
      <c r="F18" s="2">
        <f t="shared" si="12"/>
        <v>1.6216216216216217</v>
      </c>
      <c r="G18">
        <f t="shared" si="13"/>
        <v>20</v>
      </c>
      <c r="H18" s="3">
        <f t="shared" si="14"/>
        <v>32.432432432432435</v>
      </c>
      <c r="J18"/>
    </row>
    <row r="19" spans="1:10" x14ac:dyDescent="0.25">
      <c r="A19" s="33" t="s">
        <v>55</v>
      </c>
      <c r="B19" s="33" t="s">
        <v>57</v>
      </c>
      <c r="C19" s="33">
        <v>1</v>
      </c>
      <c r="D19" s="32">
        <f t="shared" si="10"/>
        <v>1</v>
      </c>
      <c r="E19">
        <f t="shared" si="11"/>
        <v>180</v>
      </c>
      <c r="F19" s="2">
        <f t="shared" si="12"/>
        <v>0.33333333333333331</v>
      </c>
      <c r="G19">
        <f t="shared" si="13"/>
        <v>20</v>
      </c>
      <c r="H19" s="3">
        <f t="shared" si="14"/>
        <v>6.6666666666666661</v>
      </c>
      <c r="J19"/>
    </row>
    <row r="20" spans="1:10" x14ac:dyDescent="0.25">
      <c r="A20" s="33" t="s">
        <v>55</v>
      </c>
      <c r="B20" s="33" t="s">
        <v>58</v>
      </c>
      <c r="C20" s="33">
        <v>1</v>
      </c>
      <c r="D20" s="28">
        <f t="shared" si="10"/>
        <v>1</v>
      </c>
      <c r="E20">
        <f t="shared" si="11"/>
        <v>180</v>
      </c>
      <c r="F20" s="2">
        <f t="shared" si="12"/>
        <v>0.33333333333333331</v>
      </c>
      <c r="G20">
        <f t="shared" si="13"/>
        <v>20</v>
      </c>
      <c r="H20" s="3">
        <f t="shared" si="14"/>
        <v>6.6666666666666661</v>
      </c>
      <c r="J20"/>
    </row>
    <row r="21" spans="1:10" x14ac:dyDescent="0.25">
      <c r="A21" s="33" t="s">
        <v>55</v>
      </c>
      <c r="B21" s="33" t="s">
        <v>63</v>
      </c>
      <c r="C21" s="33">
        <v>1</v>
      </c>
      <c r="D21" s="28">
        <f t="shared" si="10"/>
        <v>1</v>
      </c>
      <c r="E21">
        <f t="shared" si="11"/>
        <v>180</v>
      </c>
      <c r="F21" s="2">
        <f t="shared" si="12"/>
        <v>0.33333333333333331</v>
      </c>
      <c r="G21">
        <f t="shared" si="13"/>
        <v>20</v>
      </c>
      <c r="H21" s="3">
        <f t="shared" si="14"/>
        <v>6.6666666666666661</v>
      </c>
      <c r="J21"/>
    </row>
    <row r="22" spans="1:10" x14ac:dyDescent="0.25">
      <c r="A22" s="33" t="s">
        <v>55</v>
      </c>
      <c r="B22" s="33" t="s">
        <v>59</v>
      </c>
      <c r="C22" s="33">
        <v>1</v>
      </c>
      <c r="D22" s="28">
        <f t="shared" si="10"/>
        <v>1</v>
      </c>
      <c r="E22">
        <f t="shared" si="11"/>
        <v>180</v>
      </c>
      <c r="F22" s="2">
        <f t="shared" si="12"/>
        <v>0.33333333333333331</v>
      </c>
      <c r="G22">
        <f t="shared" si="13"/>
        <v>20</v>
      </c>
      <c r="H22" s="3">
        <f t="shared" si="14"/>
        <v>6.6666666666666661</v>
      </c>
    </row>
    <row r="23" spans="1:10" x14ac:dyDescent="0.25">
      <c r="A23" s="1" t="s">
        <v>56</v>
      </c>
      <c r="B23" s="1" t="s">
        <v>57</v>
      </c>
      <c r="C23" s="1">
        <v>1</v>
      </c>
      <c r="D23" s="32">
        <f t="shared" si="10"/>
        <v>1</v>
      </c>
      <c r="E23">
        <f t="shared" si="11"/>
        <v>60</v>
      </c>
      <c r="F23" s="2">
        <f t="shared" si="12"/>
        <v>1</v>
      </c>
      <c r="G23">
        <f t="shared" si="13"/>
        <v>20</v>
      </c>
      <c r="H23" s="3">
        <f t="shared" si="14"/>
        <v>20</v>
      </c>
    </row>
    <row r="24" spans="1:10" x14ac:dyDescent="0.25">
      <c r="A24" s="1" t="s">
        <v>56</v>
      </c>
      <c r="B24" s="1" t="s">
        <v>58</v>
      </c>
      <c r="C24" s="1">
        <v>1</v>
      </c>
      <c r="D24" s="28">
        <f t="shared" si="10"/>
        <v>1</v>
      </c>
      <c r="E24">
        <f t="shared" si="11"/>
        <v>60</v>
      </c>
      <c r="F24" s="2">
        <f t="shared" si="12"/>
        <v>1</v>
      </c>
      <c r="G24">
        <f t="shared" si="13"/>
        <v>20</v>
      </c>
      <c r="H24" s="3">
        <f t="shared" si="14"/>
        <v>20</v>
      </c>
    </row>
    <row r="25" spans="1:10" x14ac:dyDescent="0.25">
      <c r="A25" s="1" t="s">
        <v>56</v>
      </c>
      <c r="B25" s="1" t="s">
        <v>65</v>
      </c>
      <c r="C25" s="1">
        <v>1</v>
      </c>
      <c r="D25" s="28">
        <f t="shared" si="10"/>
        <v>1</v>
      </c>
      <c r="E25">
        <f t="shared" si="11"/>
        <v>60</v>
      </c>
      <c r="F25" s="2">
        <f t="shared" si="12"/>
        <v>1</v>
      </c>
      <c r="G25">
        <f t="shared" si="13"/>
        <v>20</v>
      </c>
      <c r="H25" s="3">
        <f t="shared" si="14"/>
        <v>20</v>
      </c>
    </row>
    <row r="26" spans="1:10" x14ac:dyDescent="0.25">
      <c r="A26" s="33" t="s">
        <v>54</v>
      </c>
      <c r="B26" s="33" t="s">
        <v>57</v>
      </c>
      <c r="C26" s="33">
        <v>1</v>
      </c>
      <c r="D26" s="32">
        <f t="shared" si="10"/>
        <v>2</v>
      </c>
      <c r="E26">
        <f t="shared" si="11"/>
        <v>70</v>
      </c>
      <c r="F26" s="2">
        <f t="shared" si="12"/>
        <v>0.8571428571428571</v>
      </c>
      <c r="G26">
        <f t="shared" si="13"/>
        <v>20</v>
      </c>
      <c r="H26" s="3">
        <f t="shared" si="14"/>
        <v>34.285714285714285</v>
      </c>
    </row>
    <row r="27" spans="1:10" x14ac:dyDescent="0.25">
      <c r="A27" s="33" t="s">
        <v>54</v>
      </c>
      <c r="B27" s="33" t="s">
        <v>58</v>
      </c>
      <c r="C27" s="33">
        <v>1</v>
      </c>
      <c r="D27" s="28">
        <f t="shared" si="10"/>
        <v>2</v>
      </c>
      <c r="E27">
        <f t="shared" si="11"/>
        <v>70</v>
      </c>
      <c r="F27" s="2">
        <f t="shared" si="12"/>
        <v>0.8571428571428571</v>
      </c>
      <c r="G27">
        <f t="shared" si="13"/>
        <v>20</v>
      </c>
      <c r="H27" s="3">
        <f t="shared" si="14"/>
        <v>34.285714285714285</v>
      </c>
    </row>
    <row r="28" spans="1:10" x14ac:dyDescent="0.25">
      <c r="A28" s="33" t="s">
        <v>54</v>
      </c>
      <c r="B28" s="33" t="s">
        <v>59</v>
      </c>
      <c r="C28" s="33">
        <v>1</v>
      </c>
      <c r="D28" s="28">
        <f t="shared" si="10"/>
        <v>2</v>
      </c>
      <c r="E28">
        <f t="shared" si="11"/>
        <v>70</v>
      </c>
      <c r="F28" s="2">
        <f t="shared" si="12"/>
        <v>0.8571428571428571</v>
      </c>
      <c r="G28">
        <f t="shared" si="13"/>
        <v>20</v>
      </c>
      <c r="H28" s="3">
        <f t="shared" si="14"/>
        <v>34.285714285714285</v>
      </c>
    </row>
    <row r="29" spans="1:10" x14ac:dyDescent="0.25">
      <c r="A29" s="33" t="s">
        <v>54</v>
      </c>
      <c r="B29" s="33" t="s">
        <v>60</v>
      </c>
      <c r="C29" s="33">
        <v>1</v>
      </c>
      <c r="D29" s="28">
        <f t="shared" si="10"/>
        <v>2</v>
      </c>
      <c r="E29">
        <f t="shared" si="11"/>
        <v>70</v>
      </c>
      <c r="F29" s="2">
        <f t="shared" si="12"/>
        <v>0.8571428571428571</v>
      </c>
      <c r="G29">
        <f t="shared" si="13"/>
        <v>20</v>
      </c>
      <c r="H29" s="3">
        <f t="shared" si="14"/>
        <v>34.285714285714285</v>
      </c>
    </row>
    <row r="30" spans="1:10" x14ac:dyDescent="0.25">
      <c r="A30" s="33" t="s">
        <v>54</v>
      </c>
      <c r="B30" s="33" t="s">
        <v>61</v>
      </c>
      <c r="C30" s="33">
        <v>1</v>
      </c>
      <c r="D30" s="37">
        <f t="shared" si="10"/>
        <v>2</v>
      </c>
      <c r="E30">
        <f t="shared" si="11"/>
        <v>70</v>
      </c>
      <c r="F30" s="2">
        <f t="shared" si="12"/>
        <v>0.8571428571428571</v>
      </c>
      <c r="G30">
        <f t="shared" si="13"/>
        <v>20</v>
      </c>
      <c r="H30" s="3">
        <f t="shared" si="14"/>
        <v>34.285714285714285</v>
      </c>
    </row>
    <row r="31" spans="1:10" x14ac:dyDescent="0.25">
      <c r="E31" s="3"/>
      <c r="F31" s="2"/>
      <c r="H31" s="3"/>
    </row>
    <row r="32" spans="1:10" x14ac:dyDescent="0.25">
      <c r="E32" s="3"/>
      <c r="F32" s="2"/>
      <c r="H32" s="3"/>
    </row>
    <row r="33" spans="1:13" x14ac:dyDescent="0.25">
      <c r="E33" s="3"/>
      <c r="F33" s="2"/>
      <c r="H33" s="3"/>
    </row>
    <row r="34" spans="1:13" ht="15.75" thickBot="1" x14ac:dyDescent="0.3"/>
    <row r="35" spans="1:13" x14ac:dyDescent="0.25">
      <c r="A35" s="46" t="s">
        <v>33</v>
      </c>
      <c r="B35" s="47"/>
    </row>
    <row r="36" spans="1:13" ht="187.5" x14ac:dyDescent="0.25">
      <c r="A36" s="16" t="s">
        <v>34</v>
      </c>
      <c r="B36" s="17" t="s">
        <v>35</v>
      </c>
      <c r="C36" s="18" t="s">
        <v>36</v>
      </c>
      <c r="D36" s="19" t="s">
        <v>37</v>
      </c>
      <c r="F36" s="16" t="s">
        <v>34</v>
      </c>
      <c r="G36" s="29" t="s">
        <v>38</v>
      </c>
      <c r="H36" s="42" t="s">
        <v>69</v>
      </c>
      <c r="I36" s="29" t="s">
        <v>39</v>
      </c>
      <c r="J36" s="42" t="s">
        <v>70</v>
      </c>
      <c r="K36" s="29" t="s">
        <v>39</v>
      </c>
      <c r="L36" s="42" t="s">
        <v>71</v>
      </c>
      <c r="M36" s="29" t="s">
        <v>39</v>
      </c>
    </row>
    <row r="37" spans="1:13" ht="18.75" x14ac:dyDescent="0.25">
      <c r="A37" s="16" t="s">
        <v>57</v>
      </c>
      <c r="B37" s="20">
        <v>520</v>
      </c>
      <c r="C37" s="27">
        <f>GETPIVOTDATA("Итого",$I$1,"transaction rq",A37)*3</f>
        <v>532.20362048230902</v>
      </c>
      <c r="D37" s="21">
        <f t="shared" ref="D37:D38" si="15">1-B37/C37</f>
        <v>2.2930359758262298E-2</v>
      </c>
      <c r="F37" s="16" t="str">
        <f>VLOOKUP(A37,Соответствие!$A$1:$B$12,2,0)</f>
        <v>go_to_webtours</v>
      </c>
      <c r="G37" s="5">
        <f>C37/3</f>
        <v>177.40120682743634</v>
      </c>
      <c r="H37" s="41">
        <f>VLOOKUP(F37,Анализ!$A$1:$J$13,8,FALSE)</f>
        <v>180</v>
      </c>
      <c r="I37" s="50">
        <f t="shared" ref="I37:I48" si="16">1-G37/H37</f>
        <v>1.4437739847575903E-2</v>
      </c>
      <c r="J37" s="43">
        <f>VLOOKUP(F37,'анализ максимума'!$A$1:$J$13,8,0)/4</f>
        <v>178</v>
      </c>
      <c r="K37" s="50">
        <f>1-G37/J37</f>
        <v>3.3640065874362968E-3</v>
      </c>
      <c r="L37" s="43">
        <f>VLOOKUP(F37,'анализ подтверждения максимума'!$A$1:$J$13,8,0)/(3*3.6)</f>
        <v>178.42592592592592</v>
      </c>
      <c r="M37" s="50">
        <f>1-G37/L37</f>
        <v>5.7431065198170206E-3</v>
      </c>
    </row>
    <row r="38" spans="1:13" ht="18.75" x14ac:dyDescent="0.25">
      <c r="A38" s="35" t="s">
        <v>58</v>
      </c>
      <c r="B38" s="36">
        <v>422</v>
      </c>
      <c r="C38" s="27">
        <f>GETPIVOTDATA("Итого",$I$1,"transaction rq",A38)*3</f>
        <v>434.90632318501167</v>
      </c>
      <c r="D38" s="21">
        <f t="shared" si="15"/>
        <v>2.9676099189574812E-2</v>
      </c>
      <c r="F38" s="16" t="str">
        <f>VLOOKUP(A38,Соответствие!$A$1:$B$12,2,0)</f>
        <v>login</v>
      </c>
      <c r="G38" s="5">
        <f t="shared" ref="G38:G48" si="17">C38/3</f>
        <v>144.96877439500389</v>
      </c>
      <c r="H38" s="41">
        <f>VLOOKUP(F38,Анализ!$A$1:$J$13,8,FALSE)</f>
        <v>148</v>
      </c>
      <c r="I38" s="50">
        <f t="shared" si="16"/>
        <v>2.048125408781154E-2</v>
      </c>
      <c r="J38" s="43">
        <f>VLOOKUP(F38,'анализ максимума'!$A$1:$J$13,8,0)/4</f>
        <v>146</v>
      </c>
      <c r="K38" s="50">
        <f t="shared" ref="K38:K48" si="18">1-G38/J38</f>
        <v>7.0631890753157789E-3</v>
      </c>
      <c r="L38" s="43">
        <f>VLOOKUP(F38,'анализ подтверждения максимума'!$A$1:$J$13,8,0)/(3*3.6)</f>
        <v>142.40740740740739</v>
      </c>
      <c r="M38" s="50">
        <f t="shared" ref="M38:M48" si="19">1-G38/L38</f>
        <v>-1.7986192110560628E-2</v>
      </c>
    </row>
    <row r="39" spans="1:13" ht="37.5" x14ac:dyDescent="0.25">
      <c r="A39" s="16" t="s">
        <v>59</v>
      </c>
      <c r="B39" s="20">
        <v>305</v>
      </c>
      <c r="C39" s="27">
        <f>GETPIVOTDATA("Итого",$I$1,"transaction rq",A39)*3</f>
        <v>299.90632318501167</v>
      </c>
      <c r="D39" s="21">
        <f>1-B39/C39</f>
        <v>-1.6984226143995196E-2</v>
      </c>
      <c r="F39" s="16" t="str">
        <f>VLOOKUP(A39,Соответствие!$A$1:$B$12,2,0)</f>
        <v>go_to_flights</v>
      </c>
      <c r="G39" s="5">
        <f t="shared" si="17"/>
        <v>99.968774395003891</v>
      </c>
      <c r="H39" s="41">
        <f>VLOOKUP(F39,Анализ!$A$1:$J$13,8,FALSE)</f>
        <v>102</v>
      </c>
      <c r="I39" s="50">
        <f t="shared" si="16"/>
        <v>1.991397651956972E-2</v>
      </c>
      <c r="J39" s="43">
        <f>VLOOKUP(F39,'анализ максимума'!$A$1:$J$13,8,0)/4</f>
        <v>101</v>
      </c>
      <c r="K39" s="50">
        <f t="shared" si="18"/>
        <v>1.0210154504912028E-2</v>
      </c>
      <c r="L39" s="43">
        <f>VLOOKUP(F39,'анализ подтверждения максимума'!$A$1:$J$13,8,0)/(3*3.6)</f>
        <v>98.055555555555543</v>
      </c>
      <c r="M39" s="50">
        <f t="shared" si="19"/>
        <v>-1.9511580232334458E-2</v>
      </c>
    </row>
    <row r="40" spans="1:13" ht="37.5" x14ac:dyDescent="0.25">
      <c r="A40" s="35" t="s">
        <v>60</v>
      </c>
      <c r="B40" s="36">
        <v>282</v>
      </c>
      <c r="C40" s="27">
        <f t="shared" ref="C40:C48" si="20">GETPIVOTDATA("Итого",$I$1,"transaction rq",A40)*3</f>
        <v>279.90632318501173</v>
      </c>
      <c r="D40" s="22">
        <f t="shared" ref="D40:D48" si="21">1-B40/C40</f>
        <v>-7.4799196787147526E-3</v>
      </c>
      <c r="F40" s="16" t="str">
        <f>VLOOKUP(A40,Соответствие!$A$1:$B$12,2,0)</f>
        <v>find_flight</v>
      </c>
      <c r="G40" s="5">
        <f t="shared" si="17"/>
        <v>93.302107728337248</v>
      </c>
      <c r="H40" s="41">
        <f>VLOOKUP(F40,Анализ!$A$1:$J$13,8,FALSE)</f>
        <v>94</v>
      </c>
      <c r="I40" s="50">
        <f t="shared" si="16"/>
        <v>7.4243858687527142E-3</v>
      </c>
      <c r="J40" s="43">
        <f>VLOOKUP(F40,'анализ максимума'!$A$1:$J$13,8,0)/4</f>
        <v>94</v>
      </c>
      <c r="K40" s="50">
        <f t="shared" si="18"/>
        <v>7.4243858687527142E-3</v>
      </c>
      <c r="L40" s="43">
        <f>VLOOKUP(F40,'анализ подтверждения максимума'!$A$1:$J$13,8,0)/(3*3.6)</f>
        <v>92.5</v>
      </c>
      <c r="M40" s="50">
        <f t="shared" si="19"/>
        <v>-8.6714349009431313E-3</v>
      </c>
    </row>
    <row r="41" spans="1:13" ht="18.75" x14ac:dyDescent="0.25">
      <c r="A41" s="34" t="s">
        <v>61</v>
      </c>
      <c r="B41" s="20">
        <v>270</v>
      </c>
      <c r="C41" s="27">
        <f>GETPIVOTDATA("Итого",$I$1,"transaction rq",A41)*3</f>
        <v>279.90632318501173</v>
      </c>
      <c r="D41" s="22">
        <f t="shared" si="21"/>
        <v>3.5391566265060348E-2</v>
      </c>
      <c r="F41" s="16" t="str">
        <f>VLOOKUP(A41,Соответствие!$A$1:$B$12,2,0)</f>
        <v>choose_flight</v>
      </c>
      <c r="G41" s="5">
        <f t="shared" si="17"/>
        <v>93.302107728337248</v>
      </c>
      <c r="H41" s="41">
        <f>VLOOKUP(F41,Анализ!$A$1:$J$13,8,FALSE)</f>
        <v>94</v>
      </c>
      <c r="I41" s="50">
        <f t="shared" si="16"/>
        <v>7.4243858687527142E-3</v>
      </c>
      <c r="J41" s="43">
        <f>VLOOKUP(F41,'анализ максимума'!$A$1:$J$13,8,0)/4</f>
        <v>93.5</v>
      </c>
      <c r="K41" s="50">
        <f t="shared" si="18"/>
        <v>2.1164948840936004E-3</v>
      </c>
      <c r="L41" s="43">
        <f>VLOOKUP(F41,'анализ подтверждения максимума'!$A$1:$J$13,8,0)/(3*3.6)</f>
        <v>92.5</v>
      </c>
      <c r="M41" s="50">
        <f t="shared" si="19"/>
        <v>-8.6714349009431313E-3</v>
      </c>
    </row>
    <row r="42" spans="1:13" ht="18.75" x14ac:dyDescent="0.25">
      <c r="A42" s="35" t="s">
        <v>62</v>
      </c>
      <c r="B42" s="36">
        <v>175</v>
      </c>
      <c r="C42" s="27">
        <f t="shared" si="20"/>
        <v>177.04918032786884</v>
      </c>
      <c r="D42" s="22">
        <f t="shared" si="21"/>
        <v>1.1574074074073959E-2</v>
      </c>
      <c r="F42" s="16" t="str">
        <f>VLOOKUP(A42,Соответствие!$A$1:$B$12,2,0)</f>
        <v>payment_info</v>
      </c>
      <c r="G42" s="5">
        <f t="shared" si="17"/>
        <v>59.016393442622949</v>
      </c>
      <c r="H42" s="41">
        <f>VLOOKUP(F42,Анализ!$A$1:$J$13,8,FALSE)</f>
        <v>59</v>
      </c>
      <c r="I42" s="50">
        <f t="shared" si="16"/>
        <v>-2.7785495971088814E-4</v>
      </c>
      <c r="J42" s="43">
        <f>VLOOKUP(F42,'анализ максимума'!$A$1:$J$13,8,0)/4</f>
        <v>59</v>
      </c>
      <c r="K42" s="50">
        <f t="shared" si="18"/>
        <v>-2.7785495971088814E-4</v>
      </c>
      <c r="L42" s="43">
        <f>VLOOKUP(F42,'анализ подтверждения максимума'!$A$1:$J$13,8,0)/(3*3.6)</f>
        <v>54.81481481481481</v>
      </c>
      <c r="M42" s="50">
        <f t="shared" si="19"/>
        <v>-7.6650420912716122E-2</v>
      </c>
    </row>
    <row r="43" spans="1:13" ht="18.75" x14ac:dyDescent="0.25">
      <c r="A43" s="34" t="s">
        <v>63</v>
      </c>
      <c r="B43" s="20">
        <v>280</v>
      </c>
      <c r="C43" s="27">
        <f t="shared" si="20"/>
        <v>272.04918032786884</v>
      </c>
      <c r="D43" s="22">
        <f t="shared" si="21"/>
        <v>-2.9225670382645452E-2</v>
      </c>
      <c r="F43" s="16" t="str">
        <f>VLOOKUP(A43,Соответствие!$A$1:$B$12,2,0)</f>
        <v>goto_Itinerary</v>
      </c>
      <c r="G43" s="5">
        <f t="shared" si="17"/>
        <v>90.683060109289613</v>
      </c>
      <c r="H43" s="41">
        <f>VLOOKUP(F43,Анализ!$A$1:$J$13,8,FALSE)</f>
        <v>91</v>
      </c>
      <c r="I43" s="50">
        <f t="shared" si="16"/>
        <v>3.4828559418723648E-3</v>
      </c>
      <c r="J43" s="43">
        <f>VLOOKUP(F43,'анализ максимума'!$A$1:$J$13,8,0)/4</f>
        <v>91.25</v>
      </c>
      <c r="K43" s="50">
        <f t="shared" si="18"/>
        <v>6.2130398981959933E-3</v>
      </c>
      <c r="L43" s="43">
        <f>VLOOKUP(F43,'анализ подтверждения максимума'!$A$1:$J$13,8,0)/(3*3.6)</f>
        <v>87.870370370370367</v>
      </c>
      <c r="M43" s="50">
        <f t="shared" si="19"/>
        <v>-3.2009535490334917E-2</v>
      </c>
    </row>
    <row r="44" spans="1:13" ht="18.75" x14ac:dyDescent="0.25">
      <c r="A44" s="35" t="s">
        <v>64</v>
      </c>
      <c r="B44" s="36">
        <v>73</v>
      </c>
      <c r="C44" s="27">
        <f t="shared" si="20"/>
        <v>75</v>
      </c>
      <c r="D44" s="22">
        <f t="shared" si="21"/>
        <v>2.6666666666666616E-2</v>
      </c>
      <c r="F44" s="16" t="str">
        <f>VLOOKUP(A44,Соответствие!$A$1:$B$12,2,0)</f>
        <v>deleting_bron</v>
      </c>
      <c r="G44" s="5">
        <f t="shared" si="17"/>
        <v>25</v>
      </c>
      <c r="H44" s="41">
        <f>VLOOKUP(F44,Анализ!$A$1:$J$13,8,FALSE)</f>
        <v>24</v>
      </c>
      <c r="I44" s="50">
        <f t="shared" si="16"/>
        <v>-4.1666666666666741E-2</v>
      </c>
      <c r="J44" s="43">
        <f>VLOOKUP(F44,'анализ максимума'!$A$1:$J$13,8,0)/4</f>
        <v>25.5</v>
      </c>
      <c r="K44" s="50">
        <f t="shared" si="18"/>
        <v>1.9607843137254943E-2</v>
      </c>
      <c r="L44" s="43">
        <f>VLOOKUP(F44,'анализ подтверждения максимума'!$A$1:$J$13,8,0)/(3*3.6)</f>
        <v>27.499999999999996</v>
      </c>
      <c r="M44" s="50">
        <f t="shared" si="19"/>
        <v>9.0909090909090828E-2</v>
      </c>
    </row>
    <row r="45" spans="1:13" ht="18.75" x14ac:dyDescent="0.25">
      <c r="A45" s="34" t="s">
        <v>65</v>
      </c>
      <c r="B45" s="20">
        <v>326</v>
      </c>
      <c r="C45" s="27">
        <f>GETPIVOTDATA("Итого",$I$1,"transaction rq",A45)*3</f>
        <v>312.04918032786884</v>
      </c>
      <c r="D45" s="22">
        <f>1-B45/C45</f>
        <v>-4.4707118465983742E-2</v>
      </c>
      <c r="F45" s="16" t="str">
        <f>VLOOKUP(A45,Соответствие!$A$1:$B$12,2,0)</f>
        <v>logout</v>
      </c>
      <c r="G45" s="5">
        <f t="shared" si="17"/>
        <v>104.01639344262294</v>
      </c>
      <c r="H45" s="41">
        <f>VLOOKUP(F45,Анализ!$A$1:$J$13,8,FALSE)</f>
        <v>103</v>
      </c>
      <c r="I45" s="50">
        <f t="shared" si="16"/>
        <v>-9.8678975011936565E-3</v>
      </c>
      <c r="J45" s="43">
        <f>VLOOKUP(F45,'анализ максимума'!$A$1:$J$13,8,0)/4</f>
        <v>104</v>
      </c>
      <c r="K45" s="50">
        <f t="shared" si="18"/>
        <v>-1.5762925598972188E-4</v>
      </c>
      <c r="L45" s="43">
        <f>VLOOKUP(F45,'анализ подтверждения максимума'!$A$1:$J$13,8,0)/(3*3.6)</f>
        <v>98.703703703703695</v>
      </c>
      <c r="M45" s="50">
        <f t="shared" si="19"/>
        <v>-5.3824623996555188E-2</v>
      </c>
    </row>
    <row r="46" spans="1:13" ht="37.5" x14ac:dyDescent="0.25">
      <c r="A46" s="35" t="s">
        <v>68</v>
      </c>
      <c r="B46" s="36">
        <v>97</v>
      </c>
      <c r="C46" s="27">
        <f t="shared" si="20"/>
        <v>97.297297297297305</v>
      </c>
      <c r="D46" s="22">
        <f t="shared" si="21"/>
        <v>3.0555555555555891E-3</v>
      </c>
      <c r="F46" s="16" t="str">
        <f>VLOOKUP(A46,Соответствие!$A$1:$B$12,2,0)</f>
        <v>goto_registrationform</v>
      </c>
      <c r="G46" s="5">
        <f t="shared" si="17"/>
        <v>32.432432432432435</v>
      </c>
      <c r="H46" s="41">
        <f>VLOOKUP(F46,Анализ!$A$1:$J$13,8,FALSE)</f>
        <v>32</v>
      </c>
      <c r="I46" s="50">
        <f t="shared" si="16"/>
        <v>-1.3513513513513598E-2</v>
      </c>
      <c r="J46" s="43">
        <f>VLOOKUP(F46,'анализ максимума'!$A$1:$J$13,8,0)/4</f>
        <v>32.5</v>
      </c>
      <c r="K46" s="50">
        <f t="shared" si="18"/>
        <v>2.0790020790020236E-3</v>
      </c>
      <c r="L46" s="43">
        <f>VLOOKUP(F46,'анализ подтверждения максимума'!$A$1:$J$13,8,0)/(3*3.6)</f>
        <v>35.925925925925924</v>
      </c>
      <c r="M46" s="50">
        <f t="shared" si="19"/>
        <v>9.7241571468375421E-2</v>
      </c>
    </row>
    <row r="47" spans="1:13" ht="37.5" x14ac:dyDescent="0.25">
      <c r="A47" s="34" t="s">
        <v>66</v>
      </c>
      <c r="B47" s="20">
        <v>97</v>
      </c>
      <c r="C47" s="27">
        <f t="shared" si="20"/>
        <v>97.297297297297305</v>
      </c>
      <c r="D47" s="22">
        <f t="shared" si="21"/>
        <v>3.0555555555555891E-3</v>
      </c>
      <c r="F47" s="16" t="str">
        <f>VLOOKUP(A47,Соответствие!$A$1:$B$12,2,0)</f>
        <v>enter_userinfo</v>
      </c>
      <c r="G47" s="5">
        <f t="shared" si="17"/>
        <v>32.432432432432435</v>
      </c>
      <c r="H47" s="41">
        <f>VLOOKUP(F47,Анализ!$A$1:$J$13,8,FALSE)</f>
        <v>32</v>
      </c>
      <c r="I47" s="50">
        <f t="shared" si="16"/>
        <v>-1.3513513513513598E-2</v>
      </c>
      <c r="J47" s="43">
        <f>VLOOKUP(F47,'анализ максимума'!$A$1:$J$13,8,0)/4</f>
        <v>32.5</v>
      </c>
      <c r="K47" s="50">
        <f t="shared" si="18"/>
        <v>2.0790020790020236E-3</v>
      </c>
      <c r="L47" s="43">
        <f>VLOOKUP(F47,'анализ подтверждения максимума'!$A$1:$J$13,8,0)/(3*3.6)</f>
        <v>35.925925925925924</v>
      </c>
      <c r="M47" s="50">
        <f t="shared" si="19"/>
        <v>9.7241571468375421E-2</v>
      </c>
    </row>
    <row r="48" spans="1:13" ht="37.5" x14ac:dyDescent="0.25">
      <c r="A48" s="35" t="s">
        <v>67</v>
      </c>
      <c r="B48" s="36">
        <v>97</v>
      </c>
      <c r="C48" s="27">
        <f t="shared" si="20"/>
        <v>97.297297297297305</v>
      </c>
      <c r="D48" s="22">
        <f t="shared" si="21"/>
        <v>3.0555555555555891E-3</v>
      </c>
      <c r="F48" s="16" t="str">
        <f>VLOOKUP(A48,Соответствие!$A$1:$B$12,2,0)</f>
        <v>next_page_after_registration</v>
      </c>
      <c r="G48" s="5">
        <f t="shared" si="17"/>
        <v>32.432432432432435</v>
      </c>
      <c r="H48" s="41">
        <f>VLOOKUP(F48,Анализ!$A$1:$J$13,8,FALSE)</f>
        <v>32</v>
      </c>
      <c r="I48" s="50">
        <f t="shared" si="16"/>
        <v>-1.3513513513513598E-2</v>
      </c>
      <c r="J48" s="43">
        <f>VLOOKUP(F48,'анализ максимума'!$A$1:$J$13,8,0)/4</f>
        <v>32.25</v>
      </c>
      <c r="K48" s="50">
        <f t="shared" si="18"/>
        <v>-5.6568196103081725E-3</v>
      </c>
      <c r="L48" s="43">
        <f>VLOOKUP(F48,'анализ подтверждения максимума'!$A$1:$J$13,8,0)/(3*3.6)</f>
        <v>36.111111111111107</v>
      </c>
      <c r="M48" s="50">
        <f t="shared" si="19"/>
        <v>0.10187110187110171</v>
      </c>
    </row>
    <row r="49" spans="1:10" ht="19.5" thickBot="1" x14ac:dyDescent="0.3">
      <c r="A49" s="23" t="s">
        <v>7</v>
      </c>
      <c r="B49" s="24">
        <f>SUM(B37:B48)</f>
        <v>2944</v>
      </c>
      <c r="C49" s="25">
        <f>SUM(C37:C48)</f>
        <v>2954.8683460978546</v>
      </c>
      <c r="D49" s="26">
        <f>1-B49/C49</f>
        <v>3.6781151729508021E-3</v>
      </c>
      <c r="J49" s="3">
        <f>SUM(J37:J48)*4</f>
        <v>3958</v>
      </c>
    </row>
  </sheetData>
  <mergeCells count="1">
    <mergeCell ref="A35:B35"/>
  </mergeCells>
  <phoneticPr fontId="12" type="noConversion"/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8A95-1328-448C-80C0-001D96B92687}">
  <dimension ref="A1:U39"/>
  <sheetViews>
    <sheetView workbookViewId="0">
      <selection activeCell="L1" sqref="L1"/>
    </sheetView>
  </sheetViews>
  <sheetFormatPr defaultRowHeight="15" x14ac:dyDescent="0.25"/>
  <cols>
    <col min="1" max="1" width="36.7109375" bestFit="1" customWidth="1"/>
    <col min="10" max="10" width="5" bestFit="1" customWidth="1"/>
    <col min="12" max="12" width="27" customWidth="1"/>
  </cols>
  <sheetData>
    <row r="1" spans="1:21" x14ac:dyDescent="0.25">
      <c r="A1" s="30" t="s">
        <v>40</v>
      </c>
      <c r="B1" s="30" t="s">
        <v>41</v>
      </c>
      <c r="C1" s="30" t="s">
        <v>42</v>
      </c>
      <c r="D1" s="30" t="s">
        <v>43</v>
      </c>
      <c r="E1" s="30" t="s">
        <v>44</v>
      </c>
      <c r="F1" s="30" t="s">
        <v>45</v>
      </c>
      <c r="G1" s="30" t="s">
        <v>46</v>
      </c>
      <c r="H1" s="30" t="s">
        <v>47</v>
      </c>
      <c r="I1" s="30" t="s">
        <v>48</v>
      </c>
      <c r="J1" s="30" t="s">
        <v>49</v>
      </c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21" x14ac:dyDescent="0.25">
      <c r="A2" s="39" t="s">
        <v>25</v>
      </c>
      <c r="B2" s="39" t="s">
        <v>50</v>
      </c>
      <c r="C2" s="39">
        <v>0.06</v>
      </c>
      <c r="D2" s="39">
        <v>6.4000000000000001E-2</v>
      </c>
      <c r="E2" s="39">
        <v>9.2999999999999999E-2</v>
      </c>
      <c r="F2" s="39">
        <v>5.0000000000000001E-3</v>
      </c>
      <c r="G2" s="39">
        <v>6.8000000000000005E-2</v>
      </c>
      <c r="H2" s="39">
        <v>94</v>
      </c>
      <c r="I2" s="39">
        <v>0</v>
      </c>
      <c r="J2" s="39">
        <v>0</v>
      </c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x14ac:dyDescent="0.25">
      <c r="A3" s="39" t="s">
        <v>29</v>
      </c>
      <c r="B3" s="39" t="s">
        <v>50</v>
      </c>
      <c r="C3" s="39">
        <v>6.4000000000000001E-2</v>
      </c>
      <c r="D3" s="39">
        <v>7.3999999999999996E-2</v>
      </c>
      <c r="E3" s="39">
        <v>0.186</v>
      </c>
      <c r="F3" s="39">
        <v>2.4E-2</v>
      </c>
      <c r="G3" s="39">
        <v>8.2000000000000003E-2</v>
      </c>
      <c r="H3" s="39">
        <v>24</v>
      </c>
      <c r="I3" s="39">
        <v>0</v>
      </c>
      <c r="J3" s="39">
        <v>0</v>
      </c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x14ac:dyDescent="0.25">
      <c r="A4" s="39" t="s">
        <v>31</v>
      </c>
      <c r="B4" s="39" t="s">
        <v>50</v>
      </c>
      <c r="C4" s="39">
        <v>5.1999999999999998E-2</v>
      </c>
      <c r="D4" s="39">
        <v>5.8000000000000003E-2</v>
      </c>
      <c r="E4" s="39">
        <v>0.124</v>
      </c>
      <c r="F4" s="39">
        <v>1.2999999999999999E-2</v>
      </c>
      <c r="G4" s="39">
        <v>6.3E-2</v>
      </c>
      <c r="H4" s="39">
        <v>32</v>
      </c>
      <c r="I4" s="39">
        <v>0</v>
      </c>
      <c r="J4" s="39">
        <v>0</v>
      </c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 x14ac:dyDescent="0.25">
      <c r="A5" s="39" t="s">
        <v>24</v>
      </c>
      <c r="B5" s="39" t="s">
        <v>50</v>
      </c>
      <c r="C5" s="39">
        <v>5.8999999999999997E-2</v>
      </c>
      <c r="D5" s="39">
        <v>8.2000000000000003E-2</v>
      </c>
      <c r="E5" s="39">
        <v>1.6679999999999999</v>
      </c>
      <c r="F5" s="39">
        <v>0.16500000000000001</v>
      </c>
      <c r="G5" s="39">
        <v>7.8E-2</v>
      </c>
      <c r="H5" s="39">
        <v>94</v>
      </c>
      <c r="I5" s="39">
        <v>0</v>
      </c>
      <c r="J5" s="39">
        <v>0</v>
      </c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 x14ac:dyDescent="0.25">
      <c r="A6" s="39" t="s">
        <v>23</v>
      </c>
      <c r="B6" s="39" t="s">
        <v>50</v>
      </c>
      <c r="C6" s="39">
        <v>0.107</v>
      </c>
      <c r="D6" s="39">
        <v>0.11899999999999999</v>
      </c>
      <c r="E6" s="39">
        <v>0.17100000000000001</v>
      </c>
      <c r="F6" s="39">
        <v>1.4999999999999999E-2</v>
      </c>
      <c r="G6" s="39">
        <v>0.13500000000000001</v>
      </c>
      <c r="H6" s="39">
        <v>102</v>
      </c>
      <c r="I6" s="39">
        <v>0</v>
      </c>
      <c r="J6" s="39">
        <v>0</v>
      </c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 x14ac:dyDescent="0.25">
      <c r="A7" s="39" t="s">
        <v>21</v>
      </c>
      <c r="B7" s="39" t="s">
        <v>50</v>
      </c>
      <c r="C7" s="39">
        <v>9.7000000000000003E-2</v>
      </c>
      <c r="D7" s="39">
        <v>0.11700000000000001</v>
      </c>
      <c r="E7" s="39">
        <v>0.77500000000000002</v>
      </c>
      <c r="F7" s="39">
        <v>5.7000000000000002E-2</v>
      </c>
      <c r="G7" s="39">
        <v>0.122</v>
      </c>
      <c r="H7" s="39">
        <v>180</v>
      </c>
      <c r="I7" s="39">
        <v>0</v>
      </c>
      <c r="J7" s="39">
        <v>0</v>
      </c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 x14ac:dyDescent="0.25">
      <c r="A8" s="39" t="s">
        <v>28</v>
      </c>
      <c r="B8" s="39" t="s">
        <v>50</v>
      </c>
      <c r="C8" s="39">
        <v>0.09</v>
      </c>
      <c r="D8" s="39">
        <v>0.113</v>
      </c>
      <c r="E8" s="39">
        <v>0.185</v>
      </c>
      <c r="F8" s="39">
        <v>2.5000000000000001E-2</v>
      </c>
      <c r="G8" s="39">
        <v>0.16200000000000001</v>
      </c>
      <c r="H8" s="39">
        <v>91</v>
      </c>
      <c r="I8" s="39">
        <v>0</v>
      </c>
      <c r="J8" s="39">
        <v>0</v>
      </c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 x14ac:dyDescent="0.25">
      <c r="A9" s="39" t="s">
        <v>30</v>
      </c>
      <c r="B9" s="39" t="s">
        <v>50</v>
      </c>
      <c r="C9" s="39">
        <v>0.06</v>
      </c>
      <c r="D9" s="39">
        <v>6.4000000000000001E-2</v>
      </c>
      <c r="E9" s="39">
        <v>8.2000000000000003E-2</v>
      </c>
      <c r="F9" s="39">
        <v>4.0000000000000001E-3</v>
      </c>
      <c r="G9" s="39">
        <v>6.8000000000000005E-2</v>
      </c>
      <c r="H9" s="39">
        <v>32</v>
      </c>
      <c r="I9" s="39">
        <v>0</v>
      </c>
      <c r="J9" s="39">
        <v>0</v>
      </c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x14ac:dyDescent="0.25">
      <c r="A10" s="39" t="s">
        <v>22</v>
      </c>
      <c r="B10" s="39" t="s">
        <v>50</v>
      </c>
      <c r="C10" s="39">
        <v>9.7000000000000003E-2</v>
      </c>
      <c r="D10" s="39">
        <v>0.12</v>
      </c>
      <c r="E10" s="39">
        <v>0.47699999999999998</v>
      </c>
      <c r="F10" s="39">
        <v>4.3999999999999997E-2</v>
      </c>
      <c r="G10" s="39">
        <v>0.13400000000000001</v>
      </c>
      <c r="H10" s="39">
        <v>148</v>
      </c>
      <c r="I10" s="39">
        <v>0</v>
      </c>
      <c r="J10" s="39">
        <v>0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 x14ac:dyDescent="0.25">
      <c r="A11" s="39" t="s">
        <v>27</v>
      </c>
      <c r="B11" s="39" t="s">
        <v>50</v>
      </c>
      <c r="C11" s="39">
        <v>9.0999999999999998E-2</v>
      </c>
      <c r="D11" s="39">
        <v>0.10199999999999999</v>
      </c>
      <c r="E11" s="39">
        <v>0.28000000000000003</v>
      </c>
      <c r="F11" s="39">
        <v>2.1999999999999999E-2</v>
      </c>
      <c r="G11" s="39">
        <v>0.108</v>
      </c>
      <c r="H11" s="39">
        <v>103</v>
      </c>
      <c r="I11" s="39">
        <v>0</v>
      </c>
      <c r="J11" s="39">
        <v>0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x14ac:dyDescent="0.25">
      <c r="A12" s="39" t="s">
        <v>32</v>
      </c>
      <c r="B12" s="39" t="s">
        <v>50</v>
      </c>
      <c r="C12" s="39">
        <v>0.1</v>
      </c>
      <c r="D12" s="39">
        <v>0.114</v>
      </c>
      <c r="E12" s="39">
        <v>0.16400000000000001</v>
      </c>
      <c r="F12" s="39">
        <v>0.02</v>
      </c>
      <c r="G12" s="39">
        <v>0.16300000000000001</v>
      </c>
      <c r="H12" s="39">
        <v>32</v>
      </c>
      <c r="I12" s="39">
        <v>0</v>
      </c>
      <c r="J12" s="39">
        <v>0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 x14ac:dyDescent="0.25">
      <c r="A13" s="39" t="s">
        <v>26</v>
      </c>
      <c r="B13" s="39" t="s">
        <v>50</v>
      </c>
      <c r="C13" s="39">
        <v>6.2E-2</v>
      </c>
      <c r="D13" s="39">
        <v>6.9000000000000006E-2</v>
      </c>
      <c r="E13" s="39">
        <v>0.189</v>
      </c>
      <c r="F13" s="39">
        <v>1.7000000000000001E-2</v>
      </c>
      <c r="G13" s="39">
        <v>7.8E-2</v>
      </c>
      <c r="H13" s="39">
        <v>59</v>
      </c>
      <c r="I13" s="39">
        <v>0</v>
      </c>
      <c r="J13" s="39">
        <v>0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1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x14ac:dyDescent="0.25"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 x14ac:dyDescent="0.25"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 x14ac:dyDescent="0.25"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34" spans="12:21" x14ac:dyDescent="0.25"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spans="12:21" x14ac:dyDescent="0.25"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spans="12:21" x14ac:dyDescent="0.25"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spans="12:21" x14ac:dyDescent="0.25"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spans="12:21" x14ac:dyDescent="0.25"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spans="12:21" x14ac:dyDescent="0.25">
      <c r="L39" s="39"/>
      <c r="M39" s="39"/>
      <c r="N39" s="39"/>
      <c r="O39" s="39"/>
      <c r="P39" s="39"/>
      <c r="Q39" s="39"/>
      <c r="R39" s="39"/>
      <c r="S39" s="39"/>
      <c r="T39" s="39"/>
      <c r="U39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9E57-B443-4118-974F-F069F7B47642}">
  <dimension ref="A1:J39"/>
  <sheetViews>
    <sheetView tabSelected="1" workbookViewId="0">
      <selection activeCell="D14" sqref="D14"/>
    </sheetView>
  </sheetViews>
  <sheetFormatPr defaultRowHeight="15" x14ac:dyDescent="0.25"/>
  <sheetData>
    <row r="1" spans="1:10" x14ac:dyDescent="0.25">
      <c r="A1" s="44" t="s">
        <v>40</v>
      </c>
      <c r="B1" s="44" t="s">
        <v>41</v>
      </c>
      <c r="C1" s="44" t="s">
        <v>42</v>
      </c>
      <c r="D1" s="44" t="s">
        <v>43</v>
      </c>
      <c r="E1" s="44" t="s">
        <v>44</v>
      </c>
      <c r="F1" s="44" t="s">
        <v>45</v>
      </c>
      <c r="G1" s="44" t="s">
        <v>46</v>
      </c>
      <c r="H1" s="44" t="s">
        <v>47</v>
      </c>
      <c r="I1" s="44" t="s">
        <v>48</v>
      </c>
      <c r="J1" s="44" t="s">
        <v>49</v>
      </c>
    </row>
    <row r="2" spans="1:10" x14ac:dyDescent="0.25">
      <c r="A2" s="44" t="s">
        <v>25</v>
      </c>
      <c r="B2" s="44" t="s">
        <v>50</v>
      </c>
      <c r="C2" s="44">
        <v>0.06</v>
      </c>
      <c r="D2" s="44">
        <v>6.2E-2</v>
      </c>
      <c r="E2" s="44">
        <v>7.6999999999999999E-2</v>
      </c>
      <c r="F2" s="44">
        <v>2E-3</v>
      </c>
      <c r="G2" s="44">
        <v>6.5000000000000002E-2</v>
      </c>
      <c r="H2" s="44">
        <v>374</v>
      </c>
      <c r="I2" s="44">
        <v>0</v>
      </c>
      <c r="J2" s="44">
        <v>0</v>
      </c>
    </row>
    <row r="3" spans="1:10" x14ac:dyDescent="0.25">
      <c r="A3" s="44" t="s">
        <v>29</v>
      </c>
      <c r="B3" s="44" t="s">
        <v>50</v>
      </c>
      <c r="C3" s="44">
        <v>5.6000000000000001E-2</v>
      </c>
      <c r="D3" s="44">
        <v>0.16600000000000001</v>
      </c>
      <c r="E3" s="44">
        <v>1.508</v>
      </c>
      <c r="F3" s="44">
        <v>0.21299999999999999</v>
      </c>
      <c r="G3" s="44">
        <v>0.17699999999999999</v>
      </c>
      <c r="H3" s="44">
        <v>102</v>
      </c>
      <c r="I3" s="44">
        <v>0</v>
      </c>
      <c r="J3" s="44">
        <v>0</v>
      </c>
    </row>
    <row r="4" spans="1:10" x14ac:dyDescent="0.25">
      <c r="A4" s="44" t="s">
        <v>31</v>
      </c>
      <c r="B4" s="44" t="s">
        <v>50</v>
      </c>
      <c r="C4" s="44">
        <v>5.1999999999999998E-2</v>
      </c>
      <c r="D4" s="44">
        <v>7.1999999999999995E-2</v>
      </c>
      <c r="E4" s="44">
        <v>1.5469999999999999</v>
      </c>
      <c r="F4" s="44">
        <v>0.13500000000000001</v>
      </c>
      <c r="G4" s="44">
        <v>6.8000000000000005E-2</v>
      </c>
      <c r="H4" s="44">
        <v>130</v>
      </c>
      <c r="I4" s="44">
        <v>0</v>
      </c>
      <c r="J4" s="44">
        <v>0</v>
      </c>
    </row>
    <row r="5" spans="1:10" x14ac:dyDescent="0.25">
      <c r="A5" s="44" t="s">
        <v>24</v>
      </c>
      <c r="B5" s="44" t="s">
        <v>50</v>
      </c>
      <c r="C5" s="44">
        <v>5.8999999999999997E-2</v>
      </c>
      <c r="D5" s="44">
        <v>0.104</v>
      </c>
      <c r="E5" s="44">
        <v>1.4259999999999999</v>
      </c>
      <c r="F5" s="44">
        <v>0.17199999999999999</v>
      </c>
      <c r="G5" s="44">
        <v>0.104</v>
      </c>
      <c r="H5" s="44">
        <v>376</v>
      </c>
      <c r="I5" s="44">
        <v>0</v>
      </c>
      <c r="J5" s="44">
        <v>0</v>
      </c>
    </row>
    <row r="6" spans="1:10" x14ac:dyDescent="0.25">
      <c r="A6" s="44" t="s">
        <v>23</v>
      </c>
      <c r="B6" s="44" t="s">
        <v>50</v>
      </c>
      <c r="C6" s="44">
        <v>0.106</v>
      </c>
      <c r="D6" s="44">
        <v>0.247</v>
      </c>
      <c r="E6" s="44">
        <v>2.3530000000000002</v>
      </c>
      <c r="F6" s="44">
        <v>0.38600000000000001</v>
      </c>
      <c r="G6" s="44">
        <v>0.58399999999999996</v>
      </c>
      <c r="H6" s="44">
        <v>404</v>
      </c>
      <c r="I6" s="44">
        <v>0</v>
      </c>
      <c r="J6" s="44">
        <v>0</v>
      </c>
    </row>
    <row r="7" spans="1:10" x14ac:dyDescent="0.25">
      <c r="A7" s="44" t="s">
        <v>21</v>
      </c>
      <c r="B7" s="44" t="s">
        <v>50</v>
      </c>
      <c r="C7" s="44">
        <v>9.6000000000000002E-2</v>
      </c>
      <c r="D7" s="44">
        <v>0.221</v>
      </c>
      <c r="E7" s="44">
        <v>2.6920000000000002</v>
      </c>
      <c r="F7" s="44">
        <v>0.318</v>
      </c>
      <c r="G7" s="44">
        <v>0.51600000000000001</v>
      </c>
      <c r="H7" s="44">
        <v>712</v>
      </c>
      <c r="I7" s="44">
        <v>0</v>
      </c>
      <c r="J7" s="44">
        <v>0</v>
      </c>
    </row>
    <row r="8" spans="1:10" x14ac:dyDescent="0.25">
      <c r="A8" s="44" t="s">
        <v>28</v>
      </c>
      <c r="B8" s="44" t="s">
        <v>50</v>
      </c>
      <c r="C8" s="44">
        <v>0.09</v>
      </c>
      <c r="D8" s="44">
        <v>0.22500000000000001</v>
      </c>
      <c r="E8" s="44">
        <v>2.202</v>
      </c>
      <c r="F8" s="44">
        <v>0.33800000000000002</v>
      </c>
      <c r="G8" s="44">
        <v>0.52600000000000002</v>
      </c>
      <c r="H8" s="44">
        <v>365</v>
      </c>
      <c r="I8" s="44">
        <v>0</v>
      </c>
      <c r="J8" s="44">
        <v>0</v>
      </c>
    </row>
    <row r="9" spans="1:10" x14ac:dyDescent="0.25">
      <c r="A9" s="44" t="s">
        <v>30</v>
      </c>
      <c r="B9" s="44" t="s">
        <v>50</v>
      </c>
      <c r="C9" s="44">
        <v>0.06</v>
      </c>
      <c r="D9" s="44">
        <v>0.192</v>
      </c>
      <c r="E9" s="44">
        <v>2.7719999999999998</v>
      </c>
      <c r="F9" s="44">
        <v>0.38700000000000001</v>
      </c>
      <c r="G9" s="44">
        <v>0.45800000000000002</v>
      </c>
      <c r="H9" s="44">
        <v>130</v>
      </c>
      <c r="I9" s="44">
        <v>0</v>
      </c>
      <c r="J9" s="44">
        <v>0</v>
      </c>
    </row>
    <row r="10" spans="1:10" x14ac:dyDescent="0.25">
      <c r="A10" s="44" t="s">
        <v>22</v>
      </c>
      <c r="B10" s="44" t="s">
        <v>50</v>
      </c>
      <c r="C10" s="44">
        <v>9.7000000000000003E-2</v>
      </c>
      <c r="D10" s="44">
        <v>0.30499999999999999</v>
      </c>
      <c r="E10" s="44">
        <v>3.3090000000000002</v>
      </c>
      <c r="F10" s="44">
        <v>0.495</v>
      </c>
      <c r="G10" s="44">
        <v>0.94299999999999995</v>
      </c>
      <c r="H10" s="44">
        <v>584</v>
      </c>
      <c r="I10" s="44">
        <v>0</v>
      </c>
      <c r="J10" s="44">
        <v>0</v>
      </c>
    </row>
    <row r="11" spans="1:10" x14ac:dyDescent="0.25">
      <c r="A11" s="44" t="s">
        <v>27</v>
      </c>
      <c r="B11" s="44" t="s">
        <v>50</v>
      </c>
      <c r="C11" s="44">
        <v>0.09</v>
      </c>
      <c r="D11" s="44">
        <v>0.14599999999999999</v>
      </c>
      <c r="E11" s="44">
        <v>1.8109999999999999</v>
      </c>
      <c r="F11" s="44">
        <v>0.20499999999999999</v>
      </c>
      <c r="G11" s="44">
        <v>0.11799999999999999</v>
      </c>
      <c r="H11" s="44">
        <v>416</v>
      </c>
      <c r="I11" s="44">
        <v>0</v>
      </c>
      <c r="J11" s="44">
        <v>0</v>
      </c>
    </row>
    <row r="12" spans="1:10" x14ac:dyDescent="0.25">
      <c r="A12" s="44" t="s">
        <v>32</v>
      </c>
      <c r="B12" s="44" t="s">
        <v>50</v>
      </c>
      <c r="C12" s="44">
        <v>9.8000000000000004E-2</v>
      </c>
      <c r="D12" s="44">
        <v>0.20899999999999999</v>
      </c>
      <c r="E12" s="44">
        <v>1.5009999999999999</v>
      </c>
      <c r="F12" s="44">
        <v>0.27400000000000002</v>
      </c>
      <c r="G12" s="44">
        <v>0.57999999999999996</v>
      </c>
      <c r="H12" s="44">
        <v>129</v>
      </c>
      <c r="I12" s="44">
        <v>0</v>
      </c>
      <c r="J12" s="44">
        <v>0</v>
      </c>
    </row>
    <row r="13" spans="1:10" x14ac:dyDescent="0.25">
      <c r="A13" s="44" t="s">
        <v>26</v>
      </c>
      <c r="B13" s="44" t="s">
        <v>50</v>
      </c>
      <c r="C13" s="44">
        <v>6.2E-2</v>
      </c>
      <c r="D13" s="44">
        <v>0.11899999999999999</v>
      </c>
      <c r="E13" s="44">
        <v>1.4610000000000001</v>
      </c>
      <c r="F13" s="44">
        <v>0.19700000000000001</v>
      </c>
      <c r="G13" s="44">
        <v>0.14399999999999999</v>
      </c>
      <c r="H13" s="44">
        <v>236</v>
      </c>
      <c r="I13" s="44">
        <v>0</v>
      </c>
      <c r="J13" s="44">
        <v>0</v>
      </c>
    </row>
    <row r="14" spans="1:10" x14ac:dyDescent="0.25">
      <c r="A14" s="44"/>
      <c r="B14" s="44"/>
      <c r="C14" s="44"/>
      <c r="D14" s="44"/>
      <c r="E14" s="44"/>
      <c r="F14" s="44"/>
      <c r="G14" s="44"/>
      <c r="H14" s="49"/>
      <c r="I14" s="44"/>
      <c r="J14" s="44"/>
    </row>
    <row r="15" spans="1:10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</row>
    <row r="16" spans="1:10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</row>
    <row r="17" spans="1:10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</row>
    <row r="18" spans="1:10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</row>
    <row r="19" spans="1:10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</row>
    <row r="20" spans="1:10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</row>
    <row r="21" spans="1:10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</row>
    <row r="34" spans="1:10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</row>
    <row r="35" spans="1:10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</row>
    <row r="36" spans="1:10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0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</row>
    <row r="38" spans="1:10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</row>
    <row r="39" spans="1:10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</row>
  </sheetData>
  <autoFilter ref="A1:J39" xr:uid="{EA63DEB5-9FD8-4794-92C3-0843EADCBCCA}">
    <sortState xmlns:xlrd2="http://schemas.microsoft.com/office/spreadsheetml/2017/richdata2" ref="A2:J39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C4B0-B7C0-47D8-8616-E4BCAC0B0143}">
  <dimension ref="A1:J39"/>
  <sheetViews>
    <sheetView workbookViewId="0">
      <selection activeCell="F19" sqref="F19"/>
    </sheetView>
  </sheetViews>
  <sheetFormatPr defaultRowHeight="15" x14ac:dyDescent="0.25"/>
  <sheetData>
    <row r="1" spans="1:10" x14ac:dyDescent="0.25">
      <c r="A1" s="45" t="s">
        <v>40</v>
      </c>
      <c r="B1" s="45" t="s">
        <v>41</v>
      </c>
      <c r="C1" s="45" t="s">
        <v>42</v>
      </c>
      <c r="D1" s="45" t="s">
        <v>43</v>
      </c>
      <c r="E1" s="45" t="s">
        <v>44</v>
      </c>
      <c r="F1" s="45" t="s">
        <v>45</v>
      </c>
      <c r="G1" s="45" t="s">
        <v>46</v>
      </c>
      <c r="H1" s="45" t="s">
        <v>47</v>
      </c>
      <c r="I1" s="45" t="s">
        <v>48</v>
      </c>
      <c r="J1" s="45" t="s">
        <v>49</v>
      </c>
    </row>
    <row r="2" spans="1:10" x14ac:dyDescent="0.25">
      <c r="A2" s="45" t="s">
        <v>25</v>
      </c>
      <c r="B2" s="45" t="s">
        <v>50</v>
      </c>
      <c r="C2" s="45">
        <v>6.0999999999999999E-2</v>
      </c>
      <c r="D2" s="45">
        <v>6.3E-2</v>
      </c>
      <c r="E2" s="45">
        <v>0.11600000000000001</v>
      </c>
      <c r="F2" s="45">
        <v>3.0000000000000001E-3</v>
      </c>
      <c r="G2" s="45">
        <v>6.6000000000000003E-2</v>
      </c>
      <c r="H2" s="40">
        <v>999</v>
      </c>
      <c r="I2" s="45">
        <v>0</v>
      </c>
      <c r="J2" s="45">
        <v>0</v>
      </c>
    </row>
    <row r="3" spans="1:10" x14ac:dyDescent="0.25">
      <c r="A3" s="45" t="s">
        <v>29</v>
      </c>
      <c r="B3" s="45" t="s">
        <v>50</v>
      </c>
      <c r="C3" s="45">
        <v>6.2E-2</v>
      </c>
      <c r="D3" s="45">
        <v>0.26800000000000002</v>
      </c>
      <c r="E3" s="45">
        <v>1.732</v>
      </c>
      <c r="F3" s="45">
        <v>0.22</v>
      </c>
      <c r="G3" s="45">
        <v>0.33800000000000002</v>
      </c>
      <c r="H3" s="40">
        <v>297</v>
      </c>
      <c r="I3" s="45">
        <v>2</v>
      </c>
      <c r="J3" s="45">
        <v>0</v>
      </c>
    </row>
    <row r="4" spans="1:10" x14ac:dyDescent="0.25">
      <c r="A4" s="45" t="s">
        <v>31</v>
      </c>
      <c r="B4" s="45" t="s">
        <v>50</v>
      </c>
      <c r="C4" s="45">
        <v>5.2999999999999999E-2</v>
      </c>
      <c r="D4" s="45">
        <v>6.8000000000000005E-2</v>
      </c>
      <c r="E4" s="45">
        <v>1.403</v>
      </c>
      <c r="F4" s="45">
        <v>8.8999999999999996E-2</v>
      </c>
      <c r="G4" s="45">
        <v>6.7000000000000004E-2</v>
      </c>
      <c r="H4" s="40">
        <v>388</v>
      </c>
      <c r="I4" s="45">
        <v>0</v>
      </c>
      <c r="J4" s="45">
        <v>0</v>
      </c>
    </row>
    <row r="5" spans="1:10" x14ac:dyDescent="0.25">
      <c r="A5" s="45" t="s">
        <v>24</v>
      </c>
      <c r="B5" s="45" t="s">
        <v>50</v>
      </c>
      <c r="C5" s="45">
        <v>0.06</v>
      </c>
      <c r="D5" s="45">
        <v>0.10299999999999999</v>
      </c>
      <c r="E5" s="45">
        <v>2.1619999999999999</v>
      </c>
      <c r="F5" s="45">
        <v>0.19800000000000001</v>
      </c>
      <c r="G5" s="45">
        <v>9.6000000000000002E-2</v>
      </c>
      <c r="H5" s="40">
        <v>999</v>
      </c>
      <c r="I5" s="45">
        <v>0</v>
      </c>
      <c r="J5" s="45">
        <v>0</v>
      </c>
    </row>
    <row r="6" spans="1:10" x14ac:dyDescent="0.25">
      <c r="A6" s="45" t="s">
        <v>23</v>
      </c>
      <c r="B6" s="45" t="s">
        <v>50</v>
      </c>
      <c r="C6" s="45">
        <v>0.107</v>
      </c>
      <c r="D6" s="45">
        <v>0.27100000000000002</v>
      </c>
      <c r="E6" s="45">
        <v>4.194</v>
      </c>
      <c r="F6" s="45">
        <v>0.497</v>
      </c>
      <c r="G6" s="45">
        <v>0.59099999999999997</v>
      </c>
      <c r="H6" s="40">
        <v>1059</v>
      </c>
      <c r="I6" s="45">
        <v>0</v>
      </c>
      <c r="J6" s="45">
        <v>0</v>
      </c>
    </row>
    <row r="7" spans="1:10" x14ac:dyDescent="0.25">
      <c r="A7" s="45" t="s">
        <v>21</v>
      </c>
      <c r="B7" s="45" t="s">
        <v>50</v>
      </c>
      <c r="C7" s="45">
        <v>9.7000000000000003E-2</v>
      </c>
      <c r="D7" s="45">
        <v>0.193</v>
      </c>
      <c r="E7" s="45">
        <v>2.7469999999999999</v>
      </c>
      <c r="F7" s="45">
        <v>0.29799999999999999</v>
      </c>
      <c r="G7" s="45">
        <v>0.35199999999999998</v>
      </c>
      <c r="H7" s="40">
        <v>1927</v>
      </c>
      <c r="I7" s="45">
        <v>0</v>
      </c>
      <c r="J7" s="45">
        <v>0</v>
      </c>
    </row>
    <row r="8" spans="1:10" x14ac:dyDescent="0.25">
      <c r="A8" s="45" t="s">
        <v>28</v>
      </c>
      <c r="B8" s="45" t="s">
        <v>50</v>
      </c>
      <c r="C8" s="45">
        <v>9.1999999999999998E-2</v>
      </c>
      <c r="D8" s="45">
        <v>0.255</v>
      </c>
      <c r="E8" s="45">
        <v>3.8530000000000002</v>
      </c>
      <c r="F8" s="45">
        <v>0.40799999999999997</v>
      </c>
      <c r="G8" s="45">
        <v>0.41599999999999998</v>
      </c>
      <c r="H8" s="40">
        <v>949</v>
      </c>
      <c r="I8" s="45">
        <v>0</v>
      </c>
      <c r="J8" s="45">
        <v>0</v>
      </c>
    </row>
    <row r="9" spans="1:10" x14ac:dyDescent="0.25">
      <c r="A9" s="45" t="s">
        <v>30</v>
      </c>
      <c r="B9" s="45" t="s">
        <v>50</v>
      </c>
      <c r="C9" s="45">
        <v>6.0999999999999999E-2</v>
      </c>
      <c r="D9" s="45">
        <v>0.20100000000000001</v>
      </c>
      <c r="E9" s="45">
        <v>3.0249999999999999</v>
      </c>
      <c r="F9" s="45">
        <v>0.441</v>
      </c>
      <c r="G9" s="45">
        <v>0.52800000000000002</v>
      </c>
      <c r="H9" s="40">
        <v>388</v>
      </c>
      <c r="I9" s="45">
        <v>0</v>
      </c>
      <c r="J9" s="45">
        <v>0</v>
      </c>
    </row>
    <row r="10" spans="1:10" x14ac:dyDescent="0.25">
      <c r="A10" s="45" t="s">
        <v>22</v>
      </c>
      <c r="B10" s="45" t="s">
        <v>50</v>
      </c>
      <c r="C10" s="45">
        <v>9.8000000000000004E-2</v>
      </c>
      <c r="D10" s="45">
        <v>0.318</v>
      </c>
      <c r="E10" s="45">
        <v>4.3739999999999997</v>
      </c>
      <c r="F10" s="45">
        <v>0.58499999999999996</v>
      </c>
      <c r="G10" s="45">
        <v>0.80900000000000005</v>
      </c>
      <c r="H10" s="40">
        <v>1538</v>
      </c>
      <c r="I10" s="45">
        <v>0</v>
      </c>
      <c r="J10" s="45">
        <v>0</v>
      </c>
    </row>
    <row r="11" spans="1:10" x14ac:dyDescent="0.25">
      <c r="A11" s="45" t="s">
        <v>27</v>
      </c>
      <c r="B11" s="45" t="s">
        <v>50</v>
      </c>
      <c r="C11" s="45">
        <v>9.0999999999999998E-2</v>
      </c>
      <c r="D11" s="45">
        <v>0.18</v>
      </c>
      <c r="E11" s="45">
        <v>2.7839999999999998</v>
      </c>
      <c r="F11" s="45">
        <v>0.31900000000000001</v>
      </c>
      <c r="G11" s="45">
        <v>0.16800000000000001</v>
      </c>
      <c r="H11" s="40">
        <v>1066</v>
      </c>
      <c r="I11" s="45">
        <v>0</v>
      </c>
      <c r="J11" s="45">
        <v>0</v>
      </c>
    </row>
    <row r="12" spans="1:10" x14ac:dyDescent="0.25">
      <c r="A12" s="45" t="s">
        <v>32</v>
      </c>
      <c r="B12" s="45" t="s">
        <v>50</v>
      </c>
      <c r="C12" s="45">
        <v>9.8000000000000004E-2</v>
      </c>
      <c r="D12" s="45">
        <v>0.22800000000000001</v>
      </c>
      <c r="E12" s="45">
        <v>2.7970000000000002</v>
      </c>
      <c r="F12" s="45">
        <v>0.378</v>
      </c>
      <c r="G12" s="45">
        <v>0.51500000000000001</v>
      </c>
      <c r="H12" s="40">
        <v>390</v>
      </c>
      <c r="I12" s="45">
        <v>0</v>
      </c>
      <c r="J12" s="45">
        <v>0</v>
      </c>
    </row>
    <row r="13" spans="1:10" x14ac:dyDescent="0.25">
      <c r="A13" s="45" t="s">
        <v>26</v>
      </c>
      <c r="B13" s="45" t="s">
        <v>50</v>
      </c>
      <c r="C13" s="45">
        <v>6.3E-2</v>
      </c>
      <c r="D13" s="45">
        <v>0.14000000000000001</v>
      </c>
      <c r="E13" s="45">
        <v>2.6720000000000002</v>
      </c>
      <c r="F13" s="45">
        <v>0.25900000000000001</v>
      </c>
      <c r="G13" s="45">
        <v>0.24</v>
      </c>
      <c r="H13" s="40">
        <v>592</v>
      </c>
      <c r="I13" s="45">
        <v>0</v>
      </c>
      <c r="J13" s="45">
        <v>0</v>
      </c>
    </row>
    <row r="14" spans="1:10" x14ac:dyDescent="0.25">
      <c r="A14" s="45"/>
      <c r="B14" s="45"/>
      <c r="C14" s="45"/>
      <c r="D14" s="45"/>
      <c r="E14" s="45"/>
      <c r="F14" s="45"/>
      <c r="G14" s="45"/>
      <c r="H14" s="48"/>
      <c r="I14" s="45"/>
      <c r="J14" s="45"/>
    </row>
    <row r="15" spans="1:10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</row>
    <row r="16" spans="1:10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</row>
    <row r="17" spans="1:10" x14ac:dyDescent="0.25">
      <c r="A17" s="45"/>
      <c r="B17" s="45"/>
      <c r="C17" s="45"/>
      <c r="D17" s="45"/>
      <c r="E17" s="45"/>
      <c r="F17" s="45"/>
      <c r="G17" s="45"/>
      <c r="H17" s="45"/>
      <c r="I17" s="45"/>
      <c r="J17" s="45"/>
    </row>
    <row r="18" spans="1:10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</row>
    <row r="19" spans="1:10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</row>
    <row r="20" spans="1:10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</row>
    <row r="21" spans="1:10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</row>
    <row r="34" spans="1:10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</row>
    <row r="35" spans="1:10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</row>
    <row r="36" spans="1:10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</row>
    <row r="37" spans="1:10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</row>
    <row r="38" spans="1:10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</row>
    <row r="39" spans="1:10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</row>
  </sheetData>
  <autoFilter ref="A1:J39" xr:uid="{53FBB580-6C64-4531-8D1A-A45FDCD1D99D}">
    <sortState xmlns:xlrd2="http://schemas.microsoft.com/office/spreadsheetml/2017/richdata2" ref="A2:J39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FF14-F6FF-404E-A5F8-4AAB48AA40BF}">
  <dimension ref="A1:B12"/>
  <sheetViews>
    <sheetView workbookViewId="0">
      <selection activeCell="C11" sqref="C11"/>
    </sheetView>
  </sheetViews>
  <sheetFormatPr defaultColWidth="41.7109375" defaultRowHeight="15" x14ac:dyDescent="0.25"/>
  <sheetData>
    <row r="1" spans="1:2" ht="18.75" x14ac:dyDescent="0.25">
      <c r="A1" s="16" t="s">
        <v>57</v>
      </c>
      <c r="B1" s="16" t="s">
        <v>21</v>
      </c>
    </row>
    <row r="2" spans="1:2" ht="18.75" x14ac:dyDescent="0.25">
      <c r="A2" s="35" t="s">
        <v>58</v>
      </c>
      <c r="B2" s="35" t="s">
        <v>22</v>
      </c>
    </row>
    <row r="3" spans="1:2" ht="37.5" x14ac:dyDescent="0.25">
      <c r="A3" s="16" t="s">
        <v>59</v>
      </c>
      <c r="B3" s="16" t="s">
        <v>23</v>
      </c>
    </row>
    <row r="4" spans="1:2" ht="37.5" x14ac:dyDescent="0.25">
      <c r="A4" s="35" t="s">
        <v>60</v>
      </c>
      <c r="B4" s="35" t="s">
        <v>24</v>
      </c>
    </row>
    <row r="5" spans="1:2" ht="18.75" x14ac:dyDescent="0.25">
      <c r="A5" s="34" t="s">
        <v>61</v>
      </c>
      <c r="B5" s="16" t="s">
        <v>25</v>
      </c>
    </row>
    <row r="6" spans="1:2" ht="18.75" x14ac:dyDescent="0.25">
      <c r="A6" s="35" t="s">
        <v>62</v>
      </c>
      <c r="B6" s="35" t="s">
        <v>26</v>
      </c>
    </row>
    <row r="7" spans="1:2" ht="18.75" x14ac:dyDescent="0.25">
      <c r="A7" s="34" t="s">
        <v>63</v>
      </c>
      <c r="B7" s="16" t="s">
        <v>28</v>
      </c>
    </row>
    <row r="8" spans="1:2" ht="18.75" x14ac:dyDescent="0.25">
      <c r="A8" s="35" t="s">
        <v>64</v>
      </c>
      <c r="B8" s="35" t="s">
        <v>29</v>
      </c>
    </row>
    <row r="9" spans="1:2" ht="18.75" x14ac:dyDescent="0.25">
      <c r="A9" s="34" t="s">
        <v>65</v>
      </c>
      <c r="B9" s="16" t="s">
        <v>27</v>
      </c>
    </row>
    <row r="10" spans="1:2" ht="18.75" x14ac:dyDescent="0.25">
      <c r="A10" s="35" t="s">
        <v>68</v>
      </c>
      <c r="B10" s="35" t="s">
        <v>30</v>
      </c>
    </row>
    <row r="11" spans="1:2" ht="18.75" x14ac:dyDescent="0.25">
      <c r="A11" s="34" t="s">
        <v>66</v>
      </c>
      <c r="B11" s="16" t="s">
        <v>31</v>
      </c>
    </row>
    <row r="12" spans="1:2" ht="37.5" x14ac:dyDescent="0.25">
      <c r="A12" s="35" t="s">
        <v>67</v>
      </c>
      <c r="B12" s="3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Анализ</vt:lpstr>
      <vt:lpstr>анализ максимума</vt:lpstr>
      <vt:lpstr>анализ подтверждения максимума</vt:lpstr>
      <vt:lpstr>Соответствие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Akashi</dc:creator>
  <cp:lastModifiedBy>Akashi</cp:lastModifiedBy>
  <dcterms:created xsi:type="dcterms:W3CDTF">2015-06-05T18:19:34Z</dcterms:created>
  <dcterms:modified xsi:type="dcterms:W3CDTF">2023-01-27T12:05:23Z</dcterms:modified>
</cp:coreProperties>
</file>