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rimex\Repo\Arimex\Documentacion\"/>
    </mc:Choice>
  </mc:AlternateContent>
  <xr:revisionPtr revIDLastSave="0" documentId="13_ncr:1_{2C3E3DEA-E600-44A8-8B66-423E87EF1FAB}" xr6:coauthVersionLast="47" xr6:coauthVersionMax="47" xr10:uidLastSave="{00000000-0000-0000-0000-000000000000}"/>
  <bookViews>
    <workbookView xWindow="-108" yWindow="-108" windowWidth="23256" windowHeight="13176" tabRatio="694" activeTab="2" xr2:uid="{3C149484-8A63-4D47-9889-9B55E210EF14}"/>
  </bookViews>
  <sheets>
    <sheet name="Sheet1" sheetId="1" r:id="rId1"/>
    <sheet name="Mediciones 25-10" sheetId="2" r:id="rId2"/>
    <sheet name="Mediciones 2-11" sheetId="3" r:id="rId3"/>
    <sheet name="Optimizacion Param" sheetId="6" r:id="rId4"/>
    <sheet name="Mediciones UI" sheetId="4" r:id="rId5"/>
    <sheet name="Materiales Nucleo" sheetId="5" r:id="rId6"/>
    <sheet name="Calefactores" sheetId="7" r:id="rId7"/>
    <sheet name="Placas Lite" sheetId="8" r:id="rId8"/>
  </sheets>
  <definedNames>
    <definedName name="_xlnm._FilterDatabase" localSheetId="2" hidden="1">'Mediciones 2-11'!$A$2:$P$37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1" i="3" l="1"/>
  <c r="H13" i="7"/>
  <c r="H12" i="7"/>
  <c r="H11" i="7"/>
  <c r="H10" i="7"/>
  <c r="H9" i="7"/>
  <c r="H8" i="7"/>
  <c r="H7" i="7"/>
  <c r="H6" i="7"/>
  <c r="H5" i="7"/>
  <c r="E6" i="7"/>
  <c r="E7" i="7"/>
  <c r="E8" i="7"/>
  <c r="E9" i="7"/>
  <c r="E10" i="7"/>
  <c r="E11" i="7"/>
  <c r="E12" i="7"/>
  <c r="E13" i="7"/>
  <c r="E5" i="7"/>
  <c r="J30" i="3"/>
  <c r="J29" i="3"/>
  <c r="J27" i="3"/>
  <c r="J28" i="3"/>
  <c r="P30" i="3"/>
  <c r="P29" i="3"/>
  <c r="P28" i="3"/>
  <c r="R5" i="3"/>
  <c r="S5" i="3"/>
  <c r="R6" i="3"/>
  <c r="S6" i="3"/>
  <c r="R10" i="3"/>
  <c r="S10" i="3"/>
  <c r="R11" i="3"/>
  <c r="S11" i="3"/>
  <c r="R12" i="3"/>
  <c r="S12" i="3"/>
  <c r="R13" i="3"/>
  <c r="S13" i="3"/>
  <c r="R14" i="3"/>
  <c r="S14" i="3"/>
  <c r="R16" i="3"/>
  <c r="S16" i="3"/>
  <c r="R17" i="3"/>
  <c r="S17" i="3"/>
  <c r="R22" i="3"/>
  <c r="S22" i="3"/>
  <c r="R23" i="3"/>
  <c r="S23" i="3"/>
  <c r="R24" i="3"/>
  <c r="S24" i="3"/>
  <c r="R25" i="3"/>
  <c r="S25" i="3"/>
  <c r="R36" i="3"/>
  <c r="S36" i="3"/>
  <c r="R37" i="3"/>
  <c r="S37" i="3"/>
  <c r="S4" i="3"/>
  <c r="R4" i="3"/>
  <c r="J37" i="3"/>
  <c r="J36" i="3"/>
  <c r="P36" i="3"/>
  <c r="P37" i="3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5" i="6"/>
  <c r="J26" i="3"/>
  <c r="J23" i="3"/>
  <c r="J24" i="3"/>
  <c r="J90" i="3"/>
  <c r="J89" i="3"/>
  <c r="J88" i="3"/>
  <c r="J87" i="3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5" i="6"/>
  <c r="O5" i="6"/>
  <c r="P25" i="3"/>
  <c r="P24" i="3"/>
  <c r="J20" i="6"/>
  <c r="J19" i="6"/>
  <c r="J18" i="6"/>
  <c r="J17" i="6"/>
  <c r="J86" i="3"/>
  <c r="J85" i="3"/>
  <c r="J84" i="3"/>
  <c r="J83" i="3"/>
  <c r="J16" i="6"/>
  <c r="J15" i="6"/>
  <c r="J14" i="6"/>
  <c r="J82" i="3"/>
  <c r="J81" i="3"/>
  <c r="J80" i="3"/>
  <c r="J79" i="3"/>
  <c r="J78" i="3"/>
  <c r="J13" i="6"/>
  <c r="J12" i="6"/>
  <c r="J11" i="6"/>
  <c r="J10" i="6"/>
  <c r="J9" i="6"/>
  <c r="J8" i="6"/>
  <c r="J7" i="6"/>
  <c r="J6" i="6"/>
  <c r="J5" i="6"/>
  <c r="J77" i="3"/>
  <c r="J76" i="3"/>
  <c r="J75" i="3"/>
  <c r="J74" i="3"/>
  <c r="J25" i="3"/>
  <c r="P23" i="3"/>
  <c r="P22" i="3"/>
  <c r="J22" i="3"/>
  <c r="P21" i="3"/>
  <c r="P20" i="3"/>
  <c r="P19" i="3"/>
  <c r="W12" i="3"/>
  <c r="V12" i="3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10" i="5"/>
  <c r="K6" i="5"/>
  <c r="P9" i="3"/>
  <c r="V4" i="3"/>
  <c r="W4" i="3"/>
  <c r="W7" i="3"/>
  <c r="V7" i="3"/>
  <c r="F20" i="1"/>
  <c r="F21" i="1"/>
  <c r="F22" i="1"/>
  <c r="F23" i="1"/>
  <c r="F24" i="1"/>
  <c r="F25" i="1"/>
  <c r="F26" i="1"/>
  <c r="F27" i="1"/>
  <c r="F28" i="1"/>
  <c r="F29" i="1"/>
  <c r="F19" i="1"/>
  <c r="D20" i="1"/>
  <c r="D21" i="1"/>
  <c r="D22" i="1"/>
  <c r="D23" i="1"/>
  <c r="D24" i="1"/>
  <c r="D25" i="1"/>
  <c r="D26" i="1"/>
  <c r="D27" i="1"/>
  <c r="D28" i="1"/>
  <c r="D29" i="1"/>
  <c r="D19" i="1"/>
  <c r="C20" i="1"/>
  <c r="C21" i="1"/>
  <c r="C22" i="1"/>
  <c r="C23" i="1"/>
  <c r="C24" i="1"/>
  <c r="C25" i="1"/>
  <c r="C26" i="1"/>
  <c r="C27" i="1"/>
  <c r="C28" i="1"/>
  <c r="C29" i="1"/>
  <c r="C19" i="1"/>
  <c r="W10" i="3"/>
  <c r="V10" i="3"/>
  <c r="W11" i="3"/>
  <c r="V11" i="3"/>
  <c r="W9" i="3"/>
  <c r="P6" i="3"/>
  <c r="J6" i="3"/>
  <c r="P4" i="3"/>
  <c r="J4" i="3"/>
  <c r="J18" i="3"/>
  <c r="J17" i="3"/>
  <c r="P17" i="3"/>
  <c r="P16" i="3"/>
  <c r="J16" i="3"/>
  <c r="J15" i="3"/>
  <c r="J14" i="3"/>
  <c r="J13" i="3"/>
  <c r="P14" i="3"/>
  <c r="P13" i="3"/>
  <c r="Q5" i="4"/>
  <c r="Q6" i="4"/>
  <c r="Q7" i="4"/>
  <c r="K6" i="4"/>
  <c r="J9" i="4"/>
  <c r="K9" i="4" s="1"/>
  <c r="J8" i="4"/>
  <c r="K8" i="4" s="1"/>
  <c r="J7" i="4"/>
  <c r="K7" i="4" s="1"/>
  <c r="J6" i="4"/>
  <c r="E14" i="4"/>
  <c r="E13" i="4"/>
  <c r="E12" i="4"/>
  <c r="E11" i="4"/>
  <c r="E10" i="4"/>
  <c r="E9" i="4"/>
  <c r="E8" i="4"/>
  <c r="E7" i="4"/>
  <c r="E6" i="4"/>
  <c r="J12" i="3"/>
  <c r="P12" i="3"/>
  <c r="J11" i="3"/>
  <c r="J10" i="3"/>
  <c r="J5" i="3"/>
  <c r="P11" i="3"/>
  <c r="P10" i="3"/>
  <c r="P7" i="3"/>
  <c r="P3" i="3"/>
  <c r="P5" i="3"/>
  <c r="H13" i="2"/>
  <c r="H14" i="2"/>
  <c r="M14" i="2"/>
  <c r="L14" i="2"/>
  <c r="M13" i="2"/>
  <c r="L13" i="2" s="1"/>
  <c r="M7" i="2"/>
  <c r="M8" i="2"/>
  <c r="L8" i="2" s="1"/>
  <c r="M9" i="2"/>
  <c r="M10" i="2"/>
  <c r="L10" i="2" s="1"/>
  <c r="M11" i="2"/>
  <c r="L11" i="2" s="1"/>
  <c r="M12" i="2"/>
  <c r="L12" i="2"/>
  <c r="H19" i="2"/>
  <c r="H20" i="2"/>
  <c r="H22" i="2"/>
  <c r="H25" i="2"/>
  <c r="H23" i="2"/>
  <c r="H18" i="2"/>
  <c r="H21" i="2"/>
  <c r="H24" i="2"/>
  <c r="H6" i="2"/>
  <c r="L6" i="2"/>
  <c r="L7" i="2"/>
  <c r="L9" i="2"/>
  <c r="H7" i="2"/>
  <c r="H8" i="2"/>
  <c r="F32" i="1" l="1"/>
</calcChain>
</file>

<file path=xl/sharedStrings.xml><?xml version="1.0" encoding="utf-8"?>
<sst xmlns="http://schemas.openxmlformats.org/spreadsheetml/2006/main" count="285" uniqueCount="139">
  <si>
    <t>Mediciones motores ITA</t>
  </si>
  <si>
    <t>Motor</t>
  </si>
  <si>
    <t>0 min</t>
  </si>
  <si>
    <t>5 min</t>
  </si>
  <si>
    <t>10 min</t>
  </si>
  <si>
    <t>P [W]</t>
  </si>
  <si>
    <t>I [A]</t>
  </si>
  <si>
    <t>T [C]</t>
  </si>
  <si>
    <t>MO 14 desde arg</t>
  </si>
  <si>
    <t>Inm. off</t>
  </si>
  <si>
    <t>Motor BW</t>
  </si>
  <si>
    <t>Escrito a mano</t>
  </si>
  <si>
    <t>Etiqueta grande</t>
  </si>
  <si>
    <t>Etiqueta chica</t>
  </si>
  <si>
    <t>Dejo de funcionar a los 3min</t>
  </si>
  <si>
    <t>No arranco</t>
  </si>
  <si>
    <t>Negro</t>
  </si>
  <si>
    <t>Lo paramos a los 30 seg, hace chispas en el conector</t>
  </si>
  <si>
    <t>Plastico</t>
  </si>
  <si>
    <t>PCB Arimex</t>
  </si>
  <si>
    <t>PCB BW</t>
  </si>
  <si>
    <t>Temp [°C]</t>
  </si>
  <si>
    <t>Pot [W]</t>
  </si>
  <si>
    <t>Duty [%]</t>
  </si>
  <si>
    <t>Rev [rpm]</t>
  </si>
  <si>
    <t>U3</t>
  </si>
  <si>
    <t>U4</t>
  </si>
  <si>
    <t>Todas las mediciones son luego de tener el motor 5min encendido</t>
  </si>
  <si>
    <t>Rev [Hz]</t>
  </si>
  <si>
    <t>Temp MAX [°C]</t>
  </si>
  <si>
    <t>I2 - 160/0.112</t>
  </si>
  <si>
    <t>I3 - 150/0.1</t>
  </si>
  <si>
    <t>I1 - 150/0.112</t>
  </si>
  <si>
    <t>Se quemo a los 4 min, pienso q se bloqueo el rotor y la electronica BW siguio entregando potencia</t>
  </si>
  <si>
    <t>Lo pare a los 3 min por temperatura y Claudio indico que no siga con la prueba</t>
  </si>
  <si>
    <t>I4 - 165/0.1</t>
  </si>
  <si>
    <t>Mediciones a duty cte 75%</t>
  </si>
  <si>
    <t>Adelanto [%]</t>
  </si>
  <si>
    <t>No tiene un buen indice de arranques</t>
  </si>
  <si>
    <t>I5 - 165/0.1</t>
  </si>
  <si>
    <t>.</t>
  </si>
  <si>
    <t>La termocupla no funcionaba en forma  confiable</t>
  </si>
  <si>
    <t>B1</t>
  </si>
  <si>
    <t>B2</t>
  </si>
  <si>
    <t>B3</t>
  </si>
  <si>
    <t>N1 - 165/0.1</t>
  </si>
  <si>
    <t>R</t>
  </si>
  <si>
    <t>Duty</t>
  </si>
  <si>
    <t>Adelanto</t>
  </si>
  <si>
    <t>Velocidad</t>
  </si>
  <si>
    <t>Hz</t>
  </si>
  <si>
    <t>rpm</t>
  </si>
  <si>
    <t>Pot</t>
  </si>
  <si>
    <t>Corriente</t>
  </si>
  <si>
    <t>Tension</t>
  </si>
  <si>
    <t>Pos</t>
  </si>
  <si>
    <t>Irms OSC</t>
  </si>
  <si>
    <t>Blanco</t>
  </si>
  <si>
    <t>Rojo</t>
  </si>
  <si>
    <t>Amarillo</t>
  </si>
  <si>
    <t>Verde</t>
  </si>
  <si>
    <t>Azul</t>
  </si>
  <si>
    <t>Placa</t>
  </si>
  <si>
    <t>Cable</t>
  </si>
  <si>
    <t>Xiaomi</t>
  </si>
  <si>
    <t>Power</t>
  </si>
  <si>
    <t>Temp</t>
  </si>
  <si>
    <t>Current</t>
  </si>
  <si>
    <t>L[mH]</t>
  </si>
  <si>
    <t>R[ohms]</t>
  </si>
  <si>
    <t>Off</t>
  </si>
  <si>
    <t>Time [min]</t>
  </si>
  <si>
    <t xml:space="preserve"> Sentido Directo</t>
  </si>
  <si>
    <t>N4</t>
  </si>
  <si>
    <t>3P2</t>
  </si>
  <si>
    <t>T max [°C]</t>
  </si>
  <si>
    <t>Adel [%]</t>
  </si>
  <si>
    <t>N3 - 180/0.1 - Nucleo C</t>
  </si>
  <si>
    <t>N4 - 170/0.1 - Nucleo I</t>
  </si>
  <si>
    <t>N5 - 180/0.1 - Nucleo I</t>
  </si>
  <si>
    <t>N6 - 180/0.1 - Nucleo I</t>
  </si>
  <si>
    <t>Fecha</t>
  </si>
  <si>
    <t>XIAOMI</t>
  </si>
  <si>
    <t>TAG</t>
  </si>
  <si>
    <t>R [ohms]</t>
  </si>
  <si>
    <t>L [mH]</t>
  </si>
  <si>
    <t>Espiras</t>
  </si>
  <si>
    <t>Nucleo</t>
  </si>
  <si>
    <t>Origen</t>
  </si>
  <si>
    <t>Best Works</t>
  </si>
  <si>
    <t>N1</t>
  </si>
  <si>
    <t>N2</t>
  </si>
  <si>
    <t>N3</t>
  </si>
  <si>
    <t>N5</t>
  </si>
  <si>
    <t>N6</t>
  </si>
  <si>
    <t>ITA</t>
  </si>
  <si>
    <t>CHI</t>
  </si>
  <si>
    <r>
      <t>Ø</t>
    </r>
    <r>
      <rPr>
        <b/>
        <sz val="13.2"/>
        <color theme="1"/>
        <rFont val="Calibri"/>
        <family val="2"/>
      </rPr>
      <t xml:space="preserve"> [mm]</t>
    </r>
  </si>
  <si>
    <t>Datos Motores</t>
  </si>
  <si>
    <t>Total</t>
  </si>
  <si>
    <t/>
  </si>
  <si>
    <t>10JNEX900</t>
  </si>
  <si>
    <t>10JNEX600</t>
  </si>
  <si>
    <t>20JHNF1300</t>
  </si>
  <si>
    <t>L [w/kg]
@ 1kHz, 1T</t>
  </si>
  <si>
    <t>NO20-13</t>
  </si>
  <si>
    <t>NO20-15</t>
  </si>
  <si>
    <t>Core loss</t>
  </si>
  <si>
    <t>Magnetizing Force</t>
  </si>
  <si>
    <t>[T]
@ 1kHz, 2.5A/m</t>
  </si>
  <si>
    <t>Core Loss</t>
  </si>
  <si>
    <t>V</t>
  </si>
  <si>
    <t>I</t>
  </si>
  <si>
    <t>Pcable</t>
  </si>
  <si>
    <t>N7</t>
  </si>
  <si>
    <t>C1</t>
  </si>
  <si>
    <t>N7 - 170/0.1</t>
  </si>
  <si>
    <t>En tubo</t>
  </si>
  <si>
    <t>Calificacion</t>
  </si>
  <si>
    <t>Nuevas Termocuplas</t>
  </si>
  <si>
    <t>J0</t>
  </si>
  <si>
    <t>Vel</t>
  </si>
  <si>
    <t>R1</t>
  </si>
  <si>
    <t>R2</t>
  </si>
  <si>
    <t>Puls Tot</t>
  </si>
  <si>
    <t>Puls ON</t>
  </si>
  <si>
    <t>A</t>
  </si>
  <si>
    <t>B</t>
  </si>
  <si>
    <t>C</t>
  </si>
  <si>
    <t>Tipo</t>
  </si>
  <si>
    <t>Integrada</t>
  </si>
  <si>
    <t>Discreto</t>
  </si>
  <si>
    <t>Comp zcd</t>
  </si>
  <si>
    <t>Comp Ip</t>
  </si>
  <si>
    <t>Fuente</t>
  </si>
  <si>
    <t>Micro</t>
  </si>
  <si>
    <t>Potencia</t>
  </si>
  <si>
    <t>X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</si>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</sst>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</font>
    <font>
      <b/>
      <sz val="13.2"/>
      <color theme="1"/>
      <name val="Calibri"/>
      <family val="2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</fills>
  <borders count="7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hair">
        <color auto="1"/>
      </bottom>
      <diagonal/>
    </border>
    <border>
      <left style="thin">
        <color indexed="64"/>
      </left>
      <right style="medium">
        <color indexed="64"/>
      </right>
      <top style="thin">
        <color auto="1"/>
      </top>
      <bottom style="hair">
        <color auto="1"/>
      </bottom>
      <diagonal/>
    </border>
    <border>
      <left style="medium">
        <color indexed="64"/>
      </left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 style="thin">
        <color indexed="64"/>
      </right>
      <top style="hair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hair">
        <color auto="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auto="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169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Font="1" applyAlignment="1">
      <alignment horizontal="right"/>
    </xf>
    <xf numFmtId="0" fontId="0" fillId="2" borderId="0" xfId="0" applyFill="1"/>
    <xf numFmtId="0" fontId="0" fillId="0" borderId="0" xfId="0" applyFill="1"/>
    <xf numFmtId="0" fontId="0" fillId="0" borderId="0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/>
    <xf numFmtId="0" fontId="0" fillId="0" borderId="7" xfId="0" applyFill="1" applyBorder="1"/>
    <xf numFmtId="0" fontId="0" fillId="0" borderId="8" xfId="0" applyFill="1" applyBorder="1"/>
    <xf numFmtId="0" fontId="0" fillId="0" borderId="9" xfId="0" applyFill="1" applyBorder="1"/>
    <xf numFmtId="0" fontId="0" fillId="0" borderId="10" xfId="0" applyFill="1" applyBorder="1"/>
    <xf numFmtId="0" fontId="0" fillId="0" borderId="11" xfId="0" applyFill="1" applyBorder="1"/>
    <xf numFmtId="0" fontId="0" fillId="3" borderId="9" xfId="0" applyFill="1" applyBorder="1"/>
    <xf numFmtId="0" fontId="0" fillId="3" borderId="11" xfId="0" applyFill="1" applyBorder="1"/>
    <xf numFmtId="0" fontId="0" fillId="0" borderId="12" xfId="0" applyFill="1" applyBorder="1"/>
    <xf numFmtId="0" fontId="0" fillId="0" borderId="14" xfId="0" applyFill="1" applyBorder="1"/>
    <xf numFmtId="0" fontId="0" fillId="0" borderId="15" xfId="0" applyFill="1" applyBorder="1"/>
    <xf numFmtId="0" fontId="0" fillId="0" borderId="0" xfId="0" applyFill="1" applyBorder="1"/>
    <xf numFmtId="0" fontId="0" fillId="3" borderId="13" xfId="0" applyFill="1" applyBorder="1" applyAlignment="1"/>
    <xf numFmtId="0" fontId="0" fillId="3" borderId="14" xfId="0" applyFill="1" applyBorder="1" applyAlignment="1"/>
    <xf numFmtId="0" fontId="0" fillId="3" borderId="15" xfId="0" applyFill="1" applyBorder="1" applyAlignment="1"/>
    <xf numFmtId="0" fontId="0" fillId="0" borderId="16" xfId="0" applyBorder="1"/>
    <xf numFmtId="2" fontId="0" fillId="0" borderId="0" xfId="0" applyNumberFormat="1"/>
    <xf numFmtId="164" fontId="0" fillId="0" borderId="0" xfId="0" applyNumberFormat="1"/>
    <xf numFmtId="0" fontId="0" fillId="3" borderId="16" xfId="0" applyFill="1" applyBorder="1"/>
    <xf numFmtId="0" fontId="0" fillId="0" borderId="17" xfId="0" applyBorder="1"/>
    <xf numFmtId="0" fontId="1" fillId="0" borderId="18" xfId="0" applyFont="1" applyBorder="1"/>
    <xf numFmtId="0" fontId="1" fillId="0" borderId="19" xfId="0" applyFont="1" applyBorder="1"/>
    <xf numFmtId="0" fontId="0" fillId="0" borderId="0" xfId="0" applyBorder="1"/>
    <xf numFmtId="0" fontId="0" fillId="0" borderId="21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0" fillId="0" borderId="32" xfId="0" applyBorder="1"/>
    <xf numFmtId="0" fontId="0" fillId="0" borderId="33" xfId="0" applyBorder="1"/>
    <xf numFmtId="0" fontId="0" fillId="0" borderId="35" xfId="0" applyBorder="1" applyAlignment="1">
      <alignment horizontal="right"/>
    </xf>
    <xf numFmtId="0" fontId="0" fillId="0" borderId="35" xfId="0" applyBorder="1"/>
    <xf numFmtId="0" fontId="0" fillId="0" borderId="36" xfId="0" applyBorder="1"/>
    <xf numFmtId="0" fontId="0" fillId="0" borderId="38" xfId="0" applyBorder="1" applyAlignment="1">
      <alignment horizontal="right"/>
    </xf>
    <xf numFmtId="0" fontId="0" fillId="0" borderId="38" xfId="0" applyBorder="1"/>
    <xf numFmtId="0" fontId="0" fillId="0" borderId="39" xfId="0" applyBorder="1"/>
    <xf numFmtId="0" fontId="0" fillId="4" borderId="0" xfId="0" applyFill="1" applyBorder="1"/>
    <xf numFmtId="16" fontId="0" fillId="0" borderId="0" xfId="0" applyNumberFormat="1"/>
    <xf numFmtId="0" fontId="0" fillId="0" borderId="0" xfId="0" applyAlignment="1">
      <alignment horizontal="center"/>
    </xf>
    <xf numFmtId="165" fontId="0" fillId="0" borderId="0" xfId="0" applyNumberFormat="1"/>
    <xf numFmtId="0" fontId="0" fillId="0" borderId="26" xfId="0" applyFill="1" applyBorder="1" applyAlignment="1">
      <alignment horizontal="center"/>
    </xf>
    <xf numFmtId="0" fontId="0" fillId="0" borderId="42" xfId="0" applyFill="1" applyBorder="1"/>
    <xf numFmtId="0" fontId="0" fillId="4" borderId="32" xfId="0" applyFill="1" applyBorder="1"/>
    <xf numFmtId="0" fontId="0" fillId="0" borderId="32" xfId="0" applyFill="1" applyBorder="1"/>
    <xf numFmtId="0" fontId="0" fillId="0" borderId="32" xfId="0" applyFill="1" applyBorder="1" applyAlignment="1"/>
    <xf numFmtId="0" fontId="0" fillId="4" borderId="32" xfId="0" applyFill="1" applyBorder="1" applyAlignment="1"/>
    <xf numFmtId="0" fontId="0" fillId="0" borderId="43" xfId="0" applyFill="1" applyBorder="1"/>
    <xf numFmtId="0" fontId="1" fillId="0" borderId="47" xfId="0" applyFont="1" applyBorder="1" applyAlignment="1">
      <alignment horizontal="center"/>
    </xf>
    <xf numFmtId="0" fontId="1" fillId="0" borderId="41" xfId="0" applyFont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3" fillId="0" borderId="48" xfId="0" applyFont="1" applyBorder="1" applyAlignment="1">
      <alignment horizontal="center"/>
    </xf>
    <xf numFmtId="0" fontId="1" fillId="0" borderId="28" xfId="0" applyFont="1" applyBorder="1"/>
    <xf numFmtId="0" fontId="1" fillId="0" borderId="31" xfId="0" applyFont="1" applyBorder="1"/>
    <xf numFmtId="164" fontId="0" fillId="0" borderId="32" xfId="0" applyNumberFormat="1" applyBorder="1"/>
    <xf numFmtId="0" fontId="0" fillId="0" borderId="25" xfId="0" applyFill="1" applyBorder="1" applyAlignment="1">
      <alignment horizontal="center"/>
    </xf>
    <xf numFmtId="0" fontId="0" fillId="0" borderId="49" xfId="0" applyFill="1" applyBorder="1"/>
    <xf numFmtId="0" fontId="0" fillId="0" borderId="50" xfId="0" applyFill="1" applyBorder="1"/>
    <xf numFmtId="0" fontId="0" fillId="4" borderId="33" xfId="0" applyFill="1" applyBorder="1"/>
    <xf numFmtId="0" fontId="0" fillId="0" borderId="31" xfId="0" applyFill="1" applyBorder="1"/>
    <xf numFmtId="0" fontId="0" fillId="0" borderId="33" xfId="0" applyFill="1" applyBorder="1"/>
    <xf numFmtId="0" fontId="0" fillId="0" borderId="31" xfId="0" applyFill="1" applyBorder="1" applyAlignment="1"/>
    <xf numFmtId="0" fontId="0" fillId="4" borderId="31" xfId="0" applyFill="1" applyBorder="1" applyAlignment="1"/>
    <xf numFmtId="0" fontId="0" fillId="0" borderId="51" xfId="0" applyFill="1" applyBorder="1"/>
    <xf numFmtId="0" fontId="0" fillId="0" borderId="52" xfId="0" applyFill="1" applyBorder="1"/>
    <xf numFmtId="0" fontId="0" fillId="0" borderId="37" xfId="0" applyFill="1" applyBorder="1" applyAlignment="1"/>
    <xf numFmtId="0" fontId="0" fillId="0" borderId="38" xfId="0" applyFill="1" applyBorder="1" applyAlignment="1"/>
    <xf numFmtId="0" fontId="0" fillId="0" borderId="38" xfId="0" applyFill="1" applyBorder="1"/>
    <xf numFmtId="0" fontId="0" fillId="0" borderId="39" xfId="0" applyFill="1" applyBorder="1"/>
    <xf numFmtId="0" fontId="0" fillId="0" borderId="0" xfId="0" applyAlignment="1">
      <alignment horizontal="center" wrapText="1"/>
    </xf>
    <xf numFmtId="0" fontId="0" fillId="0" borderId="31" xfId="0" quotePrefix="1" applyFill="1" applyBorder="1"/>
    <xf numFmtId="1" fontId="0" fillId="0" borderId="0" xfId="0" applyNumberFormat="1"/>
    <xf numFmtId="0" fontId="1" fillId="0" borderId="37" xfId="0" applyFont="1" applyBorder="1"/>
    <xf numFmtId="0" fontId="1" fillId="0" borderId="26" xfId="0" applyFont="1" applyFill="1" applyBorder="1" applyAlignment="1">
      <alignment horizontal="left"/>
    </xf>
    <xf numFmtId="0" fontId="0" fillId="4" borderId="10" xfId="0" applyFill="1" applyBorder="1"/>
    <xf numFmtId="0" fontId="0" fillId="0" borderId="10" xfId="0" applyFill="1" applyBorder="1" applyAlignment="1"/>
    <xf numFmtId="0" fontId="0" fillId="4" borderId="10" xfId="0" applyFill="1" applyBorder="1" applyAlignment="1"/>
    <xf numFmtId="0" fontId="0" fillId="0" borderId="53" xfId="0" applyFill="1" applyBorder="1" applyAlignment="1"/>
    <xf numFmtId="0" fontId="0" fillId="0" borderId="53" xfId="0" applyFill="1" applyBorder="1"/>
    <xf numFmtId="0" fontId="0" fillId="0" borderId="54" xfId="0" applyFill="1" applyBorder="1" applyAlignment="1"/>
    <xf numFmtId="0" fontId="0" fillId="4" borderId="31" xfId="0" applyFill="1" applyBorder="1"/>
    <xf numFmtId="0" fontId="0" fillId="0" borderId="37" xfId="0" applyFill="1" applyBorder="1"/>
    <xf numFmtId="16" fontId="0" fillId="0" borderId="3" xfId="0" applyNumberFormat="1" applyBorder="1"/>
    <xf numFmtId="0" fontId="0" fillId="0" borderId="3" xfId="0" applyFill="1" applyBorder="1"/>
    <xf numFmtId="0" fontId="0" fillId="0" borderId="55" xfId="0" applyFill="1" applyBorder="1"/>
    <xf numFmtId="0" fontId="0" fillId="0" borderId="40" xfId="0" applyFill="1" applyBorder="1"/>
    <xf numFmtId="0" fontId="0" fillId="0" borderId="56" xfId="0" applyFill="1" applyBorder="1" applyAlignment="1"/>
    <xf numFmtId="0" fontId="0" fillId="0" borderId="57" xfId="0" applyFill="1" applyBorder="1"/>
    <xf numFmtId="0" fontId="1" fillId="0" borderId="25" xfId="0" applyFont="1" applyFill="1" applyBorder="1" applyAlignment="1">
      <alignment horizontal="center"/>
    </xf>
    <xf numFmtId="0" fontId="1" fillId="0" borderId="26" xfId="0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1" fillId="0" borderId="27" xfId="0" applyFont="1" applyFill="1" applyBorder="1" applyAlignment="1">
      <alignment horizontal="center"/>
    </xf>
    <xf numFmtId="0" fontId="0" fillId="4" borderId="6" xfId="0" applyFill="1" applyBorder="1"/>
    <xf numFmtId="0" fontId="0" fillId="6" borderId="9" xfId="0" applyFill="1" applyBorder="1"/>
    <xf numFmtId="0" fontId="0" fillId="6" borderId="49" xfId="0" applyFill="1" applyBorder="1"/>
    <xf numFmtId="0" fontId="0" fillId="6" borderId="42" xfId="0" applyFill="1" applyBorder="1"/>
    <xf numFmtId="0" fontId="0" fillId="6" borderId="10" xfId="0" applyFill="1" applyBorder="1"/>
    <xf numFmtId="0" fontId="0" fillId="6" borderId="31" xfId="0" applyFill="1" applyBorder="1"/>
    <xf numFmtId="0" fontId="0" fillId="6" borderId="32" xfId="0" applyFill="1" applyBorder="1"/>
    <xf numFmtId="0" fontId="0" fillId="6" borderId="33" xfId="0" applyFill="1" applyBorder="1"/>
    <xf numFmtId="0" fontId="0" fillId="0" borderId="16" xfId="0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0" fontId="0" fillId="0" borderId="63" xfId="0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9" fontId="0" fillId="0" borderId="64" xfId="1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9" fontId="0" fillId="0" borderId="66" xfId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9" fontId="0" fillId="0" borderId="68" xfId="1" applyFont="1" applyBorder="1" applyAlignment="1">
      <alignment horizontal="center" vertical="center"/>
    </xf>
    <xf numFmtId="0" fontId="0" fillId="0" borderId="70" xfId="0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9" fontId="0" fillId="0" borderId="71" xfId="1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0" borderId="0" xfId="0" applyFont="1" applyFill="1" applyAlignment="1">
      <alignment horizontal="left"/>
    </xf>
    <xf numFmtId="0" fontId="0" fillId="0" borderId="40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23" xfId="0" applyBorder="1" applyAlignment="1">
      <alignment horizontal="center"/>
    </xf>
    <xf numFmtId="0" fontId="0" fillId="0" borderId="20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1" fillId="0" borderId="44" xfId="0" applyFont="1" applyBorder="1" applyAlignment="1">
      <alignment horizontal="center"/>
    </xf>
    <xf numFmtId="0" fontId="1" fillId="0" borderId="45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17" xfId="0" applyFont="1" applyFill="1" applyBorder="1" applyAlignment="1">
      <alignment horizontal="center"/>
    </xf>
    <xf numFmtId="0" fontId="1" fillId="0" borderId="18" xfId="0" applyFont="1" applyFill="1" applyBorder="1" applyAlignment="1">
      <alignment horizontal="center"/>
    </xf>
    <xf numFmtId="0" fontId="1" fillId="0" borderId="19" xfId="0" applyFont="1" applyFill="1" applyBorder="1" applyAlignment="1">
      <alignment horizontal="center"/>
    </xf>
    <xf numFmtId="0" fontId="0" fillId="5" borderId="20" xfId="0" applyFill="1" applyBorder="1" applyAlignment="1">
      <alignment horizontal="center" vertical="center" textRotation="90"/>
    </xf>
    <xf numFmtId="0" fontId="0" fillId="0" borderId="0" xfId="0" applyAlignment="1">
      <alignment horizontal="center" textRotation="90"/>
    </xf>
    <xf numFmtId="0" fontId="0" fillId="0" borderId="0" xfId="0" applyAlignment="1">
      <alignment horizontal="center"/>
    </xf>
    <xf numFmtId="0" fontId="0" fillId="0" borderId="62" xfId="0" applyBorder="1" applyAlignment="1">
      <alignment horizontal="center" vertical="center"/>
    </xf>
    <xf numFmtId="0" fontId="0" fillId="0" borderId="65" xfId="0" applyBorder="1" applyAlignment="1">
      <alignment horizontal="center" vertical="center"/>
    </xf>
    <xf numFmtId="0" fontId="0" fillId="0" borderId="69" xfId="0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67" xfId="0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'Materiales Nucleo'!$M$9</c:f>
              <c:strCache>
                <c:ptCount val="1"/>
                <c:pt idx="0">
                  <c:v>Pcable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'Materiales Nucleo'!$J$10:$J$30</c:f>
              <c:numCache>
                <c:formatCode>General</c:formatCode>
                <c:ptCount val="21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</c:numCache>
            </c:numRef>
          </c:xVal>
          <c:yVal>
            <c:numRef>
              <c:f>'Materiales Nucleo'!$M$10:$M$30</c:f>
              <c:numCache>
                <c:formatCode>0.0</c:formatCode>
                <c:ptCount val="21"/>
                <c:pt idx="0">
                  <c:v>2115.3609679999995</c:v>
                </c:pt>
                <c:pt idx="1">
                  <c:v>2073.8833019607837</c:v>
                </c:pt>
                <c:pt idx="2">
                  <c:v>2034.0009307692303</c:v>
                </c:pt>
                <c:pt idx="3">
                  <c:v>1995.6235547169808</c:v>
                </c:pt>
                <c:pt idx="4">
                  <c:v>1958.6675629629628</c:v>
                </c:pt>
                <c:pt idx="5">
                  <c:v>1923.055425454545</c:v>
                </c:pt>
                <c:pt idx="6">
                  <c:v>1888.7151499999995</c:v>
                </c:pt>
                <c:pt idx="7">
                  <c:v>1855.5797964912281</c:v>
                </c:pt>
                <c:pt idx="8">
                  <c:v>1823.58704137931</c:v>
                </c:pt>
                <c:pt idx="9">
                  <c:v>1792.6787864406776</c:v>
                </c:pt>
                <c:pt idx="10">
                  <c:v>1762.8008066666662</c:v>
                </c:pt>
                <c:pt idx="11">
                  <c:v>1733.9024327868847</c:v>
                </c:pt>
                <c:pt idx="12">
                  <c:v>1705.9362645161289</c:v>
                </c:pt>
                <c:pt idx="13">
                  <c:v>1678.8579111111108</c:v>
                </c:pt>
                <c:pt idx="14">
                  <c:v>1652.6257562499998</c:v>
                </c:pt>
                <c:pt idx="15">
                  <c:v>1627.2007446153843</c:v>
                </c:pt>
                <c:pt idx="16">
                  <c:v>1602.5461878787876</c:v>
                </c:pt>
                <c:pt idx="17">
                  <c:v>1578.6275880597011</c:v>
                </c:pt>
                <c:pt idx="18">
                  <c:v>1555.412476470588</c:v>
                </c:pt>
                <c:pt idx="19">
                  <c:v>1532.8702666666666</c:v>
                </c:pt>
                <c:pt idx="20">
                  <c:v>1510.9721199999999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261-4C62-AD2C-79E17F8657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1498448"/>
        <c:axId val="681498864"/>
      </c:scatterChart>
      <c:valAx>
        <c:axId val="681498448"/>
        <c:scaling>
          <c:orientation val="minMax"/>
          <c:min val="4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498864"/>
        <c:crosses val="autoZero"/>
        <c:crossBetween val="midCat"/>
      </c:valAx>
      <c:valAx>
        <c:axId val="68149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498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259080</xdr:colOff>
      <xdr:row>9</xdr:row>
      <xdr:rowOff>30480</xdr:rowOff>
    </xdr:from>
    <xdr:to>
      <xdr:col>20</xdr:col>
      <xdr:colOff>563880</xdr:colOff>
      <xdr:row>24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4B90C6-2C68-4C35-9EF4-C9B5C47E59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F48FB-EC76-47CB-8DA4-A5EAA2B00624}">
  <dimension ref="A2:J32"/>
  <sheetViews>
    <sheetView topLeftCell="A3" workbookViewId="0">
      <selection activeCell="G26" sqref="G26"/>
    </sheetView>
  </sheetViews>
  <sheetFormatPr defaultRowHeight="14.4" x14ac:dyDescent="0.3"/>
  <cols>
    <col min="1" max="1" width="21" bestFit="1" customWidth="1"/>
    <col min="9" max="9" width="9.109375" customWidth="1"/>
  </cols>
  <sheetData>
    <row r="2" spans="1:10" x14ac:dyDescent="0.3">
      <c r="A2" t="s">
        <v>0</v>
      </c>
    </row>
    <row r="4" spans="1:10" x14ac:dyDescent="0.3">
      <c r="A4" t="s">
        <v>1</v>
      </c>
      <c r="B4" s="1" t="s">
        <v>2</v>
      </c>
      <c r="C4" s="125" t="s">
        <v>3</v>
      </c>
      <c r="D4" s="125"/>
      <c r="E4" s="125"/>
      <c r="F4" s="125" t="s">
        <v>4</v>
      </c>
      <c r="G4" s="125"/>
      <c r="H4" s="125"/>
      <c r="I4" s="1" t="s">
        <v>9</v>
      </c>
    </row>
    <row r="5" spans="1:10" x14ac:dyDescent="0.3">
      <c r="B5" s="1" t="s">
        <v>7</v>
      </c>
      <c r="C5" s="1" t="s">
        <v>5</v>
      </c>
      <c r="D5" s="1" t="s">
        <v>6</v>
      </c>
      <c r="E5" s="1" t="s">
        <v>7</v>
      </c>
      <c r="F5" s="1" t="s">
        <v>5</v>
      </c>
      <c r="G5" s="1" t="s">
        <v>6</v>
      </c>
      <c r="H5" s="1" t="s">
        <v>7</v>
      </c>
      <c r="I5" s="1" t="s">
        <v>7</v>
      </c>
    </row>
    <row r="6" spans="1:10" x14ac:dyDescent="0.3">
      <c r="A6" t="s">
        <v>10</v>
      </c>
      <c r="B6">
        <v>23</v>
      </c>
      <c r="C6" s="2">
        <v>89</v>
      </c>
      <c r="D6" s="2">
        <v>0.74</v>
      </c>
      <c r="E6" s="2">
        <v>35</v>
      </c>
      <c r="F6" s="2">
        <v>89</v>
      </c>
      <c r="G6" s="2">
        <v>0.74</v>
      </c>
      <c r="H6" s="2">
        <v>35</v>
      </c>
      <c r="I6" s="2">
        <v>40</v>
      </c>
    </row>
    <row r="7" spans="1:10" x14ac:dyDescent="0.3">
      <c r="A7" t="s">
        <v>8</v>
      </c>
      <c r="B7">
        <v>21</v>
      </c>
      <c r="C7">
        <v>105</v>
      </c>
      <c r="D7">
        <v>0.87</v>
      </c>
      <c r="E7">
        <v>38</v>
      </c>
      <c r="F7">
        <v>105</v>
      </c>
      <c r="G7">
        <v>0.87</v>
      </c>
      <c r="H7">
        <v>38</v>
      </c>
      <c r="I7">
        <v>93</v>
      </c>
    </row>
    <row r="8" spans="1:10" x14ac:dyDescent="0.3">
      <c r="A8" t="s">
        <v>11</v>
      </c>
      <c r="C8">
        <v>110</v>
      </c>
      <c r="D8">
        <v>0.9</v>
      </c>
      <c r="E8">
        <v>76</v>
      </c>
      <c r="I8">
        <v>119</v>
      </c>
    </row>
    <row r="9" spans="1:10" x14ac:dyDescent="0.3">
      <c r="A9" s="3" t="s">
        <v>12</v>
      </c>
      <c r="B9" s="3">
        <v>23</v>
      </c>
      <c r="C9" s="3"/>
      <c r="D9" s="3"/>
      <c r="E9" s="3"/>
      <c r="F9" s="3"/>
      <c r="G9" s="3"/>
      <c r="H9" s="3"/>
      <c r="I9" s="3"/>
      <c r="J9" t="s">
        <v>14</v>
      </c>
    </row>
    <row r="10" spans="1:10" x14ac:dyDescent="0.3">
      <c r="A10" s="3" t="s">
        <v>13</v>
      </c>
      <c r="B10" s="3"/>
      <c r="C10" s="3"/>
      <c r="D10" s="3"/>
      <c r="E10" s="3"/>
      <c r="F10" s="3"/>
      <c r="G10" s="3"/>
      <c r="H10" s="3"/>
      <c r="I10" s="3"/>
      <c r="J10" t="s">
        <v>15</v>
      </c>
    </row>
    <row r="11" spans="1:10" x14ac:dyDescent="0.3">
      <c r="A11" s="3" t="s">
        <v>16</v>
      </c>
      <c r="B11" s="3">
        <v>25</v>
      </c>
      <c r="C11" s="3"/>
      <c r="D11" s="3"/>
      <c r="E11" s="3"/>
      <c r="F11" s="3"/>
      <c r="G11" s="3"/>
      <c r="H11" s="3"/>
      <c r="I11" s="3">
        <v>55</v>
      </c>
      <c r="J11" t="s">
        <v>17</v>
      </c>
    </row>
    <row r="12" spans="1:10" x14ac:dyDescent="0.3">
      <c r="A12" s="3" t="s">
        <v>18</v>
      </c>
      <c r="B12" s="3"/>
      <c r="C12" s="3"/>
      <c r="D12" s="3"/>
      <c r="E12" s="3"/>
      <c r="F12" s="3"/>
      <c r="G12" s="3"/>
      <c r="H12" s="3"/>
      <c r="I12" s="3"/>
      <c r="J12" t="s">
        <v>15</v>
      </c>
    </row>
    <row r="19" spans="2:6" x14ac:dyDescent="0.3">
      <c r="B19">
        <v>0</v>
      </c>
      <c r="C19">
        <f>POWER(2,B19)</f>
        <v>1</v>
      </c>
      <c r="D19" s="50">
        <f>1/C19</f>
        <v>1</v>
      </c>
      <c r="E19">
        <v>0</v>
      </c>
      <c r="F19">
        <f>IF(E19=1,D19,IF(E19=-1,-D19,0))</f>
        <v>0</v>
      </c>
    </row>
    <row r="20" spans="2:6" x14ac:dyDescent="0.3">
      <c r="B20">
        <v>1</v>
      </c>
      <c r="C20">
        <f t="shared" ref="C20:C29" si="0">POWER(2,B20)</f>
        <v>2</v>
      </c>
      <c r="D20" s="50">
        <f t="shared" ref="D20:D29" si="1">1/C20</f>
        <v>0.5</v>
      </c>
      <c r="E20">
        <v>1</v>
      </c>
      <c r="F20">
        <f t="shared" ref="F20:F29" si="2">IF(E20=1,D20,IF(E20=-1,-D20,0))</f>
        <v>0.5</v>
      </c>
    </row>
    <row r="21" spans="2:6" x14ac:dyDescent="0.3">
      <c r="B21">
        <v>2</v>
      </c>
      <c r="C21">
        <f t="shared" si="0"/>
        <v>4</v>
      </c>
      <c r="D21" s="50">
        <f t="shared" si="1"/>
        <v>0.25</v>
      </c>
      <c r="F21">
        <f t="shared" si="2"/>
        <v>0</v>
      </c>
    </row>
    <row r="22" spans="2:6" x14ac:dyDescent="0.3">
      <c r="B22">
        <v>3</v>
      </c>
      <c r="C22">
        <f t="shared" si="0"/>
        <v>8</v>
      </c>
      <c r="D22" s="50">
        <f t="shared" si="1"/>
        <v>0.125</v>
      </c>
      <c r="F22">
        <f t="shared" si="2"/>
        <v>0</v>
      </c>
    </row>
    <row r="23" spans="2:6" x14ac:dyDescent="0.3">
      <c r="B23">
        <v>4</v>
      </c>
      <c r="C23">
        <f t="shared" si="0"/>
        <v>16</v>
      </c>
      <c r="D23" s="50">
        <f t="shared" si="1"/>
        <v>6.25E-2</v>
      </c>
      <c r="F23">
        <f t="shared" si="2"/>
        <v>0</v>
      </c>
    </row>
    <row r="24" spans="2:6" x14ac:dyDescent="0.3">
      <c r="B24">
        <v>5</v>
      </c>
      <c r="C24">
        <f t="shared" si="0"/>
        <v>32</v>
      </c>
      <c r="D24" s="50">
        <f t="shared" si="1"/>
        <v>3.125E-2</v>
      </c>
      <c r="F24">
        <f t="shared" si="2"/>
        <v>0</v>
      </c>
    </row>
    <row r="25" spans="2:6" x14ac:dyDescent="0.3">
      <c r="B25">
        <v>6</v>
      </c>
      <c r="C25">
        <f t="shared" si="0"/>
        <v>64</v>
      </c>
      <c r="D25" s="50">
        <f t="shared" si="1"/>
        <v>1.5625E-2</v>
      </c>
      <c r="F25">
        <f t="shared" si="2"/>
        <v>0</v>
      </c>
    </row>
    <row r="26" spans="2:6" x14ac:dyDescent="0.3">
      <c r="B26">
        <v>7</v>
      </c>
      <c r="C26">
        <f t="shared" si="0"/>
        <v>128</v>
      </c>
      <c r="D26" s="50">
        <f t="shared" si="1"/>
        <v>7.8125E-3</v>
      </c>
      <c r="F26">
        <f t="shared" si="2"/>
        <v>0</v>
      </c>
    </row>
    <row r="27" spans="2:6" x14ac:dyDescent="0.3">
      <c r="B27">
        <v>8</v>
      </c>
      <c r="C27">
        <f t="shared" si="0"/>
        <v>256</v>
      </c>
      <c r="D27" s="50">
        <f t="shared" si="1"/>
        <v>3.90625E-3</v>
      </c>
      <c r="F27">
        <f t="shared" si="2"/>
        <v>0</v>
      </c>
    </row>
    <row r="28" spans="2:6" x14ac:dyDescent="0.3">
      <c r="B28">
        <v>9</v>
      </c>
      <c r="C28">
        <f t="shared" si="0"/>
        <v>512</v>
      </c>
      <c r="D28" s="50">
        <f t="shared" si="1"/>
        <v>1.953125E-3</v>
      </c>
      <c r="F28">
        <f t="shared" si="2"/>
        <v>0</v>
      </c>
    </row>
    <row r="29" spans="2:6" x14ac:dyDescent="0.3">
      <c r="B29">
        <v>10</v>
      </c>
      <c r="C29">
        <f t="shared" si="0"/>
        <v>1024</v>
      </c>
      <c r="D29" s="50">
        <f t="shared" si="1"/>
        <v>9.765625E-4</v>
      </c>
      <c r="F29">
        <f t="shared" si="2"/>
        <v>0</v>
      </c>
    </row>
    <row r="32" spans="2:6" x14ac:dyDescent="0.3">
      <c r="E32" t="s">
        <v>99</v>
      </c>
      <c r="F32">
        <f>SUM(F19:F29)</f>
        <v>0.5</v>
      </c>
    </row>
  </sheetData>
  <mergeCells count="2">
    <mergeCell ref="C4:E4"/>
    <mergeCell ref="F4:H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8F985-CFBB-4EE2-B4FB-7A6F7F1D453C}">
  <dimension ref="A1:N25"/>
  <sheetViews>
    <sheetView workbookViewId="0">
      <selection activeCell="I4" sqref="B4:M14"/>
    </sheetView>
  </sheetViews>
  <sheetFormatPr defaultRowHeight="14.4" x14ac:dyDescent="0.3"/>
  <cols>
    <col min="2" max="3" width="12.21875" customWidth="1"/>
    <col min="4" max="4" width="13.44140625" bestFit="1" customWidth="1"/>
    <col min="5" max="13" width="12.21875" customWidth="1"/>
  </cols>
  <sheetData>
    <row r="1" spans="1:14" x14ac:dyDescent="0.3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</row>
    <row r="2" spans="1:14" x14ac:dyDescent="0.3">
      <c r="A2" s="4"/>
      <c r="B2" s="132" t="s">
        <v>27</v>
      </c>
      <c r="C2" s="132"/>
      <c r="D2" s="132"/>
      <c r="E2" s="132"/>
      <c r="F2" s="132"/>
      <c r="G2" s="132"/>
      <c r="H2" s="4"/>
      <c r="I2" s="4"/>
      <c r="J2" s="4"/>
      <c r="K2" s="4"/>
      <c r="L2" s="4"/>
      <c r="M2" s="4"/>
    </row>
    <row r="3" spans="1:14" x14ac:dyDescent="0.3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</row>
    <row r="4" spans="1:14" x14ac:dyDescent="0.3">
      <c r="A4" s="4"/>
      <c r="B4" s="4" t="s">
        <v>1</v>
      </c>
      <c r="C4" s="131" t="s">
        <v>19</v>
      </c>
      <c r="D4" s="129"/>
      <c r="E4" s="129"/>
      <c r="F4" s="129"/>
      <c r="G4" s="129"/>
      <c r="H4" s="130"/>
      <c r="I4" s="129" t="s">
        <v>20</v>
      </c>
      <c r="J4" s="129"/>
      <c r="K4" s="129"/>
      <c r="L4" s="129"/>
      <c r="M4" s="130"/>
    </row>
    <row r="5" spans="1:14" x14ac:dyDescent="0.3">
      <c r="A5" s="4"/>
      <c r="B5" s="4"/>
      <c r="C5" s="7" t="s">
        <v>21</v>
      </c>
      <c r="D5" s="5" t="s">
        <v>29</v>
      </c>
      <c r="E5" s="5" t="s">
        <v>22</v>
      </c>
      <c r="F5" s="5" t="s">
        <v>23</v>
      </c>
      <c r="G5" s="5" t="s">
        <v>28</v>
      </c>
      <c r="H5" s="6" t="s">
        <v>24</v>
      </c>
      <c r="I5" s="5" t="s">
        <v>21</v>
      </c>
      <c r="J5" s="5" t="s">
        <v>29</v>
      </c>
      <c r="K5" s="5" t="s">
        <v>22</v>
      </c>
      <c r="L5" s="5" t="s">
        <v>28</v>
      </c>
      <c r="M5" s="6" t="s">
        <v>24</v>
      </c>
    </row>
    <row r="6" spans="1:14" x14ac:dyDescent="0.3">
      <c r="A6" s="4"/>
      <c r="B6" s="8" t="s">
        <v>25</v>
      </c>
      <c r="C6" s="9"/>
      <c r="D6" s="8"/>
      <c r="E6" s="8"/>
      <c r="F6" s="8"/>
      <c r="G6" s="8"/>
      <c r="H6" s="10">
        <f>G6*60</f>
        <v>0</v>
      </c>
      <c r="I6" s="8">
        <v>27</v>
      </c>
      <c r="J6" s="8">
        <v>41</v>
      </c>
      <c r="K6" s="8">
        <v>84</v>
      </c>
      <c r="L6" s="8">
        <f t="shared" ref="L6:L14" si="0">M6/60</f>
        <v>1750</v>
      </c>
      <c r="M6" s="10">
        <v>105000</v>
      </c>
    </row>
    <row r="7" spans="1:14" x14ac:dyDescent="0.3">
      <c r="A7" s="4"/>
      <c r="B7" s="11" t="s">
        <v>26</v>
      </c>
      <c r="C7" s="9">
        <v>36</v>
      </c>
      <c r="D7" s="8">
        <v>52</v>
      </c>
      <c r="E7" s="8">
        <v>91</v>
      </c>
      <c r="F7" s="8">
        <v>75</v>
      </c>
      <c r="G7" s="8">
        <v>1798</v>
      </c>
      <c r="H7" s="13">
        <f>G7*60</f>
        <v>107880</v>
      </c>
      <c r="I7" s="11">
        <v>41</v>
      </c>
      <c r="J7" s="11">
        <v>62</v>
      </c>
      <c r="K7" s="11">
        <v>95</v>
      </c>
      <c r="L7" s="11">
        <f t="shared" si="0"/>
        <v>1750</v>
      </c>
      <c r="M7" s="13">
        <f t="shared" ref="M7:M11" si="1">$M$6</f>
        <v>105000</v>
      </c>
    </row>
    <row r="8" spans="1:14" x14ac:dyDescent="0.3">
      <c r="A8" s="4"/>
      <c r="B8" s="11" t="s">
        <v>32</v>
      </c>
      <c r="C8" s="12">
        <v>35</v>
      </c>
      <c r="D8" s="11">
        <v>114</v>
      </c>
      <c r="E8" s="11">
        <v>120</v>
      </c>
      <c r="F8" s="11">
        <v>70</v>
      </c>
      <c r="G8" s="11">
        <v>1760</v>
      </c>
      <c r="H8" s="13">
        <f>G8*60</f>
        <v>105600</v>
      </c>
      <c r="I8" s="11">
        <v>30</v>
      </c>
      <c r="J8" s="11">
        <v>80</v>
      </c>
      <c r="K8" s="11">
        <v>102</v>
      </c>
      <c r="L8" s="11">
        <f t="shared" si="0"/>
        <v>1750</v>
      </c>
      <c r="M8" s="13">
        <f t="shared" si="1"/>
        <v>105000</v>
      </c>
    </row>
    <row r="9" spans="1:14" x14ac:dyDescent="0.3">
      <c r="A9" s="4"/>
      <c r="B9" s="11" t="s">
        <v>30</v>
      </c>
      <c r="C9" s="126" t="s">
        <v>15</v>
      </c>
      <c r="D9" s="127"/>
      <c r="E9" s="127"/>
      <c r="F9" s="127"/>
      <c r="G9" s="127"/>
      <c r="H9" s="128"/>
      <c r="I9" s="14">
        <v>38</v>
      </c>
      <c r="J9" s="14">
        <v>120</v>
      </c>
      <c r="K9" s="14">
        <v>110</v>
      </c>
      <c r="L9" s="14">
        <f t="shared" si="0"/>
        <v>1750</v>
      </c>
      <c r="M9" s="15">
        <f t="shared" si="1"/>
        <v>105000</v>
      </c>
      <c r="N9" t="s">
        <v>33</v>
      </c>
    </row>
    <row r="10" spans="1:14" x14ac:dyDescent="0.3">
      <c r="A10" s="4"/>
      <c r="B10" s="11" t="s">
        <v>31</v>
      </c>
      <c r="C10" s="126" t="s">
        <v>15</v>
      </c>
      <c r="D10" s="127"/>
      <c r="E10" s="127"/>
      <c r="F10" s="127"/>
      <c r="G10" s="127"/>
      <c r="H10" s="128"/>
      <c r="I10" s="14">
        <v>62</v>
      </c>
      <c r="J10" s="14">
        <v>105</v>
      </c>
      <c r="K10" s="14">
        <v>113</v>
      </c>
      <c r="L10" s="14">
        <f t="shared" si="0"/>
        <v>1750</v>
      </c>
      <c r="M10" s="15">
        <f t="shared" si="1"/>
        <v>105000</v>
      </c>
      <c r="N10" t="s">
        <v>34</v>
      </c>
    </row>
    <row r="11" spans="1:14" x14ac:dyDescent="0.3">
      <c r="A11" s="4"/>
      <c r="B11" s="16" t="s">
        <v>35</v>
      </c>
      <c r="C11" s="126" t="s">
        <v>15</v>
      </c>
      <c r="D11" s="127"/>
      <c r="E11" s="127"/>
      <c r="F11" s="127"/>
      <c r="G11" s="127"/>
      <c r="H11" s="128"/>
      <c r="I11" s="11">
        <v>32</v>
      </c>
      <c r="J11" s="11">
        <v>54</v>
      </c>
      <c r="K11" s="11">
        <v>88</v>
      </c>
      <c r="L11" s="11">
        <f t="shared" si="0"/>
        <v>1750</v>
      </c>
      <c r="M11" s="13">
        <f t="shared" si="1"/>
        <v>105000</v>
      </c>
    </row>
    <row r="12" spans="1:14" x14ac:dyDescent="0.3">
      <c r="A12" s="4"/>
      <c r="B12" s="19" t="s">
        <v>39</v>
      </c>
      <c r="C12" s="12"/>
      <c r="D12" s="11"/>
      <c r="E12" s="11"/>
      <c r="F12" s="11"/>
      <c r="G12" s="11"/>
      <c r="H12" s="13"/>
      <c r="I12" s="11">
        <v>49</v>
      </c>
      <c r="J12" s="11">
        <v>67</v>
      </c>
      <c r="K12" s="11">
        <v>94</v>
      </c>
      <c r="L12" s="11">
        <f t="shared" si="0"/>
        <v>1750</v>
      </c>
      <c r="M12" s="13">
        <f>$M$6</f>
        <v>105000</v>
      </c>
    </row>
    <row r="13" spans="1:14" x14ac:dyDescent="0.3">
      <c r="B13" s="19" t="s">
        <v>39</v>
      </c>
      <c r="C13" s="12">
        <v>44</v>
      </c>
      <c r="D13" s="11">
        <v>88</v>
      </c>
      <c r="E13" s="11">
        <v>103</v>
      </c>
      <c r="F13" s="11">
        <v>65</v>
      </c>
      <c r="G13" s="11">
        <v>1718</v>
      </c>
      <c r="H13" s="13">
        <f>60*G13</f>
        <v>103080</v>
      </c>
      <c r="I13" s="11">
        <v>40</v>
      </c>
      <c r="J13" s="11">
        <v>65</v>
      </c>
      <c r="K13" s="11">
        <v>107</v>
      </c>
      <c r="L13" s="11">
        <f t="shared" si="0"/>
        <v>1750</v>
      </c>
      <c r="M13" s="13">
        <f>$M$6</f>
        <v>105000</v>
      </c>
    </row>
    <row r="14" spans="1:14" x14ac:dyDescent="0.3">
      <c r="B14" s="19" t="s">
        <v>39</v>
      </c>
      <c r="C14" s="20">
        <v>40</v>
      </c>
      <c r="D14" s="21">
        <v>90</v>
      </c>
      <c r="E14" s="21">
        <v>120</v>
      </c>
      <c r="F14" s="21">
        <v>75</v>
      </c>
      <c r="G14" s="21">
        <v>1754</v>
      </c>
      <c r="H14" s="22">
        <f>G14*60</f>
        <v>105240</v>
      </c>
      <c r="I14" s="17">
        <v>40</v>
      </c>
      <c r="J14" s="17">
        <v>64</v>
      </c>
      <c r="K14" s="17">
        <v>98</v>
      </c>
      <c r="L14" s="17">
        <f t="shared" si="0"/>
        <v>1750</v>
      </c>
      <c r="M14" s="18">
        <f>$M$6</f>
        <v>105000</v>
      </c>
      <c r="N14" t="s">
        <v>41</v>
      </c>
    </row>
    <row r="15" spans="1:14" x14ac:dyDescent="0.3">
      <c r="C15" t="s">
        <v>40</v>
      </c>
    </row>
    <row r="16" spans="1:14" x14ac:dyDescent="0.3">
      <c r="C16" t="s">
        <v>36</v>
      </c>
    </row>
    <row r="17" spans="2:9" x14ac:dyDescent="0.3">
      <c r="B17" t="s">
        <v>1</v>
      </c>
      <c r="C17" s="5" t="s">
        <v>37</v>
      </c>
      <c r="D17" s="7" t="s">
        <v>21</v>
      </c>
      <c r="E17" s="5" t="s">
        <v>29</v>
      </c>
      <c r="F17" s="5" t="s">
        <v>22</v>
      </c>
      <c r="G17" s="5" t="s">
        <v>28</v>
      </c>
      <c r="H17" s="6" t="s">
        <v>24</v>
      </c>
    </row>
    <row r="18" spans="2:9" x14ac:dyDescent="0.3">
      <c r="B18" t="s">
        <v>26</v>
      </c>
      <c r="C18">
        <v>27</v>
      </c>
      <c r="D18">
        <v>39</v>
      </c>
      <c r="E18">
        <v>54</v>
      </c>
      <c r="F18">
        <v>93</v>
      </c>
      <c r="G18">
        <v>1798</v>
      </c>
      <c r="H18">
        <f t="shared" ref="H18:H25" si="2">G18*60</f>
        <v>107880</v>
      </c>
    </row>
    <row r="19" spans="2:9" x14ac:dyDescent="0.3">
      <c r="B19" t="s">
        <v>26</v>
      </c>
      <c r="C19">
        <v>28</v>
      </c>
      <c r="H19">
        <f t="shared" si="2"/>
        <v>0</v>
      </c>
    </row>
    <row r="20" spans="2:9" x14ac:dyDescent="0.3">
      <c r="B20" t="s">
        <v>26</v>
      </c>
      <c r="C20">
        <v>29</v>
      </c>
      <c r="H20">
        <f t="shared" si="2"/>
        <v>0</v>
      </c>
    </row>
    <row r="21" spans="2:9" x14ac:dyDescent="0.3">
      <c r="B21" t="s">
        <v>26</v>
      </c>
      <c r="C21">
        <v>30</v>
      </c>
      <c r="D21">
        <v>36.6</v>
      </c>
      <c r="E21">
        <v>53</v>
      </c>
      <c r="F21">
        <v>90</v>
      </c>
      <c r="G21">
        <v>1798</v>
      </c>
      <c r="H21">
        <f t="shared" si="2"/>
        <v>107880</v>
      </c>
    </row>
    <row r="22" spans="2:9" x14ac:dyDescent="0.3">
      <c r="B22" t="s">
        <v>26</v>
      </c>
      <c r="C22">
        <v>31</v>
      </c>
      <c r="D22">
        <v>38</v>
      </c>
      <c r="E22">
        <v>53</v>
      </c>
      <c r="F22">
        <v>93</v>
      </c>
      <c r="G22">
        <v>1798</v>
      </c>
      <c r="H22">
        <f t="shared" si="2"/>
        <v>107880</v>
      </c>
    </row>
    <row r="23" spans="2:9" x14ac:dyDescent="0.3">
      <c r="B23" t="s">
        <v>26</v>
      </c>
      <c r="C23">
        <v>32</v>
      </c>
      <c r="D23">
        <v>38</v>
      </c>
      <c r="E23">
        <v>53</v>
      </c>
      <c r="F23">
        <v>91</v>
      </c>
      <c r="G23">
        <v>1792</v>
      </c>
      <c r="H23">
        <f t="shared" si="2"/>
        <v>107520</v>
      </c>
    </row>
    <row r="24" spans="2:9" x14ac:dyDescent="0.3">
      <c r="B24" t="s">
        <v>26</v>
      </c>
      <c r="C24">
        <v>33</v>
      </c>
      <c r="D24">
        <v>36</v>
      </c>
      <c r="E24">
        <v>52</v>
      </c>
      <c r="F24">
        <v>91</v>
      </c>
      <c r="G24">
        <v>1798</v>
      </c>
      <c r="H24">
        <f t="shared" si="2"/>
        <v>107880</v>
      </c>
    </row>
    <row r="25" spans="2:9" x14ac:dyDescent="0.3">
      <c r="B25" t="s">
        <v>26</v>
      </c>
      <c r="C25">
        <v>34</v>
      </c>
      <c r="D25">
        <v>38</v>
      </c>
      <c r="E25">
        <v>53</v>
      </c>
      <c r="F25">
        <v>89</v>
      </c>
      <c r="G25">
        <v>1786</v>
      </c>
      <c r="H25">
        <f t="shared" si="2"/>
        <v>107160</v>
      </c>
      <c r="I25" t="s">
        <v>38</v>
      </c>
    </row>
  </sheetData>
  <sortState xmlns:xlrd2="http://schemas.microsoft.com/office/spreadsheetml/2017/richdata2" ref="C19:I24">
    <sortCondition ref="C18:C24"/>
  </sortState>
  <mergeCells count="6">
    <mergeCell ref="C11:H11"/>
    <mergeCell ref="I4:M4"/>
    <mergeCell ref="C4:H4"/>
    <mergeCell ref="B2:G2"/>
    <mergeCell ref="C9:H9"/>
    <mergeCell ref="C10:H10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B5634-B068-4E96-84B1-399A22DD4947}">
  <sheetPr>
    <pageSetUpPr fitToPage="1"/>
  </sheetPr>
  <dimension ref="A1:AB90"/>
  <sheetViews>
    <sheetView tabSelected="1" zoomScale="90" zoomScaleNormal="90" workbookViewId="0">
      <pane ySplit="2" topLeftCell="A6" activePane="bottomLeft" state="frozen"/>
      <selection pane="bottomLeft" activeCell="D32" sqref="D32"/>
    </sheetView>
  </sheetViews>
  <sheetFormatPr defaultRowHeight="14.4" x14ac:dyDescent="0.3"/>
  <cols>
    <col min="2" max="2" width="12.109375" customWidth="1"/>
    <col min="3" max="16" width="10.109375" customWidth="1"/>
    <col min="17" max="17" width="4.77734375" customWidth="1"/>
    <col min="23" max="23" width="10" bestFit="1" customWidth="1"/>
    <col min="24" max="24" width="10.88671875" bestFit="1" customWidth="1"/>
    <col min="27" max="27" width="10.88671875" bestFit="1" customWidth="1"/>
  </cols>
  <sheetData>
    <row r="1" spans="1:28" x14ac:dyDescent="0.3">
      <c r="A1" t="s">
        <v>81</v>
      </c>
      <c r="B1" s="4" t="s">
        <v>83</v>
      </c>
      <c r="C1" s="153" t="s">
        <v>19</v>
      </c>
      <c r="D1" s="154"/>
      <c r="E1" s="154"/>
      <c r="F1" s="154"/>
      <c r="G1" s="154"/>
      <c r="H1" s="154"/>
      <c r="I1" s="154"/>
      <c r="J1" s="154"/>
      <c r="K1" s="153" t="s">
        <v>20</v>
      </c>
      <c r="L1" s="154"/>
      <c r="M1" s="154"/>
      <c r="N1" s="154"/>
      <c r="O1" s="154"/>
      <c r="P1" s="155"/>
      <c r="U1" s="150" t="s">
        <v>98</v>
      </c>
      <c r="V1" s="151"/>
      <c r="W1" s="151"/>
      <c r="X1" s="151"/>
      <c r="Y1" s="151"/>
      <c r="Z1" s="151"/>
      <c r="AA1" s="152"/>
    </row>
    <row r="2" spans="1:28" ht="17.399999999999999" x14ac:dyDescent="0.35">
      <c r="B2" s="4"/>
      <c r="C2" s="98" t="s">
        <v>21</v>
      </c>
      <c r="D2" s="99" t="s">
        <v>75</v>
      </c>
      <c r="E2" s="99" t="s">
        <v>22</v>
      </c>
      <c r="F2" s="99" t="s">
        <v>6</v>
      </c>
      <c r="G2" s="99" t="s">
        <v>23</v>
      </c>
      <c r="H2" s="99" t="s">
        <v>76</v>
      </c>
      <c r="I2" s="99" t="s">
        <v>28</v>
      </c>
      <c r="J2" s="100" t="s">
        <v>24</v>
      </c>
      <c r="K2" s="98" t="s">
        <v>21</v>
      </c>
      <c r="L2" s="99" t="s">
        <v>75</v>
      </c>
      <c r="M2" s="99" t="s">
        <v>22</v>
      </c>
      <c r="N2" s="99" t="s">
        <v>6</v>
      </c>
      <c r="O2" s="99" t="s">
        <v>28</v>
      </c>
      <c r="P2" s="101" t="s">
        <v>24</v>
      </c>
      <c r="U2" s="58" t="s">
        <v>83</v>
      </c>
      <c r="V2" s="59" t="s">
        <v>84</v>
      </c>
      <c r="W2" s="59" t="s">
        <v>85</v>
      </c>
      <c r="X2" s="59" t="s">
        <v>86</v>
      </c>
      <c r="Y2" s="60" t="s">
        <v>97</v>
      </c>
      <c r="Z2" s="59" t="s">
        <v>87</v>
      </c>
      <c r="AA2" s="61" t="s">
        <v>88</v>
      </c>
    </row>
    <row r="3" spans="1:28" x14ac:dyDescent="0.3">
      <c r="A3" s="48">
        <v>44502</v>
      </c>
      <c r="B3" s="8" t="s">
        <v>42</v>
      </c>
      <c r="C3" s="66"/>
      <c r="D3" s="52"/>
      <c r="E3" s="52"/>
      <c r="F3" s="52"/>
      <c r="G3" s="52"/>
      <c r="H3" s="52"/>
      <c r="I3" s="52"/>
      <c r="J3" s="9"/>
      <c r="K3" s="66">
        <v>38</v>
      </c>
      <c r="L3" s="52">
        <v>46</v>
      </c>
      <c r="M3" s="52">
        <v>76</v>
      </c>
      <c r="N3" s="52"/>
      <c r="O3" s="52">
        <v>1750</v>
      </c>
      <c r="P3" s="67">
        <f t="shared" ref="P3:P7" si="0">O3*60</f>
        <v>105000</v>
      </c>
      <c r="U3" s="62" t="s">
        <v>42</v>
      </c>
      <c r="V3" s="37"/>
      <c r="W3" s="37"/>
      <c r="X3" s="37"/>
      <c r="Y3" s="37"/>
      <c r="Z3" s="37"/>
      <c r="AA3" s="38" t="s">
        <v>89</v>
      </c>
    </row>
    <row r="4" spans="1:28" x14ac:dyDescent="0.3">
      <c r="A4" s="48">
        <v>44502</v>
      </c>
      <c r="B4" s="103" t="s">
        <v>43</v>
      </c>
      <c r="C4" s="104">
        <v>42</v>
      </c>
      <c r="D4" s="105">
        <v>50</v>
      </c>
      <c r="E4" s="105">
        <v>84</v>
      </c>
      <c r="F4" s="105">
        <v>0.73</v>
      </c>
      <c r="G4" s="105">
        <v>68</v>
      </c>
      <c r="H4" s="105">
        <v>33</v>
      </c>
      <c r="I4" s="105">
        <v>1750</v>
      </c>
      <c r="J4" s="106">
        <f>I4*60</f>
        <v>105000</v>
      </c>
      <c r="K4" s="107">
        <v>40</v>
      </c>
      <c r="L4" s="108">
        <v>46</v>
      </c>
      <c r="M4" s="108">
        <v>73</v>
      </c>
      <c r="N4" s="108"/>
      <c r="O4" s="108">
        <v>1750</v>
      </c>
      <c r="P4" s="109">
        <f t="shared" si="0"/>
        <v>105000</v>
      </c>
      <c r="R4">
        <f>C4-K4</f>
        <v>2</v>
      </c>
      <c r="S4">
        <f>D4-L4</f>
        <v>4</v>
      </c>
      <c r="U4" s="63" t="s">
        <v>43</v>
      </c>
      <c r="V4" s="64">
        <f>(61.2+61.1+61.1)/3</f>
        <v>61.133333333333333</v>
      </c>
      <c r="W4" s="64">
        <f>(5.1+5+5.1)/3</f>
        <v>5.0666666666666664</v>
      </c>
      <c r="X4" s="39"/>
      <c r="Y4" s="39">
        <v>0.1</v>
      </c>
      <c r="Z4" s="39"/>
      <c r="AA4" s="40" t="s">
        <v>89</v>
      </c>
    </row>
    <row r="5" spans="1:28" x14ac:dyDescent="0.3">
      <c r="A5" s="48">
        <v>44511</v>
      </c>
      <c r="B5" s="103" t="s">
        <v>43</v>
      </c>
      <c r="C5" s="104">
        <v>41</v>
      </c>
      <c r="D5" s="105">
        <v>52</v>
      </c>
      <c r="E5" s="105">
        <v>92</v>
      </c>
      <c r="F5" s="105">
        <v>0.74</v>
      </c>
      <c r="G5" s="105">
        <v>76</v>
      </c>
      <c r="H5" s="105">
        <v>40</v>
      </c>
      <c r="I5" s="105">
        <v>1811</v>
      </c>
      <c r="J5" s="106">
        <f>I5*60</f>
        <v>108660</v>
      </c>
      <c r="K5" s="107">
        <v>36</v>
      </c>
      <c r="L5" s="108">
        <v>44</v>
      </c>
      <c r="M5" s="108">
        <v>79</v>
      </c>
      <c r="N5" s="108">
        <v>0.66</v>
      </c>
      <c r="O5" s="108">
        <v>1750</v>
      </c>
      <c r="P5" s="109">
        <f t="shared" si="0"/>
        <v>105000</v>
      </c>
      <c r="R5">
        <f t="shared" ref="R5:R37" si="1">C5-K5</f>
        <v>5</v>
      </c>
      <c r="S5">
        <f t="shared" ref="S5:S37" si="2">D5-L5</f>
        <v>8</v>
      </c>
      <c r="U5" s="63" t="s">
        <v>44</v>
      </c>
      <c r="V5" s="39"/>
      <c r="W5" s="39"/>
      <c r="X5" s="39"/>
      <c r="Y5" s="39"/>
      <c r="Z5" s="39"/>
      <c r="AA5" s="40" t="s">
        <v>89</v>
      </c>
    </row>
    <row r="6" spans="1:28" x14ac:dyDescent="0.3">
      <c r="A6" s="48">
        <v>44511</v>
      </c>
      <c r="B6" s="103" t="s">
        <v>43</v>
      </c>
      <c r="C6" s="104">
        <v>40</v>
      </c>
      <c r="D6" s="105">
        <v>51</v>
      </c>
      <c r="E6" s="105">
        <v>92</v>
      </c>
      <c r="F6" s="105">
        <v>0.74</v>
      </c>
      <c r="G6" s="105">
        <v>76</v>
      </c>
      <c r="H6" s="105">
        <v>40</v>
      </c>
      <c r="I6" s="105">
        <v>1825</v>
      </c>
      <c r="J6" s="106">
        <f>I6*60</f>
        <v>109500</v>
      </c>
      <c r="K6" s="107">
        <v>36</v>
      </c>
      <c r="L6" s="108">
        <v>45</v>
      </c>
      <c r="M6" s="108">
        <v>78</v>
      </c>
      <c r="N6" s="108">
        <v>0.66</v>
      </c>
      <c r="O6" s="108">
        <v>1750</v>
      </c>
      <c r="P6" s="109">
        <f t="shared" si="0"/>
        <v>105000</v>
      </c>
      <c r="R6">
        <f t="shared" si="1"/>
        <v>4</v>
      </c>
      <c r="S6">
        <f t="shared" si="2"/>
        <v>6</v>
      </c>
      <c r="U6" s="63" t="s">
        <v>90</v>
      </c>
      <c r="V6" s="39">
        <v>63.5</v>
      </c>
      <c r="W6" s="39">
        <v>3.6</v>
      </c>
      <c r="X6" s="39">
        <v>165</v>
      </c>
      <c r="Y6" s="39">
        <v>0.1</v>
      </c>
      <c r="Z6" s="39"/>
      <c r="AA6" s="40" t="s">
        <v>95</v>
      </c>
    </row>
    <row r="7" spans="1:28" x14ac:dyDescent="0.3">
      <c r="A7" s="48">
        <v>44502</v>
      </c>
      <c r="B7" s="8" t="s">
        <v>44</v>
      </c>
      <c r="C7" s="69"/>
      <c r="D7" s="54"/>
      <c r="E7" s="54"/>
      <c r="F7" s="54"/>
      <c r="G7" s="54"/>
      <c r="H7" s="54"/>
      <c r="I7" s="54"/>
      <c r="J7" s="12"/>
      <c r="K7" s="69">
        <v>42</v>
      </c>
      <c r="L7" s="54">
        <v>49</v>
      </c>
      <c r="M7" s="54">
        <v>78</v>
      </c>
      <c r="N7" s="54"/>
      <c r="O7" s="54">
        <v>1750</v>
      </c>
      <c r="P7" s="70">
        <f t="shared" si="0"/>
        <v>105000</v>
      </c>
      <c r="U7" s="63" t="s">
        <v>91</v>
      </c>
      <c r="V7" s="64">
        <f>(63.3+62.9+62.7)/3</f>
        <v>62.966666666666661</v>
      </c>
      <c r="W7" s="64">
        <f>(3.5+3.6+3.3)/3</f>
        <v>3.4666666666666663</v>
      </c>
      <c r="X7" s="39">
        <v>165</v>
      </c>
      <c r="Y7" s="39">
        <v>0.1</v>
      </c>
      <c r="Z7" s="39"/>
      <c r="AA7" s="40" t="s">
        <v>95</v>
      </c>
    </row>
    <row r="8" spans="1:28" x14ac:dyDescent="0.3">
      <c r="A8" s="48">
        <v>44502</v>
      </c>
      <c r="B8" s="8"/>
      <c r="C8" s="80"/>
      <c r="D8" s="54"/>
      <c r="E8" s="54"/>
      <c r="F8" s="54"/>
      <c r="G8" s="54"/>
      <c r="H8" s="54"/>
      <c r="I8" s="54"/>
      <c r="J8" s="12"/>
      <c r="K8" s="69"/>
      <c r="L8" s="54"/>
      <c r="M8" s="54"/>
      <c r="N8" s="54"/>
      <c r="O8" s="54"/>
      <c r="P8" s="70"/>
      <c r="U8" s="63" t="s">
        <v>92</v>
      </c>
      <c r="V8" s="39">
        <v>64.8</v>
      </c>
      <c r="W8" s="39">
        <v>4.7</v>
      </c>
      <c r="X8" s="39">
        <v>180</v>
      </c>
      <c r="Y8" s="39">
        <v>0.1</v>
      </c>
      <c r="Z8" s="39" t="s">
        <v>96</v>
      </c>
      <c r="AA8" s="40" t="s">
        <v>95</v>
      </c>
    </row>
    <row r="9" spans="1:28" x14ac:dyDescent="0.3">
      <c r="B9" s="8" t="s">
        <v>45</v>
      </c>
      <c r="C9" s="80" t="s">
        <v>100</v>
      </c>
      <c r="D9" s="54"/>
      <c r="E9" s="54"/>
      <c r="F9" s="54"/>
      <c r="G9" s="54"/>
      <c r="H9" s="54"/>
      <c r="I9" s="54"/>
      <c r="J9" s="12"/>
      <c r="K9" s="69">
        <v>63</v>
      </c>
      <c r="L9" s="54">
        <v>96</v>
      </c>
      <c r="M9" s="54">
        <v>108</v>
      </c>
      <c r="N9" s="54"/>
      <c r="O9" s="54">
        <v>1750</v>
      </c>
      <c r="P9" s="70">
        <f t="shared" ref="P9" si="3">O9*60</f>
        <v>105000</v>
      </c>
      <c r="U9" s="63" t="s">
        <v>73</v>
      </c>
      <c r="V9" s="39">
        <v>62</v>
      </c>
      <c r="W9" s="64">
        <f>(4.5+4.5+4.1)/3</f>
        <v>4.3666666666666663</v>
      </c>
      <c r="X9" s="39">
        <v>170</v>
      </c>
      <c r="Y9" s="39">
        <v>0.1</v>
      </c>
      <c r="Z9" s="39" t="s">
        <v>95</v>
      </c>
      <c r="AA9" s="40" t="s">
        <v>95</v>
      </c>
    </row>
    <row r="10" spans="1:28" ht="14.4" customHeight="1" x14ac:dyDescent="0.3">
      <c r="A10" s="48">
        <v>44503</v>
      </c>
      <c r="B10" s="102" t="s">
        <v>77</v>
      </c>
      <c r="C10" s="90">
        <v>44</v>
      </c>
      <c r="D10" s="53">
        <v>56</v>
      </c>
      <c r="E10" s="53">
        <v>85</v>
      </c>
      <c r="F10" s="53">
        <v>0.73</v>
      </c>
      <c r="G10" s="53">
        <v>68</v>
      </c>
      <c r="H10" s="53">
        <v>33</v>
      </c>
      <c r="I10" s="53">
        <v>1750</v>
      </c>
      <c r="J10" s="84">
        <f>I10*60</f>
        <v>105000</v>
      </c>
      <c r="K10" s="90">
        <v>40</v>
      </c>
      <c r="L10" s="53">
        <v>50</v>
      </c>
      <c r="M10" s="53">
        <v>82</v>
      </c>
      <c r="N10" s="53"/>
      <c r="O10" s="53">
        <v>1750</v>
      </c>
      <c r="P10" s="68">
        <f>O10*60</f>
        <v>105000</v>
      </c>
      <c r="R10">
        <f t="shared" si="1"/>
        <v>4</v>
      </c>
      <c r="S10">
        <f t="shared" si="2"/>
        <v>6</v>
      </c>
      <c r="U10" s="63" t="s">
        <v>93</v>
      </c>
      <c r="V10" s="64">
        <f>(66+66.4+66.3)/3</f>
        <v>66.233333333333334</v>
      </c>
      <c r="W10" s="64">
        <f>(4.7+4.5+4.7)/3</f>
        <v>4.6333333333333329</v>
      </c>
      <c r="X10" s="39">
        <v>180</v>
      </c>
      <c r="Y10" s="39">
        <v>0.1</v>
      </c>
      <c r="Z10" s="39" t="s">
        <v>95</v>
      </c>
      <c r="AA10" s="40" t="s">
        <v>95</v>
      </c>
    </row>
    <row r="11" spans="1:28" x14ac:dyDescent="0.3">
      <c r="A11" s="48">
        <v>44503</v>
      </c>
      <c r="B11" s="102" t="s">
        <v>77</v>
      </c>
      <c r="C11" s="90">
        <v>44</v>
      </c>
      <c r="D11" s="53">
        <v>55</v>
      </c>
      <c r="E11" s="53">
        <v>82</v>
      </c>
      <c r="F11" s="53">
        <v>0.73</v>
      </c>
      <c r="G11" s="53">
        <v>68</v>
      </c>
      <c r="H11" s="53">
        <v>33</v>
      </c>
      <c r="I11" s="53">
        <v>1724</v>
      </c>
      <c r="J11" s="84">
        <f>I11*60</f>
        <v>103440</v>
      </c>
      <c r="K11" s="90">
        <v>43</v>
      </c>
      <c r="L11" s="53">
        <v>51</v>
      </c>
      <c r="M11" s="53">
        <v>82</v>
      </c>
      <c r="N11" s="53">
        <v>0.72</v>
      </c>
      <c r="O11" s="53">
        <v>1750</v>
      </c>
      <c r="P11" s="68">
        <f>O11*60</f>
        <v>105000</v>
      </c>
      <c r="R11">
        <f t="shared" si="1"/>
        <v>1</v>
      </c>
      <c r="S11">
        <f t="shared" si="2"/>
        <v>4</v>
      </c>
      <c r="U11" s="63" t="s">
        <v>94</v>
      </c>
      <c r="V11" s="64">
        <f>(66.1+66.4+66.4)/3</f>
        <v>66.3</v>
      </c>
      <c r="W11" s="64">
        <f>(4.4+4.2+4.3)/3</f>
        <v>4.3000000000000007</v>
      </c>
      <c r="X11" s="39">
        <v>180</v>
      </c>
      <c r="Y11" s="39">
        <v>0.1</v>
      </c>
      <c r="Z11" s="39" t="s">
        <v>95</v>
      </c>
      <c r="AA11" s="40" t="s">
        <v>95</v>
      </c>
    </row>
    <row r="12" spans="1:28" x14ac:dyDescent="0.3">
      <c r="A12" s="48">
        <v>44503</v>
      </c>
      <c r="B12" s="11" t="s">
        <v>78</v>
      </c>
      <c r="C12" s="71">
        <v>52</v>
      </c>
      <c r="D12" s="55">
        <v>72</v>
      </c>
      <c r="E12" s="55">
        <v>95</v>
      </c>
      <c r="F12" s="55">
        <v>0.82</v>
      </c>
      <c r="G12" s="55">
        <v>68</v>
      </c>
      <c r="H12" s="55">
        <v>33</v>
      </c>
      <c r="I12" s="55">
        <v>1742</v>
      </c>
      <c r="J12" s="85">
        <f>60*I12</f>
        <v>104520</v>
      </c>
      <c r="K12" s="69">
        <v>49</v>
      </c>
      <c r="L12" s="54">
        <v>64</v>
      </c>
      <c r="M12" s="54">
        <v>88</v>
      </c>
      <c r="N12" s="54">
        <v>0.76</v>
      </c>
      <c r="O12" s="54">
        <v>1750</v>
      </c>
      <c r="P12" s="70">
        <f>O12*60</f>
        <v>105000</v>
      </c>
      <c r="R12">
        <f t="shared" si="1"/>
        <v>3</v>
      </c>
      <c r="S12">
        <f t="shared" si="2"/>
        <v>8</v>
      </c>
      <c r="U12" s="63" t="s">
        <v>114</v>
      </c>
      <c r="V12" s="64">
        <f>(66.3+66+65.4)/3</f>
        <v>65.900000000000006</v>
      </c>
      <c r="W12" s="64">
        <f>(4.2+4.2+4.2)/3</f>
        <v>4.2</v>
      </c>
      <c r="X12" s="39">
        <v>170</v>
      </c>
      <c r="Y12" s="39">
        <v>0.1</v>
      </c>
      <c r="Z12" s="39" t="s">
        <v>95</v>
      </c>
      <c r="AA12" s="40" t="s">
        <v>95</v>
      </c>
      <c r="AB12" s="25"/>
    </row>
    <row r="13" spans="1:28" x14ac:dyDescent="0.3">
      <c r="A13" s="48">
        <v>44509</v>
      </c>
      <c r="B13" s="19" t="s">
        <v>79</v>
      </c>
      <c r="C13" s="71">
        <v>42</v>
      </c>
      <c r="D13" s="55">
        <v>71</v>
      </c>
      <c r="E13" s="55">
        <v>86</v>
      </c>
      <c r="F13" s="55">
        <v>0.72</v>
      </c>
      <c r="G13" s="55">
        <v>68</v>
      </c>
      <c r="H13" s="55">
        <v>33</v>
      </c>
      <c r="I13" s="55">
        <v>1712</v>
      </c>
      <c r="J13" s="85">
        <f t="shared" ref="J13:J22" si="4">I13*60</f>
        <v>102720</v>
      </c>
      <c r="K13" s="69">
        <v>38</v>
      </c>
      <c r="L13" s="54">
        <v>67</v>
      </c>
      <c r="M13" s="54">
        <v>94</v>
      </c>
      <c r="N13" s="54">
        <v>0.77</v>
      </c>
      <c r="O13" s="54">
        <v>1750</v>
      </c>
      <c r="P13" s="70">
        <f>O13*60</f>
        <v>105000</v>
      </c>
      <c r="R13">
        <f t="shared" si="1"/>
        <v>4</v>
      </c>
      <c r="S13">
        <f t="shared" si="2"/>
        <v>4</v>
      </c>
      <c r="U13" s="63"/>
      <c r="V13" s="64"/>
      <c r="W13" s="64"/>
      <c r="X13" s="39"/>
      <c r="Y13" s="39"/>
      <c r="Z13" s="39"/>
      <c r="AA13" s="40"/>
      <c r="AB13" s="25"/>
    </row>
    <row r="14" spans="1:28" x14ac:dyDescent="0.3">
      <c r="A14" s="48">
        <v>44509</v>
      </c>
      <c r="B14" s="47" t="s">
        <v>79</v>
      </c>
      <c r="C14" s="72">
        <v>42</v>
      </c>
      <c r="D14" s="56">
        <v>71</v>
      </c>
      <c r="E14" s="56">
        <v>85</v>
      </c>
      <c r="F14" s="56">
        <v>0.72</v>
      </c>
      <c r="G14" s="56">
        <v>68</v>
      </c>
      <c r="H14" s="56">
        <v>33</v>
      </c>
      <c r="I14" s="56">
        <v>1712</v>
      </c>
      <c r="J14" s="86">
        <f t="shared" si="4"/>
        <v>102720</v>
      </c>
      <c r="K14" s="90">
        <v>40</v>
      </c>
      <c r="L14" s="53">
        <v>68</v>
      </c>
      <c r="M14" s="53">
        <v>95</v>
      </c>
      <c r="N14" s="53">
        <v>0.79</v>
      </c>
      <c r="O14" s="53">
        <v>1750</v>
      </c>
      <c r="P14" s="68">
        <f>O14*60</f>
        <v>105000</v>
      </c>
      <c r="R14">
        <f t="shared" si="1"/>
        <v>2</v>
      </c>
      <c r="S14">
        <f t="shared" si="2"/>
        <v>3</v>
      </c>
      <c r="U14" s="63"/>
      <c r="V14" s="64"/>
      <c r="W14" s="64"/>
      <c r="X14" s="39"/>
      <c r="Y14" s="39"/>
      <c r="Z14" s="39"/>
      <c r="AA14" s="40"/>
      <c r="AB14" s="25"/>
    </row>
    <row r="15" spans="1:28" x14ac:dyDescent="0.3">
      <c r="A15" s="48">
        <v>44509</v>
      </c>
      <c r="B15" s="47" t="s">
        <v>79</v>
      </c>
      <c r="C15" s="72">
        <v>42</v>
      </c>
      <c r="D15" s="56">
        <v>72</v>
      </c>
      <c r="E15" s="56">
        <v>89</v>
      </c>
      <c r="F15" s="56">
        <v>0.74</v>
      </c>
      <c r="G15" s="56">
        <v>70</v>
      </c>
      <c r="H15" s="56">
        <v>33</v>
      </c>
      <c r="I15" s="56">
        <v>1724</v>
      </c>
      <c r="J15" s="86">
        <f t="shared" si="4"/>
        <v>103440</v>
      </c>
      <c r="K15" s="90"/>
      <c r="L15" s="53"/>
      <c r="M15" s="53"/>
      <c r="N15" s="53"/>
      <c r="O15" s="53"/>
      <c r="P15" s="68"/>
      <c r="U15" s="63"/>
      <c r="V15" s="64"/>
      <c r="W15" s="64"/>
      <c r="X15" s="39"/>
      <c r="Y15" s="39"/>
      <c r="Z15" s="39"/>
      <c r="AA15" s="40"/>
      <c r="AB15" s="25"/>
    </row>
    <row r="16" spans="1:28" ht="13.8" customHeight="1" x14ac:dyDescent="0.3">
      <c r="A16" s="48">
        <v>44511</v>
      </c>
      <c r="B16" s="19" t="s">
        <v>80</v>
      </c>
      <c r="C16" s="71">
        <v>53</v>
      </c>
      <c r="D16" s="55">
        <v>71</v>
      </c>
      <c r="E16" s="55">
        <v>83</v>
      </c>
      <c r="F16" s="55">
        <v>0.71</v>
      </c>
      <c r="G16" s="55">
        <v>68</v>
      </c>
      <c r="H16" s="55">
        <v>33</v>
      </c>
      <c r="I16" s="55">
        <v>1678</v>
      </c>
      <c r="J16" s="85">
        <f t="shared" si="4"/>
        <v>100680</v>
      </c>
      <c r="K16" s="69">
        <v>52</v>
      </c>
      <c r="L16" s="54">
        <v>70</v>
      </c>
      <c r="M16" s="54">
        <v>84</v>
      </c>
      <c r="N16" s="54">
        <v>0.74</v>
      </c>
      <c r="O16" s="54">
        <v>1750</v>
      </c>
      <c r="P16" s="70">
        <f>O16*60</f>
        <v>105000</v>
      </c>
      <c r="R16">
        <f t="shared" si="1"/>
        <v>1</v>
      </c>
      <c r="S16">
        <f t="shared" si="2"/>
        <v>1</v>
      </c>
      <c r="U16" s="63" t="s">
        <v>115</v>
      </c>
      <c r="V16" s="64">
        <v>55</v>
      </c>
      <c r="W16" s="64">
        <v>4.55</v>
      </c>
      <c r="X16" s="39"/>
      <c r="Y16" s="39"/>
      <c r="Z16" s="39" t="s">
        <v>96</v>
      </c>
      <c r="AA16" s="40" t="s">
        <v>96</v>
      </c>
      <c r="AB16" s="25"/>
    </row>
    <row r="17" spans="1:28" ht="15" thickBot="1" x14ac:dyDescent="0.35">
      <c r="A17" s="48">
        <v>44511</v>
      </c>
      <c r="B17" s="19" t="s">
        <v>80</v>
      </c>
      <c r="C17" s="71">
        <v>54</v>
      </c>
      <c r="D17" s="55">
        <v>73</v>
      </c>
      <c r="E17" s="55">
        <v>82</v>
      </c>
      <c r="F17" s="55">
        <v>0.72</v>
      </c>
      <c r="G17" s="55">
        <v>68</v>
      </c>
      <c r="H17" s="55">
        <v>33</v>
      </c>
      <c r="I17" s="55">
        <v>1678</v>
      </c>
      <c r="J17" s="85">
        <f t="shared" si="4"/>
        <v>100680</v>
      </c>
      <c r="K17" s="69">
        <v>53</v>
      </c>
      <c r="L17" s="54">
        <v>69</v>
      </c>
      <c r="M17" s="54">
        <v>84</v>
      </c>
      <c r="N17" s="54">
        <v>0.73</v>
      </c>
      <c r="O17" s="54">
        <v>1750</v>
      </c>
      <c r="P17" s="70">
        <f>O17*60</f>
        <v>105000</v>
      </c>
      <c r="R17">
        <f t="shared" si="1"/>
        <v>1</v>
      </c>
      <c r="S17">
        <f t="shared" si="2"/>
        <v>4</v>
      </c>
      <c r="U17" s="82"/>
      <c r="V17" s="45"/>
      <c r="W17" s="45"/>
      <c r="X17" s="45"/>
      <c r="Y17" s="45"/>
      <c r="Z17" s="45"/>
      <c r="AA17" s="46"/>
      <c r="AB17" s="25"/>
    </row>
    <row r="18" spans="1:28" x14ac:dyDescent="0.3">
      <c r="A18" s="48">
        <v>44511</v>
      </c>
      <c r="B18" s="19" t="s">
        <v>80</v>
      </c>
      <c r="C18" s="71">
        <v>52</v>
      </c>
      <c r="D18" s="55">
        <v>70</v>
      </c>
      <c r="E18" s="55">
        <v>88</v>
      </c>
      <c r="F18" s="55">
        <v>0.73</v>
      </c>
      <c r="G18" s="55">
        <v>76</v>
      </c>
      <c r="H18" s="55">
        <v>40</v>
      </c>
      <c r="I18" s="55">
        <v>1748</v>
      </c>
      <c r="J18" s="85">
        <f t="shared" si="4"/>
        <v>104880</v>
      </c>
      <c r="K18" s="69"/>
      <c r="L18" s="54"/>
      <c r="M18" s="54"/>
      <c r="N18" s="54"/>
      <c r="O18" s="54"/>
      <c r="P18" s="70"/>
      <c r="AA18" s="25"/>
      <c r="AB18" s="25"/>
    </row>
    <row r="19" spans="1:28" x14ac:dyDescent="0.3">
      <c r="A19" s="48">
        <v>44515</v>
      </c>
      <c r="B19" s="19" t="s">
        <v>116</v>
      </c>
      <c r="C19" s="69"/>
      <c r="D19" s="54"/>
      <c r="E19" s="54"/>
      <c r="F19" s="54"/>
      <c r="G19" s="54"/>
      <c r="H19" s="54"/>
      <c r="I19" s="54"/>
      <c r="J19" s="85"/>
      <c r="K19" s="69">
        <v>39</v>
      </c>
      <c r="L19" s="54">
        <v>64</v>
      </c>
      <c r="M19" s="54">
        <v>94</v>
      </c>
      <c r="N19" s="54">
        <v>0.82</v>
      </c>
      <c r="O19" s="54">
        <v>1750</v>
      </c>
      <c r="P19" s="70">
        <f t="shared" ref="P19:P30" si="5">O19*60</f>
        <v>105000</v>
      </c>
      <c r="AA19" s="25"/>
    </row>
    <row r="20" spans="1:28" x14ac:dyDescent="0.3">
      <c r="A20" s="48">
        <v>44515</v>
      </c>
      <c r="B20" s="19" t="s">
        <v>116</v>
      </c>
      <c r="C20" s="69"/>
      <c r="D20" s="54"/>
      <c r="E20" s="54"/>
      <c r="F20" s="54"/>
      <c r="G20" s="54"/>
      <c r="H20" s="54"/>
      <c r="I20" s="54"/>
      <c r="J20" s="85"/>
      <c r="K20" s="69">
        <v>39</v>
      </c>
      <c r="L20" s="54">
        <v>62</v>
      </c>
      <c r="M20" s="54">
        <v>92</v>
      </c>
      <c r="N20" s="54">
        <v>0.81</v>
      </c>
      <c r="O20" s="54">
        <v>1750</v>
      </c>
      <c r="P20" s="70">
        <f t="shared" si="5"/>
        <v>105000</v>
      </c>
      <c r="AB20" s="25"/>
    </row>
    <row r="21" spans="1:28" x14ac:dyDescent="0.3">
      <c r="A21" s="48">
        <v>44515</v>
      </c>
      <c r="B21" s="19" t="s">
        <v>116</v>
      </c>
      <c r="C21" s="73"/>
      <c r="D21" s="57"/>
      <c r="E21" s="57"/>
      <c r="F21" s="57"/>
      <c r="G21" s="57"/>
      <c r="H21" s="57"/>
      <c r="I21" s="57"/>
      <c r="J21" s="85"/>
      <c r="K21" s="73">
        <v>38</v>
      </c>
      <c r="L21" s="57">
        <v>61</v>
      </c>
      <c r="M21" s="57">
        <v>91</v>
      </c>
      <c r="N21" s="57">
        <v>0.8</v>
      </c>
      <c r="O21" s="57">
        <v>1750</v>
      </c>
      <c r="P21" s="70">
        <f t="shared" si="5"/>
        <v>105000</v>
      </c>
      <c r="AA21" s="25"/>
      <c r="AB21" s="25"/>
    </row>
    <row r="22" spans="1:28" ht="14.4" customHeight="1" x14ac:dyDescent="0.3">
      <c r="A22" s="48">
        <v>44516</v>
      </c>
      <c r="B22" s="19" t="s">
        <v>116</v>
      </c>
      <c r="C22" s="73">
        <v>60</v>
      </c>
      <c r="D22" s="57">
        <v>93</v>
      </c>
      <c r="E22" s="57">
        <v>94</v>
      </c>
      <c r="F22" s="57">
        <v>0.83</v>
      </c>
      <c r="G22" s="57">
        <v>60</v>
      </c>
      <c r="H22" s="57">
        <v>40</v>
      </c>
      <c r="I22" s="57">
        <v>1656</v>
      </c>
      <c r="J22" s="85">
        <f t="shared" si="4"/>
        <v>99360</v>
      </c>
      <c r="K22" s="73">
        <v>43</v>
      </c>
      <c r="L22" s="57">
        <v>68</v>
      </c>
      <c r="M22" s="57">
        <v>93</v>
      </c>
      <c r="N22" s="57">
        <v>0.82</v>
      </c>
      <c r="O22" s="57">
        <v>1748</v>
      </c>
      <c r="P22" s="70">
        <f t="shared" si="5"/>
        <v>104880</v>
      </c>
      <c r="Q22" s="156" t="s">
        <v>117</v>
      </c>
      <c r="R22">
        <f t="shared" si="1"/>
        <v>17</v>
      </c>
      <c r="S22">
        <f t="shared" si="2"/>
        <v>25</v>
      </c>
      <c r="AA22" s="25"/>
      <c r="AB22" s="25"/>
    </row>
    <row r="23" spans="1:28" x14ac:dyDescent="0.3">
      <c r="A23" s="48">
        <v>44516</v>
      </c>
      <c r="B23" s="19" t="s">
        <v>116</v>
      </c>
      <c r="C23" s="73">
        <v>60</v>
      </c>
      <c r="D23" s="57">
        <v>93</v>
      </c>
      <c r="E23" s="57">
        <v>94</v>
      </c>
      <c r="F23" s="57">
        <v>0.83</v>
      </c>
      <c r="G23" s="57">
        <v>60</v>
      </c>
      <c r="H23" s="57">
        <v>40</v>
      </c>
      <c r="I23" s="57">
        <v>1656</v>
      </c>
      <c r="J23" s="85">
        <f>I23*60</f>
        <v>99360</v>
      </c>
      <c r="K23" s="73">
        <v>43</v>
      </c>
      <c r="L23" s="57">
        <v>68</v>
      </c>
      <c r="M23" s="57">
        <v>93</v>
      </c>
      <c r="N23" s="57">
        <v>0.86</v>
      </c>
      <c r="O23" s="57">
        <v>1736</v>
      </c>
      <c r="P23" s="70">
        <f t="shared" si="5"/>
        <v>104160</v>
      </c>
      <c r="Q23" s="156"/>
      <c r="R23">
        <f t="shared" si="1"/>
        <v>17</v>
      </c>
      <c r="S23">
        <f t="shared" si="2"/>
        <v>25</v>
      </c>
      <c r="AA23" s="25"/>
      <c r="AB23" s="25"/>
    </row>
    <row r="24" spans="1:28" x14ac:dyDescent="0.3">
      <c r="A24" s="48">
        <v>44516</v>
      </c>
      <c r="B24" s="19" t="s">
        <v>116</v>
      </c>
      <c r="C24" s="73">
        <v>51</v>
      </c>
      <c r="D24" s="57">
        <v>88</v>
      </c>
      <c r="E24" s="57">
        <v>96</v>
      </c>
      <c r="F24" s="57">
        <v>0.85</v>
      </c>
      <c r="G24" s="57">
        <v>68</v>
      </c>
      <c r="H24" s="57">
        <v>38</v>
      </c>
      <c r="I24" s="57">
        <v>1724</v>
      </c>
      <c r="J24" s="85">
        <f>I24*60</f>
        <v>103440</v>
      </c>
      <c r="K24" s="73">
        <v>44</v>
      </c>
      <c r="L24" s="57">
        <v>73</v>
      </c>
      <c r="M24" s="57">
        <v>88</v>
      </c>
      <c r="N24" s="57">
        <v>0.82</v>
      </c>
      <c r="O24" s="57">
        <v>1750</v>
      </c>
      <c r="P24" s="74">
        <f t="shared" si="5"/>
        <v>105000</v>
      </c>
      <c r="Q24" s="156"/>
      <c r="R24">
        <f t="shared" si="1"/>
        <v>7</v>
      </c>
      <c r="S24">
        <f t="shared" si="2"/>
        <v>15</v>
      </c>
      <c r="AA24" s="25"/>
      <c r="AB24" s="25"/>
    </row>
    <row r="25" spans="1:28" x14ac:dyDescent="0.3">
      <c r="A25" s="48">
        <v>44516</v>
      </c>
      <c r="B25" s="19" t="s">
        <v>116</v>
      </c>
      <c r="C25" s="73">
        <v>55</v>
      </c>
      <c r="D25" s="57">
        <v>85</v>
      </c>
      <c r="E25" s="57">
        <v>95</v>
      </c>
      <c r="F25" s="57">
        <v>0.84</v>
      </c>
      <c r="G25" s="57">
        <v>69</v>
      </c>
      <c r="H25" s="57">
        <v>39</v>
      </c>
      <c r="I25" s="57">
        <v>1730</v>
      </c>
      <c r="J25" s="85">
        <f>I25*60</f>
        <v>103800</v>
      </c>
      <c r="K25" s="73">
        <v>42</v>
      </c>
      <c r="L25" s="57">
        <v>73</v>
      </c>
      <c r="M25" s="57">
        <v>88</v>
      </c>
      <c r="N25" s="57">
        <v>0.82</v>
      </c>
      <c r="O25" s="57">
        <v>1750</v>
      </c>
      <c r="P25" s="74">
        <f t="shared" si="5"/>
        <v>105000</v>
      </c>
      <c r="Q25" s="156"/>
      <c r="R25">
        <f t="shared" si="1"/>
        <v>13</v>
      </c>
      <c r="S25">
        <f t="shared" si="2"/>
        <v>12</v>
      </c>
      <c r="AA25" s="25"/>
      <c r="AB25" s="25"/>
    </row>
    <row r="26" spans="1:28" x14ac:dyDescent="0.3">
      <c r="A26" s="48">
        <v>44516</v>
      </c>
      <c r="B26" s="19" t="s">
        <v>116</v>
      </c>
      <c r="C26" s="73">
        <v>53</v>
      </c>
      <c r="D26" s="57">
        <v>88</v>
      </c>
      <c r="E26" s="57">
        <v>94</v>
      </c>
      <c r="F26" s="57">
        <v>0.86</v>
      </c>
      <c r="G26" s="57">
        <v>70</v>
      </c>
      <c r="H26" s="57">
        <v>38</v>
      </c>
      <c r="I26" s="57">
        <v>1767</v>
      </c>
      <c r="J26" s="87">
        <f>I26*60</f>
        <v>106020</v>
      </c>
      <c r="K26" s="73"/>
      <c r="L26" s="57"/>
      <c r="M26" s="57"/>
      <c r="N26" s="57"/>
      <c r="O26" s="57"/>
      <c r="P26" s="74"/>
      <c r="Q26" s="156"/>
      <c r="AA26" s="25"/>
      <c r="AB26" s="25"/>
    </row>
    <row r="27" spans="1:28" x14ac:dyDescent="0.3">
      <c r="A27" s="92">
        <v>44522</v>
      </c>
      <c r="B27" s="93" t="s">
        <v>79</v>
      </c>
      <c r="C27" s="94">
        <v>43</v>
      </c>
      <c r="D27" s="95">
        <v>55</v>
      </c>
      <c r="E27" s="95">
        <v>86</v>
      </c>
      <c r="F27" s="95">
        <v>0.76</v>
      </c>
      <c r="G27" s="95">
        <v>68</v>
      </c>
      <c r="H27" s="95">
        <v>40</v>
      </c>
      <c r="I27" s="95">
        <v>1736</v>
      </c>
      <c r="J27" s="96">
        <f>I27*60</f>
        <v>104160</v>
      </c>
      <c r="K27" s="94"/>
      <c r="L27" s="95"/>
      <c r="M27" s="95"/>
      <c r="N27" s="95"/>
      <c r="O27" s="95"/>
      <c r="P27" s="97"/>
      <c r="Q27" s="156"/>
      <c r="R27" s="157" t="s">
        <v>119</v>
      </c>
      <c r="AA27" s="25"/>
      <c r="AB27" s="25"/>
    </row>
    <row r="28" spans="1:28" x14ac:dyDescent="0.3">
      <c r="A28" s="48">
        <v>44522</v>
      </c>
      <c r="B28" s="19" t="s">
        <v>79</v>
      </c>
      <c r="C28" s="73">
        <v>47</v>
      </c>
      <c r="D28" s="57">
        <v>63</v>
      </c>
      <c r="E28" s="57">
        <v>84</v>
      </c>
      <c r="F28" s="57">
        <v>0.75</v>
      </c>
      <c r="G28" s="57">
        <v>68</v>
      </c>
      <c r="H28" s="57">
        <v>40</v>
      </c>
      <c r="I28" s="57">
        <v>1736</v>
      </c>
      <c r="J28" s="85">
        <f t="shared" ref="J28:J31" si="6">I28*60</f>
        <v>104160</v>
      </c>
      <c r="K28" s="73">
        <v>41</v>
      </c>
      <c r="L28" s="57">
        <v>53</v>
      </c>
      <c r="M28" s="57">
        <v>81</v>
      </c>
      <c r="N28" s="57">
        <v>0.74</v>
      </c>
      <c r="O28" s="57">
        <v>1750</v>
      </c>
      <c r="P28" s="74">
        <f t="shared" si="5"/>
        <v>105000</v>
      </c>
      <c r="Q28" s="156"/>
      <c r="R28" s="157"/>
      <c r="AA28" s="25"/>
      <c r="AB28" s="25"/>
    </row>
    <row r="29" spans="1:28" x14ac:dyDescent="0.3">
      <c r="A29" s="48">
        <v>44522</v>
      </c>
      <c r="B29" s="19" t="s">
        <v>77</v>
      </c>
      <c r="C29" s="73">
        <v>44</v>
      </c>
      <c r="D29" s="57">
        <v>51</v>
      </c>
      <c r="E29" s="57">
        <v>81</v>
      </c>
      <c r="F29" s="57">
        <v>0.72</v>
      </c>
      <c r="G29" s="57">
        <v>68</v>
      </c>
      <c r="H29" s="57">
        <v>40</v>
      </c>
      <c r="I29" s="57">
        <v>1736</v>
      </c>
      <c r="J29" s="85">
        <f t="shared" si="6"/>
        <v>104160</v>
      </c>
      <c r="K29" s="73">
        <v>41</v>
      </c>
      <c r="L29" s="57">
        <v>43</v>
      </c>
      <c r="M29" s="57">
        <v>77</v>
      </c>
      <c r="N29" s="57">
        <v>0.7</v>
      </c>
      <c r="O29" s="57">
        <v>1750</v>
      </c>
      <c r="P29" s="74">
        <f t="shared" si="5"/>
        <v>105000</v>
      </c>
      <c r="Q29" s="156"/>
      <c r="R29" s="157"/>
      <c r="AA29" s="25"/>
      <c r="AB29" s="25"/>
    </row>
    <row r="30" spans="1:28" x14ac:dyDescent="0.3">
      <c r="A30" s="48">
        <v>44522</v>
      </c>
      <c r="B30" s="19" t="s">
        <v>78</v>
      </c>
      <c r="C30" s="73">
        <v>49</v>
      </c>
      <c r="D30" s="57">
        <v>64</v>
      </c>
      <c r="E30" s="57">
        <v>93</v>
      </c>
      <c r="F30" s="57">
        <v>0.82</v>
      </c>
      <c r="G30" s="57">
        <v>68</v>
      </c>
      <c r="H30" s="57">
        <v>40</v>
      </c>
      <c r="I30" s="57">
        <v>1792</v>
      </c>
      <c r="J30" s="85">
        <f t="shared" si="6"/>
        <v>107520</v>
      </c>
      <c r="K30" s="73">
        <v>41</v>
      </c>
      <c r="L30" s="57">
        <v>50</v>
      </c>
      <c r="M30" s="57">
        <v>79</v>
      </c>
      <c r="N30" s="57">
        <v>0.71</v>
      </c>
      <c r="O30" s="57">
        <v>1750</v>
      </c>
      <c r="P30" s="74">
        <f t="shared" si="5"/>
        <v>105000</v>
      </c>
      <c r="Q30" s="156"/>
      <c r="R30" s="157"/>
      <c r="AA30" s="25"/>
      <c r="AB30" s="25"/>
    </row>
    <row r="31" spans="1:28" x14ac:dyDescent="0.3">
      <c r="A31" s="48">
        <v>44537</v>
      </c>
      <c r="B31" s="19" t="s">
        <v>77</v>
      </c>
      <c r="C31" s="73">
        <v>33</v>
      </c>
      <c r="D31" s="57">
        <v>42</v>
      </c>
      <c r="E31" s="57">
        <v>84</v>
      </c>
      <c r="F31" s="57">
        <v>0.65</v>
      </c>
      <c r="G31" s="57">
        <v>68</v>
      </c>
      <c r="H31" s="57">
        <v>40</v>
      </c>
      <c r="I31" s="57">
        <v>1718</v>
      </c>
      <c r="J31" s="85">
        <f t="shared" si="6"/>
        <v>103080</v>
      </c>
      <c r="K31" s="73"/>
      <c r="L31" s="57"/>
      <c r="M31" s="57"/>
      <c r="N31" s="57"/>
      <c r="O31" s="57"/>
      <c r="P31" s="74"/>
      <c r="Q31" s="156"/>
      <c r="R31" s="157"/>
      <c r="AA31" s="25"/>
      <c r="AB31" s="25"/>
    </row>
    <row r="32" spans="1:28" x14ac:dyDescent="0.3">
      <c r="A32" s="48">
        <v>44537</v>
      </c>
      <c r="B32" s="19" t="s">
        <v>77</v>
      </c>
      <c r="C32" s="73">
        <v>33</v>
      </c>
      <c r="D32" s="57">
        <v>42</v>
      </c>
      <c r="E32" s="57">
        <v>83</v>
      </c>
      <c r="F32" s="57">
        <v>0.65</v>
      </c>
      <c r="G32" s="57">
        <v>68</v>
      </c>
      <c r="H32" s="57">
        <v>40</v>
      </c>
      <c r="I32" s="57">
        <v>1700</v>
      </c>
      <c r="J32" s="87">
        <v>103080</v>
      </c>
      <c r="K32" s="73"/>
      <c r="L32" s="57"/>
      <c r="M32" s="57"/>
      <c r="N32" s="57"/>
      <c r="O32" s="57"/>
      <c r="P32" s="74"/>
      <c r="Q32" s="156"/>
      <c r="R32" s="157"/>
      <c r="AA32" s="25"/>
      <c r="AB32" s="25"/>
    </row>
    <row r="33" spans="1:28" x14ac:dyDescent="0.3">
      <c r="A33" s="48"/>
      <c r="B33" s="19"/>
      <c r="C33" s="73"/>
      <c r="D33" s="57"/>
      <c r="E33" s="57"/>
      <c r="F33" s="57"/>
      <c r="G33" s="57"/>
      <c r="H33" s="57"/>
      <c r="I33" s="57"/>
      <c r="J33" s="87"/>
      <c r="K33" s="73"/>
      <c r="L33" s="57"/>
      <c r="M33" s="57"/>
      <c r="N33" s="57"/>
      <c r="O33" s="57"/>
      <c r="P33" s="74"/>
      <c r="Q33" s="156"/>
      <c r="R33" s="157"/>
      <c r="AA33" s="25"/>
      <c r="AB33" s="25"/>
    </row>
    <row r="34" spans="1:28" x14ac:dyDescent="0.3">
      <c r="A34" s="48"/>
      <c r="B34" s="19"/>
      <c r="C34" s="73"/>
      <c r="D34" s="57"/>
      <c r="E34" s="57"/>
      <c r="F34" s="57"/>
      <c r="G34" s="57"/>
      <c r="H34" s="57"/>
      <c r="I34" s="57" t="s">
        <v>120</v>
      </c>
      <c r="J34" s="87"/>
      <c r="K34" s="73"/>
      <c r="L34" s="57"/>
      <c r="M34" s="57"/>
      <c r="N34" s="57"/>
      <c r="O34" s="57"/>
      <c r="P34" s="74"/>
      <c r="Q34" s="156"/>
      <c r="AA34" s="25"/>
      <c r="AB34" s="25"/>
    </row>
    <row r="35" spans="1:28" x14ac:dyDescent="0.3">
      <c r="A35" s="48"/>
      <c r="B35" s="19"/>
      <c r="C35" s="73"/>
      <c r="D35" s="57"/>
      <c r="E35" s="57"/>
      <c r="F35" s="57"/>
      <c r="G35" s="57"/>
      <c r="H35" s="57"/>
      <c r="I35" s="57"/>
      <c r="J35" s="87"/>
      <c r="K35" s="73"/>
      <c r="L35" s="57"/>
      <c r="M35" s="57"/>
      <c r="N35" s="57"/>
      <c r="O35" s="57"/>
      <c r="P35" s="74"/>
      <c r="Q35" s="156"/>
      <c r="AA35" s="25"/>
      <c r="AB35" s="25"/>
    </row>
    <row r="36" spans="1:28" x14ac:dyDescent="0.3">
      <c r="A36" s="48">
        <v>44517</v>
      </c>
      <c r="B36" s="19" t="s">
        <v>115</v>
      </c>
      <c r="C36" s="73">
        <v>38</v>
      </c>
      <c r="D36" s="57">
        <v>58</v>
      </c>
      <c r="E36" s="57">
        <v>94</v>
      </c>
      <c r="F36" s="57">
        <v>0.79</v>
      </c>
      <c r="G36" s="57">
        <v>69</v>
      </c>
      <c r="H36" s="57">
        <v>39</v>
      </c>
      <c r="I36" s="57">
        <v>1760</v>
      </c>
      <c r="J36" s="85">
        <f>I36*60</f>
        <v>105600</v>
      </c>
      <c r="K36" s="73">
        <v>33</v>
      </c>
      <c r="L36" s="57">
        <v>46</v>
      </c>
      <c r="M36" s="57">
        <v>82</v>
      </c>
      <c r="N36" s="57">
        <v>0.74</v>
      </c>
      <c r="O36" s="57">
        <v>1750</v>
      </c>
      <c r="P36" s="74">
        <f t="shared" ref="P36:P37" si="7">O36*60</f>
        <v>105000</v>
      </c>
      <c r="Q36" s="156"/>
      <c r="R36">
        <f t="shared" si="1"/>
        <v>5</v>
      </c>
      <c r="S36">
        <f t="shared" si="2"/>
        <v>12</v>
      </c>
      <c r="AA36" s="25"/>
      <c r="AB36" s="25"/>
    </row>
    <row r="37" spans="1:28" x14ac:dyDescent="0.3">
      <c r="A37" s="48">
        <v>44517</v>
      </c>
      <c r="B37" s="19" t="s">
        <v>115</v>
      </c>
      <c r="C37" s="73">
        <v>39</v>
      </c>
      <c r="D37" s="57">
        <v>59</v>
      </c>
      <c r="E37" s="57">
        <v>94</v>
      </c>
      <c r="F37" s="57">
        <v>0.82</v>
      </c>
      <c r="G37" s="57">
        <v>69</v>
      </c>
      <c r="H37" s="57">
        <v>39</v>
      </c>
      <c r="I37" s="57">
        <v>1760</v>
      </c>
      <c r="J37" s="85">
        <f>I37*60</f>
        <v>105600</v>
      </c>
      <c r="K37" s="73">
        <v>34</v>
      </c>
      <c r="L37" s="57">
        <v>47</v>
      </c>
      <c r="M37" s="57">
        <v>81</v>
      </c>
      <c r="N37" s="57">
        <v>0.74</v>
      </c>
      <c r="O37" s="57">
        <v>1750</v>
      </c>
      <c r="P37" s="74">
        <f t="shared" si="7"/>
        <v>105000</v>
      </c>
      <c r="Q37" s="156"/>
      <c r="R37">
        <f t="shared" si="1"/>
        <v>5</v>
      </c>
      <c r="S37">
        <f t="shared" si="2"/>
        <v>12</v>
      </c>
      <c r="AA37" s="25"/>
      <c r="AB37" s="25"/>
    </row>
    <row r="38" spans="1:28" ht="14.4" customHeight="1" x14ac:dyDescent="0.3">
      <c r="B38" s="19"/>
      <c r="C38" s="73"/>
      <c r="D38" s="57"/>
      <c r="E38" s="57"/>
      <c r="F38" s="57"/>
      <c r="G38" s="57"/>
      <c r="H38" s="57"/>
      <c r="I38" s="57"/>
      <c r="J38" s="88"/>
      <c r="K38" s="73"/>
      <c r="L38" s="57"/>
      <c r="M38" s="57"/>
      <c r="N38" s="57"/>
      <c r="O38" s="57"/>
      <c r="P38" s="74"/>
      <c r="AA38" s="25"/>
    </row>
    <row r="39" spans="1:28" ht="15" thickBot="1" x14ac:dyDescent="0.35">
      <c r="B39" s="19"/>
      <c r="C39" s="75"/>
      <c r="D39" s="76"/>
      <c r="E39" s="76"/>
      <c r="F39" s="76"/>
      <c r="G39" s="76"/>
      <c r="H39" s="76"/>
      <c r="I39" s="76"/>
      <c r="J39" s="89"/>
      <c r="K39" s="91"/>
      <c r="L39" s="77"/>
      <c r="M39" s="77"/>
      <c r="N39" s="77"/>
      <c r="O39" s="77"/>
      <c r="P39" s="78"/>
    </row>
    <row r="41" spans="1:28" ht="15" thickBot="1" x14ac:dyDescent="0.35"/>
    <row r="42" spans="1:28" ht="15" thickBot="1" x14ac:dyDescent="0.35">
      <c r="C42" s="147" t="s">
        <v>64</v>
      </c>
      <c r="D42" s="148"/>
      <c r="E42" s="148"/>
      <c r="F42" s="148"/>
      <c r="G42" s="148"/>
      <c r="H42" s="148"/>
      <c r="I42" s="148"/>
      <c r="J42" s="148"/>
      <c r="K42" s="149"/>
      <c r="M42" s="144" t="s">
        <v>82</v>
      </c>
      <c r="N42" s="144"/>
      <c r="O42" s="144"/>
    </row>
    <row r="43" spans="1:28" x14ac:dyDescent="0.3">
      <c r="C43" s="34" t="s">
        <v>1</v>
      </c>
      <c r="D43" s="35" t="s">
        <v>69</v>
      </c>
      <c r="E43" s="35" t="s">
        <v>68</v>
      </c>
      <c r="F43" s="5" t="s">
        <v>28</v>
      </c>
      <c r="G43" s="6" t="s">
        <v>24</v>
      </c>
      <c r="H43" s="35" t="s">
        <v>71</v>
      </c>
      <c r="I43" s="35" t="s">
        <v>65</v>
      </c>
      <c r="J43" s="35" t="s">
        <v>66</v>
      </c>
      <c r="K43" s="36" t="s">
        <v>67</v>
      </c>
      <c r="M43" s="27"/>
      <c r="N43" s="28" t="s">
        <v>62</v>
      </c>
      <c r="O43" s="29" t="s">
        <v>63</v>
      </c>
    </row>
    <row r="44" spans="1:28" ht="14.4" customHeight="1" x14ac:dyDescent="0.3">
      <c r="C44" s="139" t="s">
        <v>73</v>
      </c>
      <c r="D44" s="136">
        <v>62</v>
      </c>
      <c r="E44" s="136">
        <v>4.4000000000000004</v>
      </c>
      <c r="F44" s="133"/>
      <c r="G44" s="133"/>
      <c r="H44" s="37">
        <v>1</v>
      </c>
      <c r="I44" s="37">
        <v>87</v>
      </c>
      <c r="J44" s="37">
        <v>37</v>
      </c>
      <c r="K44" s="38">
        <v>0.64</v>
      </c>
      <c r="M44" s="145" t="s">
        <v>72</v>
      </c>
      <c r="N44" s="30" t="s">
        <v>57</v>
      </c>
      <c r="O44" s="31" t="s">
        <v>58</v>
      </c>
    </row>
    <row r="45" spans="1:28" x14ac:dyDescent="0.3">
      <c r="C45" s="140"/>
      <c r="D45" s="137"/>
      <c r="E45" s="137"/>
      <c r="F45" s="134"/>
      <c r="G45" s="134"/>
      <c r="H45" s="39">
        <v>2</v>
      </c>
      <c r="I45" s="39">
        <v>88</v>
      </c>
      <c r="J45" s="39">
        <v>38</v>
      </c>
      <c r="K45" s="40">
        <v>0.65</v>
      </c>
      <c r="M45" s="145"/>
      <c r="N45" s="30" t="s">
        <v>59</v>
      </c>
      <c r="O45" s="31" t="s">
        <v>60</v>
      </c>
    </row>
    <row r="46" spans="1:28" ht="15" thickBot="1" x14ac:dyDescent="0.35">
      <c r="C46" s="140"/>
      <c r="D46" s="137"/>
      <c r="E46" s="137"/>
      <c r="F46" s="134"/>
      <c r="G46" s="134"/>
      <c r="H46" s="39">
        <v>3</v>
      </c>
      <c r="I46" s="39">
        <v>88</v>
      </c>
      <c r="J46" s="39">
        <v>39</v>
      </c>
      <c r="K46" s="40">
        <v>0.65</v>
      </c>
      <c r="M46" s="146"/>
      <c r="N46" s="32" t="s">
        <v>61</v>
      </c>
      <c r="O46" s="33" t="s">
        <v>59</v>
      </c>
    </row>
    <row r="47" spans="1:28" x14ac:dyDescent="0.3">
      <c r="C47" s="140"/>
      <c r="D47" s="137"/>
      <c r="E47" s="137"/>
      <c r="F47" s="134"/>
      <c r="G47" s="134"/>
      <c r="H47" s="39">
        <v>5</v>
      </c>
      <c r="I47" s="39">
        <v>89</v>
      </c>
      <c r="J47" s="39">
        <v>39</v>
      </c>
      <c r="K47" s="40">
        <v>0.65</v>
      </c>
    </row>
    <row r="48" spans="1:28" x14ac:dyDescent="0.3">
      <c r="C48" s="140"/>
      <c r="D48" s="137"/>
      <c r="E48" s="137"/>
      <c r="F48" s="134"/>
      <c r="G48" s="134"/>
      <c r="H48" s="39">
        <v>10</v>
      </c>
      <c r="I48" s="39">
        <v>89</v>
      </c>
      <c r="J48" s="39">
        <v>39</v>
      </c>
      <c r="K48" s="40">
        <v>0.65</v>
      </c>
    </row>
    <row r="49" spans="3:11" x14ac:dyDescent="0.3">
      <c r="C49" s="141"/>
      <c r="D49" s="142"/>
      <c r="E49" s="142"/>
      <c r="F49" s="135"/>
      <c r="G49" s="135"/>
      <c r="H49" s="41" t="s">
        <v>70</v>
      </c>
      <c r="I49" s="42"/>
      <c r="J49" s="42">
        <v>56</v>
      </c>
      <c r="K49" s="43"/>
    </row>
    <row r="50" spans="3:11" x14ac:dyDescent="0.3">
      <c r="C50" s="139" t="s">
        <v>74</v>
      </c>
      <c r="D50" s="136">
        <v>66.099999999999994</v>
      </c>
      <c r="E50" s="136">
        <v>15.2</v>
      </c>
      <c r="F50" s="133"/>
      <c r="G50" s="133"/>
      <c r="H50" s="37">
        <v>1</v>
      </c>
      <c r="I50" s="37"/>
      <c r="J50" s="37"/>
      <c r="K50" s="38"/>
    </row>
    <row r="51" spans="3:11" x14ac:dyDescent="0.3">
      <c r="C51" s="140"/>
      <c r="D51" s="137"/>
      <c r="E51" s="137"/>
      <c r="F51" s="134"/>
      <c r="G51" s="134"/>
      <c r="H51" s="39">
        <v>2</v>
      </c>
      <c r="I51" s="39"/>
      <c r="J51" s="39"/>
      <c r="K51" s="40"/>
    </row>
    <row r="52" spans="3:11" x14ac:dyDescent="0.3">
      <c r="C52" s="140"/>
      <c r="D52" s="137"/>
      <c r="E52" s="137"/>
      <c r="F52" s="134"/>
      <c r="G52" s="134"/>
      <c r="H52" s="39">
        <v>3</v>
      </c>
      <c r="I52" s="39"/>
      <c r="J52" s="39"/>
      <c r="K52" s="40"/>
    </row>
    <row r="53" spans="3:11" x14ac:dyDescent="0.3">
      <c r="C53" s="140"/>
      <c r="D53" s="137"/>
      <c r="E53" s="137"/>
      <c r="F53" s="134"/>
      <c r="G53" s="134"/>
      <c r="H53" s="39">
        <v>5</v>
      </c>
      <c r="I53" s="39"/>
      <c r="J53" s="39"/>
      <c r="K53" s="40"/>
    </row>
    <row r="54" spans="3:11" x14ac:dyDescent="0.3">
      <c r="C54" s="140"/>
      <c r="D54" s="137"/>
      <c r="E54" s="137"/>
      <c r="F54" s="134"/>
      <c r="G54" s="134"/>
      <c r="H54" s="39">
        <v>10</v>
      </c>
      <c r="I54" s="39"/>
      <c r="J54" s="39"/>
      <c r="K54" s="40"/>
    </row>
    <row r="55" spans="3:11" x14ac:dyDescent="0.3">
      <c r="C55" s="141"/>
      <c r="D55" s="142"/>
      <c r="E55" s="142"/>
      <c r="F55" s="135"/>
      <c r="G55" s="135"/>
      <c r="H55" s="41" t="s">
        <v>70</v>
      </c>
      <c r="I55" s="42"/>
      <c r="J55" s="42"/>
      <c r="K55" s="43"/>
    </row>
    <row r="56" spans="3:11" x14ac:dyDescent="0.3">
      <c r="C56" s="139"/>
      <c r="D56" s="136"/>
      <c r="E56" s="136"/>
      <c r="F56" s="133"/>
      <c r="G56" s="133"/>
      <c r="H56" s="37">
        <v>1</v>
      </c>
      <c r="I56" s="37"/>
      <c r="J56" s="37"/>
      <c r="K56" s="38"/>
    </row>
    <row r="57" spans="3:11" x14ac:dyDescent="0.3">
      <c r="C57" s="140"/>
      <c r="D57" s="137"/>
      <c r="E57" s="137"/>
      <c r="F57" s="134"/>
      <c r="G57" s="134"/>
      <c r="H57" s="39">
        <v>2</v>
      </c>
      <c r="I57" s="39"/>
      <c r="J57" s="39"/>
      <c r="K57" s="40"/>
    </row>
    <row r="58" spans="3:11" x14ac:dyDescent="0.3">
      <c r="C58" s="140"/>
      <c r="D58" s="137"/>
      <c r="E58" s="137"/>
      <c r="F58" s="134"/>
      <c r="G58" s="134"/>
      <c r="H58" s="39">
        <v>3</v>
      </c>
      <c r="I58" s="39"/>
      <c r="J58" s="39"/>
      <c r="K58" s="40"/>
    </row>
    <row r="59" spans="3:11" x14ac:dyDescent="0.3">
      <c r="C59" s="140"/>
      <c r="D59" s="137"/>
      <c r="E59" s="137"/>
      <c r="F59" s="134"/>
      <c r="G59" s="134"/>
      <c r="H59" s="39">
        <v>5</v>
      </c>
      <c r="I59" s="39"/>
      <c r="J59" s="39"/>
      <c r="K59" s="40"/>
    </row>
    <row r="60" spans="3:11" x14ac:dyDescent="0.3">
      <c r="C60" s="140"/>
      <c r="D60" s="137"/>
      <c r="E60" s="137"/>
      <c r="F60" s="134"/>
      <c r="G60" s="134"/>
      <c r="H60" s="39">
        <v>10</v>
      </c>
      <c r="I60" s="39"/>
      <c r="J60" s="39"/>
      <c r="K60" s="40"/>
    </row>
    <row r="61" spans="3:11" x14ac:dyDescent="0.3">
      <c r="C61" s="141"/>
      <c r="D61" s="142"/>
      <c r="E61" s="142"/>
      <c r="F61" s="135"/>
      <c r="G61" s="135"/>
      <c r="H61" s="41" t="s">
        <v>70</v>
      </c>
      <c r="I61" s="42"/>
      <c r="J61" s="42"/>
      <c r="K61" s="43"/>
    </row>
    <row r="62" spans="3:11" x14ac:dyDescent="0.3">
      <c r="C62" s="139"/>
      <c r="D62" s="136"/>
      <c r="E62" s="136"/>
      <c r="F62" s="136"/>
      <c r="G62" s="136"/>
      <c r="H62" s="37">
        <v>1</v>
      </c>
      <c r="I62" s="37"/>
      <c r="J62" s="37"/>
      <c r="K62" s="38"/>
    </row>
    <row r="63" spans="3:11" x14ac:dyDescent="0.3">
      <c r="C63" s="140"/>
      <c r="D63" s="137"/>
      <c r="E63" s="137"/>
      <c r="F63" s="137"/>
      <c r="G63" s="137"/>
      <c r="H63" s="39">
        <v>2</v>
      </c>
      <c r="I63" s="39"/>
      <c r="J63" s="39"/>
      <c r="K63" s="40"/>
    </row>
    <row r="64" spans="3:11" x14ac:dyDescent="0.3">
      <c r="C64" s="140"/>
      <c r="D64" s="137"/>
      <c r="E64" s="137"/>
      <c r="F64" s="137"/>
      <c r="G64" s="137"/>
      <c r="H64" s="39">
        <v>3</v>
      </c>
      <c r="I64" s="39"/>
      <c r="J64" s="39"/>
      <c r="K64" s="40"/>
    </row>
    <row r="65" spans="1:11" x14ac:dyDescent="0.3">
      <c r="C65" s="140"/>
      <c r="D65" s="137"/>
      <c r="E65" s="137"/>
      <c r="F65" s="137"/>
      <c r="G65" s="137"/>
      <c r="H65" s="39">
        <v>5</v>
      </c>
      <c r="I65" s="39"/>
      <c r="J65" s="39"/>
      <c r="K65" s="40"/>
    </row>
    <row r="66" spans="1:11" x14ac:dyDescent="0.3">
      <c r="C66" s="140"/>
      <c r="D66" s="137"/>
      <c r="E66" s="137"/>
      <c r="F66" s="137"/>
      <c r="G66" s="137"/>
      <c r="H66" s="39">
        <v>10</v>
      </c>
      <c r="I66" s="39"/>
      <c r="J66" s="39"/>
      <c r="K66" s="40"/>
    </row>
    <row r="67" spans="1:11" ht="15" thickBot="1" x14ac:dyDescent="0.35">
      <c r="C67" s="143"/>
      <c r="D67" s="138"/>
      <c r="E67" s="138"/>
      <c r="F67" s="138"/>
      <c r="G67" s="138"/>
      <c r="H67" s="44" t="s">
        <v>70</v>
      </c>
      <c r="I67" s="45"/>
      <c r="J67" s="45"/>
      <c r="K67" s="46"/>
    </row>
    <row r="74" spans="1:11" x14ac:dyDescent="0.3">
      <c r="A74" s="48">
        <v>44516</v>
      </c>
      <c r="B74" s="19" t="s">
        <v>116</v>
      </c>
      <c r="C74" s="73">
        <v>51</v>
      </c>
      <c r="D74" s="57">
        <v>88</v>
      </c>
      <c r="E74" s="57">
        <v>96</v>
      </c>
      <c r="F74" s="57">
        <v>0.85</v>
      </c>
      <c r="G74" s="57">
        <v>68</v>
      </c>
      <c r="H74" s="57">
        <v>38</v>
      </c>
      <c r="I74" s="57">
        <v>1724</v>
      </c>
      <c r="J74" s="55">
        <f t="shared" ref="J74:J90" si="8">I74*60</f>
        <v>103440</v>
      </c>
    </row>
    <row r="75" spans="1:11" x14ac:dyDescent="0.3">
      <c r="A75" s="48">
        <v>44516</v>
      </c>
      <c r="B75" s="19" t="s">
        <v>116</v>
      </c>
      <c r="C75" s="73">
        <v>52</v>
      </c>
      <c r="D75" s="57"/>
      <c r="E75" s="57">
        <v>98</v>
      </c>
      <c r="F75" s="57">
        <v>0.86</v>
      </c>
      <c r="G75" s="57">
        <v>68</v>
      </c>
      <c r="H75" s="57">
        <v>36</v>
      </c>
      <c r="I75" s="57">
        <v>1742</v>
      </c>
      <c r="J75" s="55">
        <f t="shared" si="8"/>
        <v>104520</v>
      </c>
    </row>
    <row r="76" spans="1:11" x14ac:dyDescent="0.3">
      <c r="A76" s="48">
        <v>44516</v>
      </c>
      <c r="B76" s="19" t="s">
        <v>116</v>
      </c>
      <c r="C76" s="73">
        <v>53</v>
      </c>
      <c r="D76" s="57"/>
      <c r="E76" s="57">
        <v>103</v>
      </c>
      <c r="F76" s="57">
        <v>0.9</v>
      </c>
      <c r="G76" s="57">
        <v>68</v>
      </c>
      <c r="H76" s="57">
        <v>34</v>
      </c>
      <c r="I76" s="57">
        <v>1742</v>
      </c>
      <c r="J76" s="55">
        <f t="shared" si="8"/>
        <v>104520</v>
      </c>
    </row>
    <row r="77" spans="1:11" x14ac:dyDescent="0.3">
      <c r="A77" s="48">
        <v>44516</v>
      </c>
      <c r="B77" s="19" t="s">
        <v>116</v>
      </c>
      <c r="C77" s="73">
        <v>53</v>
      </c>
      <c r="D77" s="57"/>
      <c r="E77" s="57">
        <v>105</v>
      </c>
      <c r="F77" s="57">
        <v>0.92</v>
      </c>
      <c r="G77" s="57">
        <v>68</v>
      </c>
      <c r="H77" s="57">
        <v>32</v>
      </c>
      <c r="I77" s="57">
        <v>1742</v>
      </c>
      <c r="J77" s="55">
        <f t="shared" si="8"/>
        <v>104520</v>
      </c>
    </row>
    <row r="78" spans="1:11" x14ac:dyDescent="0.3">
      <c r="A78" s="48">
        <v>44516</v>
      </c>
      <c r="B78" s="19" t="s">
        <v>116</v>
      </c>
      <c r="C78" s="73">
        <v>60</v>
      </c>
      <c r="D78" s="57">
        <v>93</v>
      </c>
      <c r="E78" s="57">
        <v>94</v>
      </c>
      <c r="F78" s="57">
        <v>0.83</v>
      </c>
      <c r="G78" s="57">
        <v>60</v>
      </c>
      <c r="H78" s="57">
        <v>40</v>
      </c>
      <c r="I78" s="57">
        <v>1656</v>
      </c>
      <c r="J78" s="55">
        <f t="shared" si="8"/>
        <v>99360</v>
      </c>
    </row>
    <row r="79" spans="1:11" x14ac:dyDescent="0.3">
      <c r="A79" s="48">
        <v>44516</v>
      </c>
      <c r="B79" s="19" t="s">
        <v>116</v>
      </c>
      <c r="C79" s="73">
        <v>58</v>
      </c>
      <c r="D79" s="57"/>
      <c r="E79" s="57">
        <v>100</v>
      </c>
      <c r="F79" s="57">
        <v>0.92</v>
      </c>
      <c r="G79" s="57">
        <v>70</v>
      </c>
      <c r="H79" s="57">
        <v>40</v>
      </c>
      <c r="I79" s="57">
        <v>1767</v>
      </c>
      <c r="J79" s="55">
        <f t="shared" si="8"/>
        <v>106020</v>
      </c>
    </row>
    <row r="80" spans="1:11" x14ac:dyDescent="0.3">
      <c r="A80" s="48">
        <v>44516</v>
      </c>
      <c r="B80" s="19" t="s">
        <v>116</v>
      </c>
      <c r="C80" s="73">
        <v>53</v>
      </c>
      <c r="D80" s="57">
        <v>88</v>
      </c>
      <c r="E80" s="57">
        <v>94</v>
      </c>
      <c r="F80" s="57">
        <v>0.86</v>
      </c>
      <c r="G80" s="57">
        <v>70</v>
      </c>
      <c r="H80" s="57">
        <v>38</v>
      </c>
      <c r="I80" s="57">
        <v>1767</v>
      </c>
      <c r="J80" s="55">
        <f t="shared" si="8"/>
        <v>106020</v>
      </c>
    </row>
    <row r="81" spans="1:10" x14ac:dyDescent="0.3">
      <c r="A81" s="48">
        <v>44516</v>
      </c>
      <c r="B81" s="19" t="s">
        <v>116</v>
      </c>
      <c r="C81" s="73">
        <v>54</v>
      </c>
      <c r="D81" s="57"/>
      <c r="E81" s="57">
        <v>95</v>
      </c>
      <c r="F81" s="57">
        <v>0.88</v>
      </c>
      <c r="G81" s="57">
        <v>70</v>
      </c>
      <c r="H81" s="57">
        <v>36</v>
      </c>
      <c r="I81" s="57">
        <v>1767</v>
      </c>
      <c r="J81" s="55">
        <f t="shared" si="8"/>
        <v>106020</v>
      </c>
    </row>
    <row r="82" spans="1:10" x14ac:dyDescent="0.3">
      <c r="A82" s="48">
        <v>44516</v>
      </c>
      <c r="B82" s="19" t="s">
        <v>116</v>
      </c>
      <c r="C82" s="73">
        <v>55</v>
      </c>
      <c r="D82" s="57">
        <v>92</v>
      </c>
      <c r="E82" s="57">
        <v>96</v>
      </c>
      <c r="F82" s="57">
        <v>0.89</v>
      </c>
      <c r="G82" s="57">
        <v>70</v>
      </c>
      <c r="H82" s="57">
        <v>34</v>
      </c>
      <c r="I82" s="57">
        <v>1767</v>
      </c>
      <c r="J82" s="55">
        <f t="shared" si="8"/>
        <v>106020</v>
      </c>
    </row>
    <row r="83" spans="1:10" x14ac:dyDescent="0.3">
      <c r="A83" s="48">
        <v>44516</v>
      </c>
      <c r="B83" s="19" t="s">
        <v>116</v>
      </c>
      <c r="C83" s="73">
        <v>54</v>
      </c>
      <c r="D83" s="57">
        <v>92</v>
      </c>
      <c r="E83" s="57">
        <v>96</v>
      </c>
      <c r="F83" s="57">
        <v>0.83</v>
      </c>
      <c r="G83" s="57">
        <v>74</v>
      </c>
      <c r="H83" s="57">
        <v>40</v>
      </c>
      <c r="I83" s="57">
        <v>1736</v>
      </c>
      <c r="J83" s="55">
        <f t="shared" si="8"/>
        <v>104160</v>
      </c>
    </row>
    <row r="84" spans="1:10" x14ac:dyDescent="0.3">
      <c r="A84" s="48">
        <v>44516</v>
      </c>
      <c r="B84" s="19" t="s">
        <v>116</v>
      </c>
      <c r="C84" s="73">
        <v>53</v>
      </c>
      <c r="D84" s="57"/>
      <c r="E84" s="57">
        <v>97</v>
      </c>
      <c r="F84" s="57">
        <v>0.85</v>
      </c>
      <c r="G84" s="57">
        <v>74</v>
      </c>
      <c r="H84" s="57">
        <v>36</v>
      </c>
      <c r="I84" s="57">
        <v>1767</v>
      </c>
      <c r="J84" s="55">
        <f t="shared" si="8"/>
        <v>106020</v>
      </c>
    </row>
    <row r="85" spans="1:10" x14ac:dyDescent="0.3">
      <c r="A85" s="48">
        <v>44516</v>
      </c>
      <c r="B85" s="19" t="s">
        <v>116</v>
      </c>
      <c r="C85" s="73">
        <v>56</v>
      </c>
      <c r="D85" s="57"/>
      <c r="E85" s="57">
        <v>107</v>
      </c>
      <c r="F85" s="57">
        <v>0.94</v>
      </c>
      <c r="G85" s="57">
        <v>74</v>
      </c>
      <c r="H85" s="57">
        <v>32</v>
      </c>
      <c r="I85" s="57">
        <v>1767</v>
      </c>
      <c r="J85" s="55">
        <f t="shared" si="8"/>
        <v>106020</v>
      </c>
    </row>
    <row r="86" spans="1:10" x14ac:dyDescent="0.3">
      <c r="A86" s="48">
        <v>44516</v>
      </c>
      <c r="B86" s="19" t="s">
        <v>116</v>
      </c>
      <c r="C86" s="73">
        <v>60</v>
      </c>
      <c r="D86" s="57"/>
      <c r="E86" s="57">
        <v>115</v>
      </c>
      <c r="F86" s="57">
        <v>0.99</v>
      </c>
      <c r="G86" s="57">
        <v>74</v>
      </c>
      <c r="H86" s="57">
        <v>28</v>
      </c>
      <c r="I86" s="57">
        <v>1767</v>
      </c>
      <c r="J86" s="55">
        <f t="shared" si="8"/>
        <v>106020</v>
      </c>
    </row>
    <row r="87" spans="1:10" x14ac:dyDescent="0.3">
      <c r="A87" s="48">
        <v>44516</v>
      </c>
      <c r="B87" s="19" t="s">
        <v>116</v>
      </c>
      <c r="C87" s="73">
        <v>55</v>
      </c>
      <c r="D87" s="57">
        <v>85</v>
      </c>
      <c r="E87" s="57">
        <v>95</v>
      </c>
      <c r="F87" s="57">
        <v>0.84</v>
      </c>
      <c r="G87" s="57">
        <v>69</v>
      </c>
      <c r="H87" s="57">
        <v>39</v>
      </c>
      <c r="I87" s="57">
        <v>1730</v>
      </c>
      <c r="J87" s="55">
        <f t="shared" si="8"/>
        <v>103800</v>
      </c>
    </row>
    <row r="88" spans="1:10" x14ac:dyDescent="0.3">
      <c r="A88" s="48">
        <v>44516</v>
      </c>
      <c r="B88" s="19" t="s">
        <v>116</v>
      </c>
      <c r="C88" s="73">
        <v>55</v>
      </c>
      <c r="D88" s="57"/>
      <c r="E88" s="57">
        <v>96</v>
      </c>
      <c r="F88" s="57">
        <v>0.84</v>
      </c>
      <c r="G88" s="57">
        <v>69</v>
      </c>
      <c r="H88" s="57">
        <v>38</v>
      </c>
      <c r="I88" s="57">
        <v>1730</v>
      </c>
      <c r="J88" s="55">
        <f t="shared" si="8"/>
        <v>103800</v>
      </c>
    </row>
    <row r="89" spans="1:10" x14ac:dyDescent="0.3">
      <c r="A89" s="48">
        <v>44516</v>
      </c>
      <c r="B89" s="19" t="s">
        <v>116</v>
      </c>
      <c r="C89" s="73">
        <v>56</v>
      </c>
      <c r="D89" s="57"/>
      <c r="E89" s="57">
        <v>98</v>
      </c>
      <c r="F89" s="57">
        <v>0.85</v>
      </c>
      <c r="G89" s="57">
        <v>69</v>
      </c>
      <c r="H89" s="57">
        <v>37</v>
      </c>
      <c r="I89" s="57">
        <v>1730</v>
      </c>
      <c r="J89" s="55">
        <f t="shared" si="8"/>
        <v>103800</v>
      </c>
    </row>
    <row r="90" spans="1:10" x14ac:dyDescent="0.3">
      <c r="A90" s="48">
        <v>44516</v>
      </c>
      <c r="B90" s="19" t="s">
        <v>116</v>
      </c>
      <c r="C90" s="73">
        <v>57</v>
      </c>
      <c r="D90" s="57"/>
      <c r="E90" s="57">
        <v>98</v>
      </c>
      <c r="F90" s="57">
        <v>0.87</v>
      </c>
      <c r="G90" s="57">
        <v>69</v>
      </c>
      <c r="H90" s="57">
        <v>36</v>
      </c>
      <c r="I90" s="57">
        <v>1730</v>
      </c>
      <c r="J90" s="55">
        <f t="shared" si="8"/>
        <v>103800</v>
      </c>
    </row>
  </sheetData>
  <autoFilter ref="A2:P37" xr:uid="{5D0B5634-B068-4E96-84B1-399A22DD4947}"/>
  <sortState xmlns:xlrd2="http://schemas.microsoft.com/office/spreadsheetml/2017/richdata2" ref="C23:J26">
    <sortCondition ref="G23:G26"/>
  </sortState>
  <mergeCells count="28">
    <mergeCell ref="U1:AA1"/>
    <mergeCell ref="K1:P1"/>
    <mergeCell ref="C1:J1"/>
    <mergeCell ref="F44:F49"/>
    <mergeCell ref="G44:G49"/>
    <mergeCell ref="Q22:Q37"/>
    <mergeCell ref="R27:R33"/>
    <mergeCell ref="F50:F55"/>
    <mergeCell ref="G50:G55"/>
    <mergeCell ref="M42:O42"/>
    <mergeCell ref="M44:M46"/>
    <mergeCell ref="C42:K42"/>
    <mergeCell ref="C50:C55"/>
    <mergeCell ref="D50:D55"/>
    <mergeCell ref="E50:E55"/>
    <mergeCell ref="C44:C49"/>
    <mergeCell ref="D44:D49"/>
    <mergeCell ref="E44:E49"/>
    <mergeCell ref="F56:F61"/>
    <mergeCell ref="G56:G61"/>
    <mergeCell ref="F62:F67"/>
    <mergeCell ref="G62:G67"/>
    <mergeCell ref="C56:C61"/>
    <mergeCell ref="D56:D61"/>
    <mergeCell ref="E56:E61"/>
    <mergeCell ref="C62:C67"/>
    <mergeCell ref="D62:D67"/>
    <mergeCell ref="E62:E67"/>
  </mergeCells>
  <phoneticPr fontId="2" type="noConversion"/>
  <pageMargins left="0.7" right="0.7" top="0.75" bottom="0.75" header="0.3" footer="0.3"/>
  <pageSetup paperSize="9" scale="36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66AB4-3231-40B8-A8B2-CD8CDF055B91}">
  <dimension ref="C4:O20"/>
  <sheetViews>
    <sheetView workbookViewId="0">
      <selection activeCell="N22" sqref="N22"/>
    </sheetView>
  </sheetViews>
  <sheetFormatPr defaultRowHeight="14.4" x14ac:dyDescent="0.3"/>
  <sheetData>
    <row r="4" spans="3:15" x14ac:dyDescent="0.3">
      <c r="C4" s="65" t="s">
        <v>21</v>
      </c>
      <c r="D4" s="51" t="s">
        <v>75</v>
      </c>
      <c r="E4" s="51" t="s">
        <v>22</v>
      </c>
      <c r="F4" s="51" t="s">
        <v>6</v>
      </c>
      <c r="G4" s="51" t="s">
        <v>23</v>
      </c>
      <c r="H4" s="51" t="s">
        <v>76</v>
      </c>
      <c r="I4" s="51" t="s">
        <v>28</v>
      </c>
      <c r="J4" s="51" t="s">
        <v>24</v>
      </c>
      <c r="K4" s="83" t="s">
        <v>118</v>
      </c>
    </row>
    <row r="5" spans="3:15" x14ac:dyDescent="0.3">
      <c r="C5" s="73">
        <v>60</v>
      </c>
      <c r="D5" s="57">
        <v>93</v>
      </c>
      <c r="E5" s="57">
        <v>94</v>
      </c>
      <c r="F5" s="57">
        <v>0.83</v>
      </c>
      <c r="G5" s="57">
        <v>60</v>
      </c>
      <c r="H5" s="57">
        <v>40</v>
      </c>
      <c r="I5" s="57">
        <v>1656</v>
      </c>
      <c r="J5" s="55">
        <f t="shared" ref="J5:J20" si="0">I5*60</f>
        <v>99360</v>
      </c>
      <c r="K5">
        <f t="shared" ref="K5:K20" si="1">(1-(ABS(1750-I5)/1750))*5000/(E5*C5)</f>
        <v>0.83890577507598785</v>
      </c>
      <c r="L5">
        <f>(1-(ABS(1750-I5)/1750))</f>
        <v>0.94628571428571429</v>
      </c>
      <c r="O5">
        <f>(1750-ABS(1750-I5))/(E5*C5)</f>
        <v>0.29361702127659572</v>
      </c>
    </row>
    <row r="6" spans="3:15" x14ac:dyDescent="0.3">
      <c r="C6" s="73">
        <v>58</v>
      </c>
      <c r="D6" s="57"/>
      <c r="E6" s="57">
        <v>100</v>
      </c>
      <c r="F6" s="57">
        <v>0.92</v>
      </c>
      <c r="G6" s="57">
        <v>70</v>
      </c>
      <c r="H6" s="57">
        <v>40</v>
      </c>
      <c r="I6" s="57">
        <v>1767</v>
      </c>
      <c r="J6" s="55">
        <f t="shared" si="0"/>
        <v>106020</v>
      </c>
      <c r="K6">
        <f t="shared" si="1"/>
        <v>0.85369458128078823</v>
      </c>
      <c r="L6">
        <f t="shared" ref="L6:L20" si="2">(1-(ABS(1750-I6)/1750))</f>
        <v>0.99028571428571432</v>
      </c>
    </row>
    <row r="7" spans="3:15" x14ac:dyDescent="0.3">
      <c r="C7" s="73">
        <v>53</v>
      </c>
      <c r="D7" s="57">
        <v>88</v>
      </c>
      <c r="E7" s="57">
        <v>94</v>
      </c>
      <c r="F7" s="57">
        <v>0.86</v>
      </c>
      <c r="G7" s="57">
        <v>70</v>
      </c>
      <c r="H7" s="57">
        <v>38</v>
      </c>
      <c r="I7" s="57">
        <v>1767</v>
      </c>
      <c r="J7" s="55">
        <f t="shared" si="0"/>
        <v>106020</v>
      </c>
      <c r="K7">
        <f t="shared" si="1"/>
        <v>0.99386362332970124</v>
      </c>
      <c r="L7">
        <f t="shared" si="2"/>
        <v>0.99028571428571432</v>
      </c>
    </row>
    <row r="8" spans="3:15" x14ac:dyDescent="0.3">
      <c r="C8" s="73">
        <v>54</v>
      </c>
      <c r="D8" s="57"/>
      <c r="E8" s="57">
        <v>95</v>
      </c>
      <c r="F8" s="57">
        <v>0.88</v>
      </c>
      <c r="G8" s="57">
        <v>70</v>
      </c>
      <c r="H8" s="57">
        <v>36</v>
      </c>
      <c r="I8" s="57">
        <v>1767</v>
      </c>
      <c r="J8" s="55">
        <f t="shared" si="0"/>
        <v>106020</v>
      </c>
      <c r="K8">
        <f t="shared" si="1"/>
        <v>0.96519075466443893</v>
      </c>
      <c r="L8">
        <f t="shared" si="2"/>
        <v>0.99028571428571432</v>
      </c>
    </row>
    <row r="9" spans="3:15" x14ac:dyDescent="0.3">
      <c r="C9" s="73">
        <v>55</v>
      </c>
      <c r="D9" s="57">
        <v>92</v>
      </c>
      <c r="E9" s="57">
        <v>96</v>
      </c>
      <c r="F9" s="57">
        <v>0.89</v>
      </c>
      <c r="G9" s="57">
        <v>70</v>
      </c>
      <c r="H9" s="57">
        <v>34</v>
      </c>
      <c r="I9" s="57">
        <v>1767</v>
      </c>
      <c r="J9" s="55">
        <f t="shared" si="0"/>
        <v>106020</v>
      </c>
      <c r="K9">
        <f t="shared" si="1"/>
        <v>0.93777056277056281</v>
      </c>
      <c r="L9">
        <f t="shared" si="2"/>
        <v>0.99028571428571432</v>
      </c>
    </row>
    <row r="10" spans="3:15" x14ac:dyDescent="0.3">
      <c r="C10" s="73">
        <v>51</v>
      </c>
      <c r="D10" s="57">
        <v>88</v>
      </c>
      <c r="E10" s="57">
        <v>96</v>
      </c>
      <c r="F10" s="57">
        <v>0.85</v>
      </c>
      <c r="G10" s="57">
        <v>68</v>
      </c>
      <c r="H10" s="57">
        <v>38</v>
      </c>
      <c r="I10" s="57">
        <v>1724</v>
      </c>
      <c r="J10" s="55">
        <f t="shared" si="0"/>
        <v>103440</v>
      </c>
      <c r="K10">
        <f t="shared" si="1"/>
        <v>1.0060690943043884</v>
      </c>
      <c r="L10">
        <f t="shared" si="2"/>
        <v>0.9851428571428571</v>
      </c>
    </row>
    <row r="11" spans="3:15" x14ac:dyDescent="0.3">
      <c r="C11" s="73">
        <v>52</v>
      </c>
      <c r="D11" s="57"/>
      <c r="E11" s="57">
        <v>98</v>
      </c>
      <c r="F11" s="57">
        <v>0.86</v>
      </c>
      <c r="G11" s="57">
        <v>68</v>
      </c>
      <c r="H11" s="57">
        <v>36</v>
      </c>
      <c r="I11" s="57">
        <v>1742</v>
      </c>
      <c r="J11" s="55">
        <f t="shared" si="0"/>
        <v>104520</v>
      </c>
      <c r="K11">
        <f t="shared" si="1"/>
        <v>0.97667638483965014</v>
      </c>
      <c r="L11">
        <f t="shared" si="2"/>
        <v>0.99542857142857144</v>
      </c>
    </row>
    <row r="12" spans="3:15" x14ac:dyDescent="0.3">
      <c r="C12" s="73">
        <v>53</v>
      </c>
      <c r="D12" s="57"/>
      <c r="E12" s="57">
        <v>103</v>
      </c>
      <c r="F12" s="57">
        <v>0.9</v>
      </c>
      <c r="G12" s="57">
        <v>68</v>
      </c>
      <c r="H12" s="57">
        <v>34</v>
      </c>
      <c r="I12" s="57">
        <v>1742</v>
      </c>
      <c r="J12" s="55">
        <f t="shared" si="0"/>
        <v>104520</v>
      </c>
      <c r="K12">
        <f t="shared" si="1"/>
        <v>0.91173160966163347</v>
      </c>
      <c r="L12">
        <f t="shared" si="2"/>
        <v>0.99542857142857144</v>
      </c>
    </row>
    <row r="13" spans="3:15" x14ac:dyDescent="0.3">
      <c r="C13" s="73">
        <v>53</v>
      </c>
      <c r="D13" s="57"/>
      <c r="E13" s="57">
        <v>105</v>
      </c>
      <c r="F13" s="57">
        <v>0.92</v>
      </c>
      <c r="G13" s="57">
        <v>68</v>
      </c>
      <c r="H13" s="57">
        <v>32</v>
      </c>
      <c r="I13" s="57">
        <v>1742</v>
      </c>
      <c r="J13" s="55">
        <f t="shared" si="0"/>
        <v>104520</v>
      </c>
      <c r="K13">
        <f t="shared" si="1"/>
        <v>0.89436529328712611</v>
      </c>
      <c r="L13">
        <f t="shared" si="2"/>
        <v>0.99542857142857144</v>
      </c>
    </row>
    <row r="14" spans="3:15" x14ac:dyDescent="0.3">
      <c r="C14" s="73">
        <v>56</v>
      </c>
      <c r="D14" s="57"/>
      <c r="E14" s="57">
        <v>107</v>
      </c>
      <c r="F14" s="57">
        <v>0.92</v>
      </c>
      <c r="G14" s="57">
        <v>76</v>
      </c>
      <c r="H14" s="57">
        <v>40</v>
      </c>
      <c r="I14" s="57">
        <v>1818</v>
      </c>
      <c r="J14" s="55">
        <f t="shared" si="0"/>
        <v>109080</v>
      </c>
      <c r="K14">
        <f t="shared" si="1"/>
        <v>0.80202174327675002</v>
      </c>
      <c r="L14">
        <f t="shared" si="2"/>
        <v>0.96114285714285719</v>
      </c>
    </row>
    <row r="15" spans="3:15" x14ac:dyDescent="0.3">
      <c r="C15" s="73">
        <v>56</v>
      </c>
      <c r="D15" s="57">
        <v>94</v>
      </c>
      <c r="E15" s="57">
        <v>104</v>
      </c>
      <c r="F15" s="57">
        <v>0.92</v>
      </c>
      <c r="G15" s="57">
        <v>76</v>
      </c>
      <c r="H15" s="57">
        <v>36</v>
      </c>
      <c r="I15" s="57">
        <v>1818</v>
      </c>
      <c r="J15" s="55">
        <f t="shared" si="0"/>
        <v>109080</v>
      </c>
      <c r="K15">
        <f t="shared" si="1"/>
        <v>0.82515698587127162</v>
      </c>
      <c r="L15">
        <f t="shared" si="2"/>
        <v>0.96114285714285719</v>
      </c>
    </row>
    <row r="16" spans="3:15" x14ac:dyDescent="0.3">
      <c r="C16" s="73">
        <v>59</v>
      </c>
      <c r="D16" s="57"/>
      <c r="E16" s="57">
        <v>112</v>
      </c>
      <c r="F16" s="57">
        <v>0.94</v>
      </c>
      <c r="G16" s="57">
        <v>76</v>
      </c>
      <c r="H16" s="57">
        <v>32</v>
      </c>
      <c r="I16" s="57">
        <v>1818</v>
      </c>
      <c r="J16" s="55">
        <f t="shared" si="0"/>
        <v>109080</v>
      </c>
      <c r="K16">
        <f t="shared" si="1"/>
        <v>0.72725700449671404</v>
      </c>
      <c r="L16">
        <f t="shared" si="2"/>
        <v>0.96114285714285719</v>
      </c>
    </row>
    <row r="17" spans="3:12" x14ac:dyDescent="0.3">
      <c r="C17" s="73">
        <v>54</v>
      </c>
      <c r="D17" s="57">
        <v>92</v>
      </c>
      <c r="E17" s="57">
        <v>96</v>
      </c>
      <c r="F17" s="57">
        <v>0.83</v>
      </c>
      <c r="G17" s="57">
        <v>74</v>
      </c>
      <c r="H17" s="57">
        <v>40</v>
      </c>
      <c r="I17" s="57">
        <v>1736</v>
      </c>
      <c r="J17" s="55">
        <f t="shared" si="0"/>
        <v>104160</v>
      </c>
      <c r="K17">
        <f t="shared" si="1"/>
        <v>0.95679012345679015</v>
      </c>
      <c r="L17">
        <f t="shared" si="2"/>
        <v>0.99199999999999999</v>
      </c>
    </row>
    <row r="18" spans="3:12" x14ac:dyDescent="0.3">
      <c r="C18" s="73">
        <v>53</v>
      </c>
      <c r="D18" s="57"/>
      <c r="E18" s="57">
        <v>97</v>
      </c>
      <c r="F18" s="57">
        <v>0.85</v>
      </c>
      <c r="G18" s="57">
        <v>74</v>
      </c>
      <c r="H18" s="57">
        <v>36</v>
      </c>
      <c r="I18" s="57">
        <v>1767</v>
      </c>
      <c r="J18" s="55">
        <f t="shared" si="0"/>
        <v>106020</v>
      </c>
      <c r="K18">
        <f t="shared" si="1"/>
        <v>0.96312557312362801</v>
      </c>
      <c r="L18">
        <f t="shared" si="2"/>
        <v>0.99028571428571432</v>
      </c>
    </row>
    <row r="19" spans="3:12" x14ac:dyDescent="0.3">
      <c r="C19" s="73">
        <v>56</v>
      </c>
      <c r="D19" s="57"/>
      <c r="E19" s="57">
        <v>107</v>
      </c>
      <c r="F19" s="57">
        <v>0.94</v>
      </c>
      <c r="G19" s="57">
        <v>74</v>
      </c>
      <c r="H19" s="57">
        <v>32</v>
      </c>
      <c r="I19" s="57">
        <v>1767</v>
      </c>
      <c r="J19" s="55">
        <f t="shared" si="0"/>
        <v>106020</v>
      </c>
      <c r="K19">
        <f t="shared" si="1"/>
        <v>0.82633988174709139</v>
      </c>
      <c r="L19">
        <f t="shared" si="2"/>
        <v>0.99028571428571432</v>
      </c>
    </row>
    <row r="20" spans="3:12" x14ac:dyDescent="0.3">
      <c r="C20" s="73">
        <v>60</v>
      </c>
      <c r="D20" s="57"/>
      <c r="E20" s="57">
        <v>115</v>
      </c>
      <c r="F20" s="57">
        <v>0.99</v>
      </c>
      <c r="G20" s="57">
        <v>74</v>
      </c>
      <c r="H20" s="57">
        <v>28</v>
      </c>
      <c r="I20" s="57">
        <v>1767</v>
      </c>
      <c r="J20" s="55">
        <f t="shared" si="0"/>
        <v>106020</v>
      </c>
      <c r="K20">
        <f t="shared" si="1"/>
        <v>0.71759834368530018</v>
      </c>
      <c r="L20">
        <f t="shared" si="2"/>
        <v>0.99028571428571432</v>
      </c>
    </row>
  </sheetData>
  <conditionalFormatting sqref="C5:C13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:E13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5:I13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:C1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:E1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5:I1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:C20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:E20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5:I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:K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FED4C-B561-48FA-967F-3A8805541661}">
  <dimension ref="A2:Q14"/>
  <sheetViews>
    <sheetView workbookViewId="0">
      <selection activeCell="O11" sqref="O11:P14"/>
    </sheetView>
  </sheetViews>
  <sheetFormatPr defaultRowHeight="14.4" x14ac:dyDescent="0.3"/>
  <cols>
    <col min="8" max="8" width="0" hidden="1" customWidth="1"/>
  </cols>
  <sheetData>
    <row r="2" spans="1:17" x14ac:dyDescent="0.3">
      <c r="O2" s="158" t="s">
        <v>10</v>
      </c>
      <c r="P2" s="158"/>
      <c r="Q2" s="158"/>
    </row>
    <row r="3" spans="1:17" x14ac:dyDescent="0.3">
      <c r="P3" s="158" t="s">
        <v>49</v>
      </c>
      <c r="Q3" s="158"/>
    </row>
    <row r="4" spans="1:17" x14ac:dyDescent="0.3">
      <c r="D4" s="158" t="s">
        <v>49</v>
      </c>
      <c r="E4" s="158"/>
      <c r="O4" s="23" t="s">
        <v>55</v>
      </c>
      <c r="P4" s="23" t="s">
        <v>50</v>
      </c>
      <c r="Q4" s="23" t="s">
        <v>51</v>
      </c>
    </row>
    <row r="5" spans="1:17" x14ac:dyDescent="0.3">
      <c r="A5" t="s">
        <v>54</v>
      </c>
      <c r="B5" t="s">
        <v>47</v>
      </c>
      <c r="C5" t="s">
        <v>48</v>
      </c>
      <c r="D5" t="s">
        <v>50</v>
      </c>
      <c r="E5" t="s">
        <v>51</v>
      </c>
      <c r="F5" t="s">
        <v>52</v>
      </c>
      <c r="G5" t="s">
        <v>53</v>
      </c>
      <c r="H5" t="s">
        <v>56</v>
      </c>
      <c r="O5" s="26">
        <v>1</v>
      </c>
      <c r="P5" s="26">
        <v>1150</v>
      </c>
      <c r="Q5" s="26">
        <f>P5*60</f>
        <v>69000</v>
      </c>
    </row>
    <row r="6" spans="1:17" x14ac:dyDescent="0.3">
      <c r="A6">
        <v>230</v>
      </c>
      <c r="B6">
        <v>68</v>
      </c>
      <c r="C6">
        <v>33</v>
      </c>
      <c r="D6">
        <v>1760</v>
      </c>
      <c r="E6">
        <f t="shared" ref="E6:E14" si="0">D6*60</f>
        <v>105600</v>
      </c>
      <c r="F6">
        <v>79</v>
      </c>
      <c r="G6">
        <v>0.67</v>
      </c>
      <c r="H6">
        <v>0.52</v>
      </c>
      <c r="J6">
        <f>A6*G6</f>
        <v>154.10000000000002</v>
      </c>
      <c r="K6" s="24">
        <f>J6/F6</f>
        <v>1.9506329113924052</v>
      </c>
      <c r="O6" s="26">
        <v>2</v>
      </c>
      <c r="P6" s="26">
        <v>1400</v>
      </c>
      <c r="Q6" s="26">
        <f>P6*60</f>
        <v>84000</v>
      </c>
    </row>
    <row r="7" spans="1:17" x14ac:dyDescent="0.3">
      <c r="A7">
        <v>230</v>
      </c>
      <c r="B7">
        <v>60</v>
      </c>
      <c r="C7">
        <v>33</v>
      </c>
      <c r="D7">
        <v>1600</v>
      </c>
      <c r="E7">
        <f t="shared" si="0"/>
        <v>96000</v>
      </c>
      <c r="F7">
        <v>61</v>
      </c>
      <c r="G7">
        <v>0.52</v>
      </c>
      <c r="H7">
        <v>0.49</v>
      </c>
      <c r="J7">
        <f>A7*G7</f>
        <v>119.60000000000001</v>
      </c>
      <c r="K7" s="24">
        <f t="shared" ref="K7:K9" si="1">J7/F7</f>
        <v>1.9606557377049181</v>
      </c>
      <c r="O7" s="26">
        <v>3</v>
      </c>
      <c r="P7" s="26">
        <v>1750</v>
      </c>
      <c r="Q7" s="26">
        <f>P7*60</f>
        <v>105000</v>
      </c>
    </row>
    <row r="8" spans="1:17" x14ac:dyDescent="0.3">
      <c r="A8">
        <v>230</v>
      </c>
      <c r="B8">
        <v>50</v>
      </c>
      <c r="C8">
        <v>33</v>
      </c>
      <c r="D8">
        <v>1351</v>
      </c>
      <c r="E8">
        <f t="shared" si="0"/>
        <v>81060</v>
      </c>
      <c r="F8">
        <v>37</v>
      </c>
      <c r="G8">
        <v>0.3</v>
      </c>
      <c r="H8">
        <v>0.37</v>
      </c>
      <c r="J8">
        <f>A8*G8</f>
        <v>69</v>
      </c>
      <c r="K8" s="24">
        <f t="shared" si="1"/>
        <v>1.8648648648648649</v>
      </c>
    </row>
    <row r="9" spans="1:17" x14ac:dyDescent="0.3">
      <c r="A9">
        <v>230</v>
      </c>
      <c r="B9">
        <v>68</v>
      </c>
      <c r="C9">
        <v>25</v>
      </c>
      <c r="D9">
        <v>1798</v>
      </c>
      <c r="E9">
        <f t="shared" si="0"/>
        <v>107880</v>
      </c>
      <c r="F9">
        <v>95</v>
      </c>
      <c r="G9">
        <v>0.8</v>
      </c>
      <c r="J9">
        <f>A9*G9</f>
        <v>184</v>
      </c>
      <c r="K9" s="24">
        <f t="shared" si="1"/>
        <v>1.9368421052631579</v>
      </c>
    </row>
    <row r="10" spans="1:17" x14ac:dyDescent="0.3">
      <c r="A10">
        <v>230</v>
      </c>
      <c r="E10">
        <f t="shared" si="0"/>
        <v>0</v>
      </c>
    </row>
    <row r="11" spans="1:17" x14ac:dyDescent="0.3">
      <c r="A11">
        <v>230</v>
      </c>
      <c r="E11">
        <f t="shared" si="0"/>
        <v>0</v>
      </c>
    </row>
    <row r="12" spans="1:17" x14ac:dyDescent="0.3">
      <c r="A12">
        <v>230</v>
      </c>
      <c r="E12">
        <f t="shared" si="0"/>
        <v>0</v>
      </c>
    </row>
    <row r="13" spans="1:17" x14ac:dyDescent="0.3">
      <c r="A13">
        <v>230</v>
      </c>
      <c r="E13">
        <f t="shared" si="0"/>
        <v>0</v>
      </c>
    </row>
    <row r="14" spans="1:17" x14ac:dyDescent="0.3">
      <c r="A14">
        <v>230</v>
      </c>
      <c r="E14">
        <f t="shared" si="0"/>
        <v>0</v>
      </c>
    </row>
  </sheetData>
  <mergeCells count="3">
    <mergeCell ref="D4:E4"/>
    <mergeCell ref="P3:Q3"/>
    <mergeCell ref="O2:Q2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0D995-9E91-404C-BBB7-C4FB3B0E82AA}">
  <dimension ref="B2:M30"/>
  <sheetViews>
    <sheetView topLeftCell="C1" workbookViewId="0">
      <selection activeCell="F17" sqref="F17"/>
    </sheetView>
  </sheetViews>
  <sheetFormatPr defaultRowHeight="14.4" x14ac:dyDescent="0.3"/>
  <cols>
    <col min="2" max="2" width="11.109375" bestFit="1" customWidth="1"/>
    <col min="3" max="3" width="17.33203125" bestFit="1" customWidth="1"/>
    <col min="4" max="4" width="15.88671875" bestFit="1" customWidth="1"/>
  </cols>
  <sheetData>
    <row r="2" spans="2:13" x14ac:dyDescent="0.3">
      <c r="C2" s="49" t="s">
        <v>107</v>
      </c>
      <c r="D2" s="49" t="s">
        <v>108</v>
      </c>
    </row>
    <row r="3" spans="2:13" ht="29.4" customHeight="1" x14ac:dyDescent="0.3">
      <c r="C3" s="79" t="s">
        <v>104</v>
      </c>
      <c r="D3" s="79" t="s">
        <v>109</v>
      </c>
    </row>
    <row r="4" spans="2:13" x14ac:dyDescent="0.3">
      <c r="B4" t="s">
        <v>105</v>
      </c>
      <c r="C4">
        <v>48</v>
      </c>
      <c r="J4" t="s">
        <v>110</v>
      </c>
    </row>
    <row r="5" spans="2:13" x14ac:dyDescent="0.3">
      <c r="B5" t="s">
        <v>106</v>
      </c>
      <c r="C5">
        <v>55</v>
      </c>
    </row>
    <row r="6" spans="2:13" x14ac:dyDescent="0.3">
      <c r="B6" t="s">
        <v>101</v>
      </c>
      <c r="C6">
        <v>19</v>
      </c>
      <c r="J6" t="s">
        <v>111</v>
      </c>
      <c r="K6" s="81">
        <f>230*1.414</f>
        <v>325.21999999999997</v>
      </c>
    </row>
    <row r="7" spans="2:13" x14ac:dyDescent="0.3">
      <c r="B7" t="s">
        <v>102</v>
      </c>
      <c r="C7">
        <v>30</v>
      </c>
    </row>
    <row r="8" spans="2:13" x14ac:dyDescent="0.3">
      <c r="B8" t="s">
        <v>103</v>
      </c>
      <c r="C8">
        <v>50</v>
      </c>
    </row>
    <row r="9" spans="2:13" x14ac:dyDescent="0.3">
      <c r="J9" t="s">
        <v>46</v>
      </c>
      <c r="K9" t="s">
        <v>112</v>
      </c>
      <c r="M9" t="s">
        <v>113</v>
      </c>
    </row>
    <row r="10" spans="2:13" x14ac:dyDescent="0.3">
      <c r="J10">
        <v>50</v>
      </c>
      <c r="K10" s="25">
        <f>$K$6/J10</f>
        <v>6.5043999999999995</v>
      </c>
      <c r="M10" s="25">
        <f>K10*K10*J10</f>
        <v>2115.3609679999995</v>
      </c>
    </row>
    <row r="11" spans="2:13" x14ac:dyDescent="0.3">
      <c r="J11">
        <v>51</v>
      </c>
      <c r="K11" s="25">
        <f t="shared" ref="K11:K30" si="0">$K$6/J11</f>
        <v>6.3768627450980384</v>
      </c>
      <c r="M11" s="25">
        <f t="shared" ref="M11:M30" si="1">K11*K11*J11</f>
        <v>2073.8833019607837</v>
      </c>
    </row>
    <row r="12" spans="2:13" x14ac:dyDescent="0.3">
      <c r="J12">
        <v>52</v>
      </c>
      <c r="K12" s="25">
        <f t="shared" si="0"/>
        <v>6.2542307692307686</v>
      </c>
      <c r="M12" s="25">
        <f t="shared" si="1"/>
        <v>2034.0009307692303</v>
      </c>
    </row>
    <row r="13" spans="2:13" x14ac:dyDescent="0.3">
      <c r="J13">
        <v>53</v>
      </c>
      <c r="K13" s="25">
        <f t="shared" si="0"/>
        <v>6.1362264150943391</v>
      </c>
      <c r="M13" s="25">
        <f t="shared" si="1"/>
        <v>1995.6235547169808</v>
      </c>
    </row>
    <row r="14" spans="2:13" x14ac:dyDescent="0.3">
      <c r="J14">
        <v>54</v>
      </c>
      <c r="K14" s="25">
        <f t="shared" si="0"/>
        <v>6.0225925925925923</v>
      </c>
      <c r="M14" s="25">
        <f t="shared" si="1"/>
        <v>1958.6675629629628</v>
      </c>
    </row>
    <row r="15" spans="2:13" x14ac:dyDescent="0.3">
      <c r="J15">
        <v>55</v>
      </c>
      <c r="K15" s="25">
        <f t="shared" si="0"/>
        <v>5.9130909090909087</v>
      </c>
      <c r="M15" s="25">
        <f t="shared" si="1"/>
        <v>1923.055425454545</v>
      </c>
    </row>
    <row r="16" spans="2:13" x14ac:dyDescent="0.3">
      <c r="J16">
        <v>56</v>
      </c>
      <c r="K16" s="25">
        <f t="shared" si="0"/>
        <v>5.8074999999999992</v>
      </c>
      <c r="M16" s="25">
        <f t="shared" si="1"/>
        <v>1888.7151499999995</v>
      </c>
    </row>
    <row r="17" spans="10:13" x14ac:dyDescent="0.3">
      <c r="J17">
        <v>57</v>
      </c>
      <c r="K17" s="25">
        <f t="shared" si="0"/>
        <v>5.7056140350877191</v>
      </c>
      <c r="M17" s="25">
        <f t="shared" si="1"/>
        <v>1855.5797964912281</v>
      </c>
    </row>
    <row r="18" spans="10:13" x14ac:dyDescent="0.3">
      <c r="J18">
        <v>58</v>
      </c>
      <c r="K18" s="25">
        <f t="shared" si="0"/>
        <v>5.6072413793103442</v>
      </c>
      <c r="M18" s="25">
        <f t="shared" si="1"/>
        <v>1823.58704137931</v>
      </c>
    </row>
    <row r="19" spans="10:13" x14ac:dyDescent="0.3">
      <c r="J19">
        <v>59</v>
      </c>
      <c r="K19" s="25">
        <f t="shared" si="0"/>
        <v>5.5122033898305078</v>
      </c>
      <c r="M19" s="25">
        <f t="shared" si="1"/>
        <v>1792.6787864406776</v>
      </c>
    </row>
    <row r="20" spans="10:13" x14ac:dyDescent="0.3">
      <c r="J20">
        <v>60</v>
      </c>
      <c r="K20" s="25">
        <f t="shared" si="0"/>
        <v>5.4203333333333328</v>
      </c>
      <c r="M20" s="25">
        <f t="shared" si="1"/>
        <v>1762.8008066666662</v>
      </c>
    </row>
    <row r="21" spans="10:13" x14ac:dyDescent="0.3">
      <c r="J21">
        <v>61</v>
      </c>
      <c r="K21" s="25">
        <f t="shared" si="0"/>
        <v>5.3314754098360648</v>
      </c>
      <c r="M21" s="25">
        <f t="shared" si="1"/>
        <v>1733.9024327868847</v>
      </c>
    </row>
    <row r="22" spans="10:13" x14ac:dyDescent="0.3">
      <c r="J22">
        <v>62</v>
      </c>
      <c r="K22" s="25">
        <f t="shared" si="0"/>
        <v>5.2454838709677416</v>
      </c>
      <c r="M22" s="25">
        <f t="shared" si="1"/>
        <v>1705.9362645161289</v>
      </c>
    </row>
    <row r="23" spans="10:13" x14ac:dyDescent="0.3">
      <c r="J23">
        <v>63</v>
      </c>
      <c r="K23" s="25">
        <f t="shared" si="0"/>
        <v>5.1622222222222218</v>
      </c>
      <c r="M23" s="25">
        <f t="shared" si="1"/>
        <v>1678.8579111111108</v>
      </c>
    </row>
    <row r="24" spans="10:13" x14ac:dyDescent="0.3">
      <c r="J24">
        <v>64</v>
      </c>
      <c r="K24" s="25">
        <f t="shared" si="0"/>
        <v>5.0815624999999995</v>
      </c>
      <c r="M24" s="25">
        <f t="shared" si="1"/>
        <v>1652.6257562499998</v>
      </c>
    </row>
    <row r="25" spans="10:13" x14ac:dyDescent="0.3">
      <c r="J25">
        <v>65</v>
      </c>
      <c r="K25" s="25">
        <f t="shared" si="0"/>
        <v>5.0033846153846149</v>
      </c>
      <c r="M25" s="25">
        <f t="shared" si="1"/>
        <v>1627.2007446153843</v>
      </c>
    </row>
    <row r="26" spans="10:13" x14ac:dyDescent="0.3">
      <c r="J26">
        <v>66</v>
      </c>
      <c r="K26" s="25">
        <f t="shared" si="0"/>
        <v>4.9275757575757568</v>
      </c>
      <c r="M26" s="25">
        <f t="shared" si="1"/>
        <v>1602.5461878787876</v>
      </c>
    </row>
    <row r="27" spans="10:13" x14ac:dyDescent="0.3">
      <c r="J27">
        <v>67</v>
      </c>
      <c r="K27" s="25">
        <f t="shared" si="0"/>
        <v>4.8540298507462678</v>
      </c>
      <c r="M27" s="25">
        <f t="shared" si="1"/>
        <v>1578.6275880597011</v>
      </c>
    </row>
    <row r="28" spans="10:13" x14ac:dyDescent="0.3">
      <c r="J28">
        <v>68</v>
      </c>
      <c r="K28" s="25">
        <f t="shared" si="0"/>
        <v>4.782647058823529</v>
      </c>
      <c r="M28" s="25">
        <f t="shared" si="1"/>
        <v>1555.412476470588</v>
      </c>
    </row>
    <row r="29" spans="10:13" x14ac:dyDescent="0.3">
      <c r="J29">
        <v>69</v>
      </c>
      <c r="K29" s="25">
        <f t="shared" si="0"/>
        <v>4.7133333333333329</v>
      </c>
      <c r="M29" s="25">
        <f t="shared" si="1"/>
        <v>1532.8702666666666</v>
      </c>
    </row>
    <row r="30" spans="10:13" x14ac:dyDescent="0.3">
      <c r="J30">
        <v>70</v>
      </c>
      <c r="K30" s="25">
        <f t="shared" si="0"/>
        <v>4.6459999999999999</v>
      </c>
      <c r="M30" s="25">
        <f t="shared" si="1"/>
        <v>1510.9721199999999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3174D2-BBBA-4CD7-B743-F791EBF17A9F}">
  <dimension ref="A2:H13"/>
  <sheetViews>
    <sheetView workbookViewId="0">
      <selection activeCell="F22" sqref="F22"/>
    </sheetView>
  </sheetViews>
  <sheetFormatPr defaultRowHeight="14.4" x14ac:dyDescent="0.3"/>
  <sheetData>
    <row r="2" spans="1:8" ht="15" thickBot="1" x14ac:dyDescent="0.35"/>
    <row r="3" spans="1:8" x14ac:dyDescent="0.3">
      <c r="A3" s="165" t="s">
        <v>121</v>
      </c>
      <c r="B3" s="163" t="s">
        <v>66</v>
      </c>
      <c r="C3" s="162" t="s">
        <v>122</v>
      </c>
      <c r="D3" s="163"/>
      <c r="E3" s="164"/>
      <c r="F3" s="163" t="s">
        <v>123</v>
      </c>
      <c r="G3" s="163"/>
      <c r="H3" s="164"/>
    </row>
    <row r="4" spans="1:8" x14ac:dyDescent="0.3">
      <c r="A4" s="166"/>
      <c r="B4" s="167"/>
      <c r="C4" s="111" t="s">
        <v>124</v>
      </c>
      <c r="D4" s="110" t="s">
        <v>125</v>
      </c>
      <c r="E4" s="112" t="s">
        <v>47</v>
      </c>
      <c r="F4" s="110" t="s">
        <v>124</v>
      </c>
      <c r="G4" s="110" t="s">
        <v>125</v>
      </c>
      <c r="H4" s="112" t="s">
        <v>47</v>
      </c>
    </row>
    <row r="5" spans="1:8" x14ac:dyDescent="0.3">
      <c r="A5" s="159">
        <v>1</v>
      </c>
      <c r="B5" s="113">
        <v>1</v>
      </c>
      <c r="C5" s="114">
        <v>50</v>
      </c>
      <c r="D5" s="113">
        <v>16</v>
      </c>
      <c r="E5" s="115">
        <f>D5/C5</f>
        <v>0.32</v>
      </c>
      <c r="F5" s="113">
        <v>50</v>
      </c>
      <c r="G5" s="113">
        <v>19</v>
      </c>
      <c r="H5" s="115">
        <f>G5/F5</f>
        <v>0.38</v>
      </c>
    </row>
    <row r="6" spans="1:8" x14ac:dyDescent="0.3">
      <c r="A6" s="160"/>
      <c r="B6" s="116">
        <v>2</v>
      </c>
      <c r="C6" s="117">
        <v>50</v>
      </c>
      <c r="D6" s="116">
        <v>21</v>
      </c>
      <c r="E6" s="118">
        <f t="shared" ref="E6:E13" si="0">D6/C6</f>
        <v>0.42</v>
      </c>
      <c r="F6" s="116">
        <v>50</v>
      </c>
      <c r="G6" s="116">
        <v>20</v>
      </c>
      <c r="H6" s="118">
        <f t="shared" ref="H6:H13" si="1">G6/F6</f>
        <v>0.4</v>
      </c>
    </row>
    <row r="7" spans="1:8" x14ac:dyDescent="0.3">
      <c r="A7" s="168"/>
      <c r="B7" s="119">
        <v>3</v>
      </c>
      <c r="C7" s="120">
        <v>50</v>
      </c>
      <c r="D7" s="119">
        <v>26</v>
      </c>
      <c r="E7" s="121">
        <f t="shared" si="0"/>
        <v>0.52</v>
      </c>
      <c r="F7" s="119">
        <v>50</v>
      </c>
      <c r="G7" s="119">
        <v>26</v>
      </c>
      <c r="H7" s="121">
        <f t="shared" si="1"/>
        <v>0.52</v>
      </c>
    </row>
    <row r="8" spans="1:8" x14ac:dyDescent="0.3">
      <c r="A8" s="159">
        <v>2</v>
      </c>
      <c r="B8" s="113">
        <v>1</v>
      </c>
      <c r="C8" s="114">
        <v>50</v>
      </c>
      <c r="D8" s="113">
        <v>24</v>
      </c>
      <c r="E8" s="115">
        <f t="shared" si="0"/>
        <v>0.48</v>
      </c>
      <c r="F8" s="113">
        <v>50</v>
      </c>
      <c r="G8" s="113">
        <v>23</v>
      </c>
      <c r="H8" s="115">
        <f t="shared" si="1"/>
        <v>0.46</v>
      </c>
    </row>
    <row r="9" spans="1:8" x14ac:dyDescent="0.3">
      <c r="A9" s="160"/>
      <c r="B9" s="116">
        <v>2</v>
      </c>
      <c r="C9" s="117">
        <v>50</v>
      </c>
      <c r="D9" s="116">
        <v>29</v>
      </c>
      <c r="E9" s="118">
        <f t="shared" si="0"/>
        <v>0.57999999999999996</v>
      </c>
      <c r="F9" s="116">
        <v>50</v>
      </c>
      <c r="G9" s="116">
        <v>25</v>
      </c>
      <c r="H9" s="118">
        <f t="shared" si="1"/>
        <v>0.5</v>
      </c>
    </row>
    <row r="10" spans="1:8" x14ac:dyDescent="0.3">
      <c r="A10" s="168"/>
      <c r="B10" s="119">
        <v>3</v>
      </c>
      <c r="C10" s="120">
        <v>50</v>
      </c>
      <c r="D10" s="119">
        <v>32</v>
      </c>
      <c r="E10" s="121">
        <f t="shared" si="0"/>
        <v>0.64</v>
      </c>
      <c r="F10" s="119">
        <v>50</v>
      </c>
      <c r="G10" s="119">
        <v>34</v>
      </c>
      <c r="H10" s="121">
        <f t="shared" si="1"/>
        <v>0.68</v>
      </c>
    </row>
    <row r="11" spans="1:8" x14ac:dyDescent="0.3">
      <c r="A11" s="159">
        <v>3</v>
      </c>
      <c r="B11" s="113">
        <v>1</v>
      </c>
      <c r="C11" s="114">
        <v>50</v>
      </c>
      <c r="D11" s="113">
        <v>26</v>
      </c>
      <c r="E11" s="115">
        <f t="shared" si="0"/>
        <v>0.52</v>
      </c>
      <c r="F11" s="113">
        <v>50</v>
      </c>
      <c r="G11" s="113">
        <v>26</v>
      </c>
      <c r="H11" s="115">
        <f t="shared" si="1"/>
        <v>0.52</v>
      </c>
    </row>
    <row r="12" spans="1:8" x14ac:dyDescent="0.3">
      <c r="A12" s="160"/>
      <c r="B12" s="116">
        <v>2</v>
      </c>
      <c r="C12" s="117">
        <v>50</v>
      </c>
      <c r="D12" s="116">
        <v>30</v>
      </c>
      <c r="E12" s="118">
        <f t="shared" si="0"/>
        <v>0.6</v>
      </c>
      <c r="F12" s="116">
        <v>50</v>
      </c>
      <c r="G12" s="116">
        <v>34</v>
      </c>
      <c r="H12" s="118">
        <f t="shared" si="1"/>
        <v>0.68</v>
      </c>
    </row>
    <row r="13" spans="1:8" ht="15" thickBot="1" x14ac:dyDescent="0.35">
      <c r="A13" s="161"/>
      <c r="B13" s="122">
        <v>3</v>
      </c>
      <c r="C13" s="123">
        <v>50</v>
      </c>
      <c r="D13" s="122">
        <v>25</v>
      </c>
      <c r="E13" s="124">
        <f t="shared" si="0"/>
        <v>0.5</v>
      </c>
      <c r="F13" s="122">
        <v>50</v>
      </c>
      <c r="G13" s="122">
        <v>50</v>
      </c>
      <c r="H13" s="124">
        <f t="shared" si="1"/>
        <v>1</v>
      </c>
    </row>
  </sheetData>
  <mergeCells count="7">
    <mergeCell ref="A11:A13"/>
    <mergeCell ref="C3:E3"/>
    <mergeCell ref="F3:H3"/>
    <mergeCell ref="A3:A4"/>
    <mergeCell ref="B3:B4"/>
    <mergeCell ref="A5:A7"/>
    <mergeCell ref="A8:A10"/>
  </mergeCells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C48DC-E91E-4B06-A380-D93D1780D1B2}">
  <dimension ref="B3:H9"/>
  <sheetViews>
    <sheetView workbookViewId="0">
      <selection activeCell="F17" sqref="F17"/>
    </sheetView>
  </sheetViews>
  <sheetFormatPr defaultRowHeight="14.4" x14ac:dyDescent="0.3"/>
  <sheetData>
    <row r="3" spans="2:8" x14ac:dyDescent="0.3">
      <c r="C3" t="s">
        <v>129</v>
      </c>
      <c r="D3" t="s">
        <v>134</v>
      </c>
      <c r="E3" t="s">
        <v>132</v>
      </c>
      <c r="F3" t="s">
        <v>133</v>
      </c>
      <c r="G3" t="s">
        <v>135</v>
      </c>
      <c r="H3" t="s">
        <v>136</v>
      </c>
    </row>
    <row r="4" spans="2:8" x14ac:dyDescent="0.3">
      <c r="B4" t="s">
        <v>126</v>
      </c>
      <c r="C4" t="s">
        <v>131</v>
      </c>
      <c r="D4" t="s">
        <v>137</v>
      </c>
      <c r="E4" t="s">
        <v>137</v>
      </c>
      <c r="G4" t="s">
        <v>137</v>
      </c>
    </row>
    <row r="5" spans="2:8" x14ac:dyDescent="0.3">
      <c r="B5" t="s">
        <v>127</v>
      </c>
      <c r="C5" t="s">
        <v>131</v>
      </c>
      <c r="D5" t="s">
        <v>137</v>
      </c>
      <c r="E5" t="s">
        <v>137</v>
      </c>
      <c r="G5" t="s">
        <v>137</v>
      </c>
    </row>
    <row r="6" spans="2:8" x14ac:dyDescent="0.3">
      <c r="B6" t="s">
        <v>128</v>
      </c>
      <c r="C6" t="s">
        <v>131</v>
      </c>
      <c r="D6" t="s">
        <v>137</v>
      </c>
    </row>
    <row r="7" spans="2:8" x14ac:dyDescent="0.3">
      <c r="B7">
        <v>1</v>
      </c>
      <c r="C7" t="s">
        <v>130</v>
      </c>
      <c r="D7" t="s">
        <v>137</v>
      </c>
      <c r="E7" t="s">
        <v>137</v>
      </c>
      <c r="G7" t="s">
        <v>137</v>
      </c>
    </row>
    <row r="8" spans="2:8" x14ac:dyDescent="0.3">
      <c r="B8">
        <v>2</v>
      </c>
      <c r="C8" t="s">
        <v>130</v>
      </c>
      <c r="D8" t="s">
        <v>137</v>
      </c>
      <c r="E8" t="s">
        <v>137</v>
      </c>
      <c r="G8" t="s">
        <v>137</v>
      </c>
    </row>
    <row r="9" spans="2:8" x14ac:dyDescent="0.3">
      <c r="B9">
        <v>3</v>
      </c>
      <c r="C9" t="s">
        <v>130</v>
      </c>
      <c r="D9" t="s">
        <v>137</v>
      </c>
      <c r="E9" t="s">
        <v>137</v>
      </c>
      <c r="F9" t="s">
        <v>138</v>
      </c>
      <c r="G9" t="s">
        <v>137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Mediciones 25-10</vt:lpstr>
      <vt:lpstr>Mediciones 2-11</vt:lpstr>
      <vt:lpstr>Optimizacion Param</vt:lpstr>
      <vt:lpstr>Mediciones UI</vt:lpstr>
      <vt:lpstr>Materiales Nucleo</vt:lpstr>
      <vt:lpstr>Calefactores</vt:lpstr>
      <vt:lpstr>Placas Lite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Tantera</dc:creator>
  <cp:lastModifiedBy>Jose Tantera</cp:lastModifiedBy>
  <cp:lastPrinted>2021-11-26T11:09:23Z</cp:lastPrinted>
  <dcterms:created xsi:type="dcterms:W3CDTF">2021-10-13T15:14:13Z</dcterms:created>
  <dcterms:modified xsi:type="dcterms:W3CDTF">2021-12-07T16:29:32Z</dcterms:modified>
</cp:coreProperties>
</file>